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nami/Desktop/IODP364_Os-PGE/MY/Final revision/"/>
    </mc:Choice>
  </mc:AlternateContent>
  <xr:revisionPtr revIDLastSave="0" documentId="13_ncr:1_{704F6250-D396-1542-AF7F-B91F337AD8A5}" xr6:coauthVersionLast="47" xr6:coauthVersionMax="47" xr10:uidLastSave="{00000000-0000-0000-0000-000000000000}"/>
  <bookViews>
    <workbookView xWindow="0" yWindow="500" windowWidth="38400" windowHeight="21100" activeTab="5" xr2:uid="{18C9DF7E-13B3-5046-93B9-2A4B18377F98}"/>
  </bookViews>
  <sheets>
    <sheet name="Data 1" sheetId="11" r:id="rId1"/>
    <sheet name="Data 2" sheetId="1" r:id="rId2"/>
    <sheet name="Data 3" sheetId="12" r:id="rId3"/>
    <sheet name="Data 4" sheetId="5" r:id="rId4"/>
    <sheet name="Data 5" sheetId="2" r:id="rId5"/>
    <sheet name="Data 6" sheetId="17" r:id="rId6"/>
  </sheets>
  <externalReferences>
    <externalReference r:id="rId7"/>
  </externalReferences>
  <definedNames>
    <definedName name="_xlnm._FilterDatabase" localSheetId="1" hidden="1">'Data 2'!$A$2:$AU$32</definedName>
    <definedName name="_xlnm._FilterDatabase" localSheetId="3" hidden="1">'Data 4'!$A$2:$AG$91</definedName>
    <definedName name="_xlnm._FilterDatabase" localSheetId="4" hidden="1">'Data 5'!$A$2:$AF$86</definedName>
    <definedName name="_gXY1" localSheetId="0">#REF!</definedName>
    <definedName name="_gXY1" localSheetId="5">#REF!</definedName>
    <definedName name="_gXY1">#REF!</definedName>
    <definedName name="_Sp8486" localSheetId="5">[1]Results!#REF!</definedName>
    <definedName name="_Sp8486">[1]Results!#REF!</definedName>
    <definedName name="KPg_transition" localSheetId="0">#REF!</definedName>
    <definedName name="KPg_transition" localSheetId="5">#REF!</definedName>
    <definedName name="KPg_transition">#REF!</definedName>
    <definedName name="uncert187" localSheetId="5">[1]Results!#REF!</definedName>
    <definedName name="uncert187">[1]Results!#REF!</definedName>
    <definedName name="uncert190" localSheetId="5">[1]Results!#REF!</definedName>
    <definedName name="uncert190">[1]Results!#REF!</definedName>
    <definedName name="uncert192" localSheetId="5">[1]Results!#REF!</definedName>
    <definedName name="uncert192">[1]Results!#REF!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7" l="1"/>
  <c r="C5" i="17"/>
  <c r="C17" i="17" l="1"/>
  <c r="C10" i="17"/>
  <c r="C6" i="17"/>
  <c r="C9" i="17" l="1"/>
  <c r="C19" i="17"/>
  <c r="L28" i="2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J7" i="5"/>
  <c r="J8" i="5"/>
  <c r="J9" i="5"/>
  <c r="J11" i="5"/>
  <c r="J12" i="5"/>
  <c r="J14" i="5"/>
  <c r="J15" i="5"/>
  <c r="J16" i="5"/>
  <c r="J17" i="5"/>
  <c r="J19" i="5"/>
  <c r="J20" i="5"/>
  <c r="J21" i="5"/>
  <c r="J22" i="5"/>
  <c r="J23" i="5"/>
  <c r="J24" i="5"/>
  <c r="J26" i="5"/>
  <c r="D26" i="12"/>
  <c r="D29" i="12"/>
  <c r="AG29" i="12"/>
  <c r="D30" i="12"/>
  <c r="AG30" i="12"/>
  <c r="D31" i="12"/>
  <c r="AG31" i="12"/>
  <c r="D32" i="12"/>
  <c r="AG32" i="12" s="1"/>
  <c r="D33" i="12"/>
  <c r="AG33" i="12"/>
  <c r="D34" i="12"/>
  <c r="AG34" i="12"/>
  <c r="D35" i="12"/>
  <c r="AG35" i="12"/>
  <c r="D36" i="12"/>
  <c r="AG36" i="12" s="1"/>
  <c r="D37" i="12"/>
  <c r="AG37" i="12"/>
  <c r="D41" i="12"/>
  <c r="AG41" i="12"/>
  <c r="D42" i="12"/>
  <c r="AG42" i="12"/>
  <c r="D43" i="12"/>
  <c r="AG43" i="12" s="1"/>
  <c r="D44" i="12"/>
  <c r="AG44" i="12"/>
  <c r="D45" i="12"/>
  <c r="AG45" i="12"/>
  <c r="D21" i="12"/>
  <c r="AG21" i="12"/>
  <c r="D22" i="12"/>
  <c r="AG22" i="12" s="1"/>
  <c r="D23" i="12"/>
  <c r="AG23" i="12"/>
  <c r="D24" i="12"/>
  <c r="AG24" i="12"/>
  <c r="D25" i="12"/>
  <c r="AG25" i="12"/>
  <c r="AG26" i="12"/>
  <c r="D5" i="12"/>
  <c r="AG5" i="12" s="1"/>
  <c r="D6" i="12"/>
  <c r="AG6" i="12"/>
  <c r="D7" i="12"/>
  <c r="AG7" i="12" s="1"/>
  <c r="D8" i="12"/>
  <c r="AG8" i="12" s="1"/>
  <c r="D9" i="12"/>
  <c r="AG9" i="12" s="1"/>
  <c r="D10" i="12"/>
  <c r="AG10" i="12"/>
  <c r="D11" i="12"/>
  <c r="AG11" i="12" s="1"/>
  <c r="D12" i="12"/>
  <c r="AG12" i="12" s="1"/>
  <c r="D13" i="12"/>
  <c r="AG13" i="12" s="1"/>
  <c r="D14" i="12"/>
  <c r="AG14" i="12"/>
  <c r="D15" i="12"/>
  <c r="AG15" i="12" s="1"/>
  <c r="D16" i="12"/>
  <c r="AG16" i="12" s="1"/>
  <c r="D17" i="12"/>
  <c r="AG17" i="12" s="1"/>
  <c r="D18" i="12"/>
  <c r="AG18" i="12"/>
  <c r="D4" i="12"/>
  <c r="AG4" i="12" s="1"/>
  <c r="AD8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38" i="11"/>
  <c r="B37" i="11"/>
  <c r="B36" i="11"/>
  <c r="B35" i="11"/>
  <c r="B34" i="11"/>
  <c r="B33" i="11"/>
  <c r="B32" i="11"/>
  <c r="B31" i="11"/>
  <c r="B30" i="11"/>
  <c r="B29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B6" i="11"/>
  <c r="B5" i="11"/>
  <c r="B4" i="11"/>
  <c r="C3" i="11"/>
  <c r="C4" i="11"/>
  <c r="C8" i="11"/>
  <c r="C5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7" i="11"/>
  <c r="C6" i="11"/>
  <c r="AD32" i="1"/>
  <c r="O61" i="1"/>
  <c r="L4" i="2"/>
  <c r="L3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1" i="2"/>
  <c r="L22" i="2"/>
  <c r="L23" i="2"/>
  <c r="L24" i="2"/>
  <c r="L25" i="2"/>
  <c r="L26" i="2"/>
  <c r="L27" i="2"/>
  <c r="L29" i="2"/>
  <c r="L30" i="2"/>
  <c r="AA61" i="1"/>
  <c r="X61" i="1"/>
  <c r="U61" i="1"/>
  <c r="R61" i="1"/>
  <c r="L61" i="1"/>
  <c r="I61" i="1"/>
  <c r="F61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</calcChain>
</file>

<file path=xl/sharedStrings.xml><?xml version="1.0" encoding="utf-8"?>
<sst xmlns="http://schemas.openxmlformats.org/spreadsheetml/2006/main" count="1550" uniqueCount="410">
  <si>
    <t>Os ppb</t>
    <phoneticPr fontId="2"/>
  </si>
  <si>
    <t>Ir ppb</t>
    <phoneticPr fontId="2"/>
  </si>
  <si>
    <t>Ru ppb</t>
    <phoneticPr fontId="2"/>
  </si>
  <si>
    <t>Pt ppb</t>
    <phoneticPr fontId="2"/>
  </si>
  <si>
    <t>Pd ppb</t>
    <phoneticPr fontId="2"/>
  </si>
  <si>
    <t>Re ppb</t>
    <phoneticPr fontId="2"/>
  </si>
  <si>
    <t>RSD%</t>
    <phoneticPr fontId="2"/>
  </si>
  <si>
    <t>15X 3W 32-34</t>
  </si>
  <si>
    <t>15X 3W 45-47a</t>
  </si>
  <si>
    <t>15X 3W 55-57</t>
  </si>
  <si>
    <t>15X 3W 65-67</t>
  </si>
  <si>
    <t>15X 3W 75-77</t>
  </si>
  <si>
    <t>15X 3W 85-87</t>
  </si>
  <si>
    <t>15X 3W 95-97</t>
  </si>
  <si>
    <t>15X 3W 105-107</t>
  </si>
  <si>
    <t>15X 3W 115-117</t>
  </si>
  <si>
    <t>15X 3W 125-127</t>
  </si>
  <si>
    <t>15X 3W 135-137</t>
  </si>
  <si>
    <t>15X 3W 145-147</t>
  </si>
  <si>
    <t>15X 4W 2-4</t>
  </si>
  <si>
    <t>15X 4W 10-12</t>
  </si>
  <si>
    <t>15X 4W 18-20</t>
  </si>
  <si>
    <t>15X 4W 26-28</t>
  </si>
  <si>
    <t>15X 4W 31-32</t>
  </si>
  <si>
    <t>15X 4W 33-34</t>
  </si>
  <si>
    <t>15X 4W 35-36</t>
  </si>
  <si>
    <t>15X 4W 37-38</t>
  </si>
  <si>
    <t>15X 4W 39-40</t>
  </si>
  <si>
    <t>15X 4W 47-48</t>
  </si>
  <si>
    <t>15X 4W 51-52</t>
  </si>
  <si>
    <t xml:space="preserve">690C-015 04W 60-65cm </t>
  </si>
  <si>
    <t xml:space="preserve">690C-015 04W 83-88cm </t>
    <phoneticPr fontId="2"/>
  </si>
  <si>
    <t xml:space="preserve">690C-015 04W 100-105cm </t>
    <phoneticPr fontId="2"/>
  </si>
  <si>
    <t xml:space="preserve">690C-015 04W 120-125cm </t>
  </si>
  <si>
    <t xml:space="preserve">690C-015 04W 140-145cm </t>
  </si>
  <si>
    <t xml:space="preserve">690C-015 05W 15-20cm </t>
  </si>
  <si>
    <t xml:space="preserve">690C-015 05W 64-66cm </t>
  </si>
  <si>
    <t xml:space="preserve">690C-015 05W 100-105cm </t>
  </si>
  <si>
    <t xml:space="preserve">690C-015 05W 140-145cm </t>
  </si>
  <si>
    <t xml:space="preserve">690C-015 06W 15-18cm </t>
  </si>
  <si>
    <t xml:space="preserve">690C-015 06W 63-67cm </t>
    <phoneticPr fontId="2"/>
  </si>
  <si>
    <t xml:space="preserve">690C-015 06W 102-105cm </t>
    <phoneticPr fontId="2"/>
  </si>
  <si>
    <t xml:space="preserve">690C-015 06W 142-145cm </t>
    <phoneticPr fontId="2"/>
  </si>
  <si>
    <t xml:space="preserve">690C-015 07W 22-25cm </t>
  </si>
  <si>
    <t xml:space="preserve">690C-015 CCW 0-7cm </t>
  </si>
  <si>
    <t xml:space="preserve">690C-016 01W 15-19cm </t>
  </si>
  <si>
    <t xml:space="preserve">690C-016 01W 60-65cm </t>
  </si>
  <si>
    <t xml:space="preserve">690C-016 01W 100-103cm </t>
  </si>
  <si>
    <t xml:space="preserve">690C-016 01W 146-149m </t>
  </si>
  <si>
    <t xml:space="preserve">690C-016 02W 16-20cm </t>
  </si>
  <si>
    <t xml:space="preserve">690C-016 02W 60-65cm </t>
    <phoneticPr fontId="2"/>
  </si>
  <si>
    <t xml:space="preserve">690C-016 02W 140-145cm </t>
    <phoneticPr fontId="2"/>
  </si>
  <si>
    <t xml:space="preserve">690C-016 03W 15-20cm </t>
  </si>
  <si>
    <t xml:space="preserve">690C-016 03W 60-65cm </t>
  </si>
  <si>
    <t xml:space="preserve">690C-016 03W 100-105cm </t>
  </si>
  <si>
    <t xml:space="preserve">690C-016 03W 144-145cm </t>
  </si>
  <si>
    <t xml:space="preserve">690C-016 04W 36-40cm </t>
  </si>
  <si>
    <t xml:space="preserve">690C-016 04W 80-85cm </t>
  </si>
  <si>
    <t xml:space="preserve">690C-016 CCW 15-20cm </t>
  </si>
  <si>
    <t xml:space="preserve">690C-017 01W 16-20cm </t>
  </si>
  <si>
    <t xml:space="preserve">690C-017 01W 62-65cm </t>
  </si>
  <si>
    <t xml:space="preserve">690C-017 01W 100-104cm </t>
  </si>
  <si>
    <t xml:space="preserve">690C-017 01W 142-144cm </t>
  </si>
  <si>
    <t xml:space="preserve">690C-017 02W 16-20cm </t>
    <phoneticPr fontId="2"/>
  </si>
  <si>
    <t xml:space="preserve">690C-017 02W 60-65cm </t>
  </si>
  <si>
    <t xml:space="preserve">690C-017 02W 100-104cm </t>
  </si>
  <si>
    <t>Robinson et al., 2009</t>
    <phoneticPr fontId="2"/>
  </si>
  <si>
    <t>22H-3W 69-71</t>
  </si>
  <si>
    <t>22H-3W 85.5-87.5</t>
  </si>
  <si>
    <t>22H-3W 100-103 3</t>
  </si>
  <si>
    <t>22H-3W 115-117 4</t>
  </si>
  <si>
    <t>22H-3W 130-132</t>
  </si>
  <si>
    <t>22H-3W 144.5-147</t>
  </si>
  <si>
    <t>22H-4W 10-12</t>
  </si>
  <si>
    <t>22H-4W 25-27</t>
  </si>
  <si>
    <t>22H-4W 40-42</t>
  </si>
  <si>
    <t>22H-4W 55-57</t>
  </si>
  <si>
    <t>22H-4W 70-72</t>
  </si>
  <si>
    <t>22H-4W 85-87</t>
  </si>
  <si>
    <t>22H-4W 100-101</t>
  </si>
  <si>
    <t>22H-4W 110-111</t>
  </si>
  <si>
    <t>22H-4W 120-121</t>
  </si>
  <si>
    <t>22H-4W 125-126</t>
  </si>
  <si>
    <t>22H-4W 129-130</t>
  </si>
  <si>
    <t>22H-4W 133-134</t>
  </si>
  <si>
    <t>22H-4W 135-136</t>
  </si>
  <si>
    <t>22H-4W 139-140</t>
  </si>
  <si>
    <t>22H-4W 143-144</t>
  </si>
  <si>
    <t>22H-4W 148-149</t>
  </si>
  <si>
    <t>22H-5W 5-7</t>
  </si>
  <si>
    <t>22H-5W 10-12</t>
  </si>
  <si>
    <t>22H-5W 15-17</t>
  </si>
  <si>
    <t>22H-5W 25-27</t>
  </si>
  <si>
    <t>22H-5W 35-37</t>
  </si>
  <si>
    <t>22H-5W 50-52</t>
  </si>
  <si>
    <t>22H-5W 65-67</t>
  </si>
  <si>
    <t>22H-5W 80-82</t>
  </si>
  <si>
    <t>22H-5W 105-107</t>
  </si>
  <si>
    <t>K-Pg</t>
    <phoneticPr fontId="2"/>
  </si>
  <si>
    <t>C29r base/C30n top</t>
    <phoneticPr fontId="2"/>
  </si>
  <si>
    <t>C31n base/C31r top</t>
    <phoneticPr fontId="2"/>
  </si>
  <si>
    <t>C29n base/C29r top</t>
    <phoneticPr fontId="2"/>
  </si>
  <si>
    <t>Sample ID</t>
    <phoneticPr fontId="2"/>
  </si>
  <si>
    <t>Sample weight (g)</t>
    <phoneticPr fontId="2"/>
  </si>
  <si>
    <t>Reference material</t>
    <phoneticPr fontId="2"/>
  </si>
  <si>
    <t>JLs-1 (n=4, this study)</t>
    <phoneticPr fontId="2"/>
  </si>
  <si>
    <t>1SD</t>
    <phoneticPr fontId="2"/>
  </si>
  <si>
    <t>~0.5</t>
    <phoneticPr fontId="2"/>
  </si>
  <si>
    <t>BIR-1a (n=5, Goderis et al., 2021)</t>
    <phoneticPr fontId="2"/>
  </si>
  <si>
    <t>BIR-1a (n=9, Ishikawa et al., 2014)</t>
    <phoneticPr fontId="2"/>
  </si>
  <si>
    <t>~1.0</t>
    <phoneticPr fontId="2"/>
  </si>
  <si>
    <t>±</t>
    <phoneticPr fontId="2"/>
  </si>
  <si>
    <t>38R1_18.0-19.0</t>
    <phoneticPr fontId="2"/>
  </si>
  <si>
    <t>38R1_43.0-44.0</t>
    <phoneticPr fontId="2"/>
  </si>
  <si>
    <t>38R1_70.0-71.0</t>
    <phoneticPr fontId="2"/>
  </si>
  <si>
    <t>38R1_96.0-97.0</t>
    <phoneticPr fontId="2"/>
  </si>
  <si>
    <t>38R1_123.0_124.0</t>
    <phoneticPr fontId="2"/>
  </si>
  <si>
    <t>38R2_3.0-4.0</t>
    <phoneticPr fontId="2"/>
  </si>
  <si>
    <t>38R2_30.0-31.0</t>
    <phoneticPr fontId="2"/>
  </si>
  <si>
    <t>38R2_59.0-60.0</t>
    <phoneticPr fontId="2"/>
  </si>
  <si>
    <t>38R2_88.0-89.0</t>
    <phoneticPr fontId="2"/>
  </si>
  <si>
    <t>38R2_121.0-122.0</t>
    <phoneticPr fontId="2"/>
  </si>
  <si>
    <t>38R2_145.0-146.0</t>
    <phoneticPr fontId="2"/>
  </si>
  <si>
    <t>39R1_3.0-4.0</t>
    <phoneticPr fontId="2"/>
  </si>
  <si>
    <t>39R1_32.0-33.0</t>
    <phoneticPr fontId="2"/>
  </si>
  <si>
    <t>39R1_57.0-58.0</t>
    <phoneticPr fontId="2"/>
  </si>
  <si>
    <t>39R1_85.0-86.0</t>
    <phoneticPr fontId="2"/>
  </si>
  <si>
    <t>39R1_113.0-114.0</t>
    <phoneticPr fontId="2"/>
  </si>
  <si>
    <t>39R2_3.0-4.0</t>
    <phoneticPr fontId="2"/>
  </si>
  <si>
    <t>39R2_29.0-30.0</t>
    <phoneticPr fontId="2"/>
  </si>
  <si>
    <t>39R2_55.0-56.0</t>
    <phoneticPr fontId="2"/>
  </si>
  <si>
    <t>39R2_84.0-85.0</t>
    <phoneticPr fontId="2"/>
  </si>
  <si>
    <t>39R2_111.0-112.0</t>
    <phoneticPr fontId="2"/>
  </si>
  <si>
    <t>39R3_16.0-17.0</t>
    <phoneticPr fontId="2"/>
  </si>
  <si>
    <t>15X 3W 5-7</t>
    <phoneticPr fontId="2"/>
  </si>
  <si>
    <t>15X 3W 15-17</t>
    <phoneticPr fontId="2"/>
  </si>
  <si>
    <t>15X 3W 25-27</t>
    <phoneticPr fontId="2"/>
  </si>
  <si>
    <r>
      <t xml:space="preserve">690C-016 02W 100-105cm  </t>
    </r>
    <r>
      <rPr>
        <b/>
        <sz val="12"/>
        <color theme="1"/>
        <rFont val="Times New Roman"/>
        <family val="1"/>
      </rPr>
      <t>– C30n base/C30r top</t>
    </r>
    <phoneticPr fontId="2"/>
  </si>
  <si>
    <t>References</t>
    <phoneticPr fontId="2"/>
  </si>
  <si>
    <t>Robinson et al., 2009</t>
  </si>
  <si>
    <t>*Age (Ma)</t>
    <phoneticPr fontId="2"/>
  </si>
  <si>
    <t>Depth (mbsf)</t>
    <phoneticPr fontId="2"/>
  </si>
  <si>
    <t>Lithology</t>
    <phoneticPr fontId="2"/>
  </si>
  <si>
    <t>Depth (mcd)</t>
    <phoneticPr fontId="2"/>
  </si>
  <si>
    <t>Ravizza and VonderHaar, 2012</t>
  </si>
  <si>
    <t>Ravizza and VonderHaar, 2012</t>
    <phoneticPr fontId="2"/>
  </si>
  <si>
    <t>Data for Core 40R1 are reported in Goderis et al. (2021).</t>
    <phoneticPr fontId="2"/>
  </si>
  <si>
    <t>HSE concentrations (ppb) and Re-Os isotopes obtained by isotope dilution mass spectrometry (ID-MS) with quartz glass tube digestion methods.</t>
    <phoneticPr fontId="2"/>
  </si>
  <si>
    <t>BIR-1a (n=9, this study)</t>
    <phoneticPr fontId="2"/>
  </si>
  <si>
    <t>cm above CCU</t>
  </si>
  <si>
    <t>Age (Ma)</t>
  </si>
  <si>
    <t>Biozones A21</t>
  </si>
  <si>
    <t>Biozones W11</t>
  </si>
  <si>
    <t>P1c</t>
  </si>
  <si>
    <t>Dan4c</t>
  </si>
  <si>
    <t>Dan4b</t>
  </si>
  <si>
    <t>P1b</t>
  </si>
  <si>
    <t>Dan4a</t>
  </si>
  <si>
    <t>P1a</t>
  </si>
  <si>
    <t>Inferred datum</t>
  </si>
  <si>
    <t>Dan3b?/hiatus?</t>
  </si>
  <si>
    <t>Dan3a</t>
  </si>
  <si>
    <t>Dan2</t>
  </si>
  <si>
    <t>Hiatus?</t>
  </si>
  <si>
    <t>Tie-points</t>
  </si>
  <si>
    <t>Biozonation</t>
  </si>
  <si>
    <t>Age Ma</t>
  </si>
  <si>
    <t>P. uncinata (P2)</t>
  </si>
  <si>
    <t>A. trinidanensis</t>
  </si>
  <si>
    <t>Dan3b (inferred)</t>
  </si>
  <si>
    <t>DAn3a</t>
  </si>
  <si>
    <t>Pa</t>
  </si>
  <si>
    <t>Kyr from KPB</t>
    <phoneticPr fontId="2"/>
  </si>
  <si>
    <t>P2</t>
    <phoneticPr fontId="2"/>
  </si>
  <si>
    <t>A. uncinata (P2)</t>
    <phoneticPr fontId="2"/>
  </si>
  <si>
    <t>40R1_28.0-30.0* (ID-MS, Vienna and Brussel)</t>
    <phoneticPr fontId="2"/>
  </si>
  <si>
    <t>40R1_1.0-2.0*</t>
    <phoneticPr fontId="2"/>
  </si>
  <si>
    <t>40R1_5.0-6.0*</t>
    <phoneticPr fontId="2"/>
  </si>
  <si>
    <t>40R1_11.0-12.0*</t>
    <phoneticPr fontId="2"/>
  </si>
  <si>
    <t>40R1_15.0-16.0*</t>
    <phoneticPr fontId="2"/>
  </si>
  <si>
    <t>40R1_19.0-20.0*</t>
    <phoneticPr fontId="2"/>
  </si>
  <si>
    <t>40R1_23.0-24.0*</t>
    <phoneticPr fontId="2"/>
  </si>
  <si>
    <t>*Previously published data (Goderis et al., 2021).</t>
    <phoneticPr fontId="2"/>
  </si>
  <si>
    <r>
      <rPr>
        <vertAlign val="superscript"/>
        <sz val="12"/>
        <rFont val="Times New Roman"/>
        <family val="1"/>
      </rPr>
      <t>187</t>
    </r>
    <r>
      <rPr>
        <sz val="12"/>
        <rFont val="Times New Roman"/>
        <family val="1"/>
      </rPr>
      <t>Re/</t>
    </r>
    <r>
      <rPr>
        <vertAlign val="superscript"/>
        <sz val="12"/>
        <rFont val="Times New Roman"/>
        <family val="1"/>
      </rPr>
      <t>188</t>
    </r>
    <r>
      <rPr>
        <sz val="12"/>
        <rFont val="Times New Roman"/>
        <family val="1"/>
      </rPr>
      <t>Os</t>
    </r>
    <phoneticPr fontId="5"/>
  </si>
  <si>
    <r>
      <rPr>
        <vertAlign val="superscript"/>
        <sz val="12"/>
        <rFont val="Times New Roman"/>
        <family val="1"/>
      </rPr>
      <t>187</t>
    </r>
    <r>
      <rPr>
        <sz val="12"/>
        <rFont val="Times New Roman"/>
        <family val="1"/>
      </rPr>
      <t>Os/</t>
    </r>
    <r>
      <rPr>
        <vertAlign val="superscript"/>
        <sz val="12"/>
        <rFont val="Times New Roman"/>
        <family val="1"/>
      </rPr>
      <t>188</t>
    </r>
    <r>
      <rPr>
        <sz val="12"/>
        <rFont val="Times New Roman"/>
        <family val="1"/>
      </rPr>
      <t>Os</t>
    </r>
    <phoneticPr fontId="5"/>
  </si>
  <si>
    <r>
      <t xml:space="preserve">initial </t>
    </r>
    <r>
      <rPr>
        <vertAlign val="superscript"/>
        <sz val="11"/>
        <rFont val="Times New Roman"/>
        <family val="1"/>
      </rPr>
      <t>187</t>
    </r>
    <r>
      <rPr>
        <sz val="11"/>
        <rFont val="Times New Roman"/>
        <family val="1"/>
      </rPr>
      <t>Os/</t>
    </r>
    <r>
      <rPr>
        <vertAlign val="superscript"/>
        <sz val="11"/>
        <rFont val="Times New Roman"/>
        <family val="1"/>
      </rPr>
      <t>188</t>
    </r>
    <r>
      <rPr>
        <sz val="11"/>
        <rFont val="Times New Roman"/>
        <family val="1"/>
      </rPr>
      <t>Os</t>
    </r>
    <phoneticPr fontId="2"/>
  </si>
  <si>
    <t>39R-1_19.0-20.0</t>
    <phoneticPr fontId="2"/>
  </si>
  <si>
    <t>39R-1_33.0-34.0</t>
    <phoneticPr fontId="2"/>
  </si>
  <si>
    <t>39R-1_46.0-47.0</t>
    <phoneticPr fontId="2"/>
  </si>
  <si>
    <t>39R-1_58.0-59.0</t>
    <phoneticPr fontId="2"/>
  </si>
  <si>
    <t>39R-1_74.0-75.0</t>
    <phoneticPr fontId="2"/>
  </si>
  <si>
    <t>39R-1_86.0-87.0</t>
    <phoneticPr fontId="2"/>
  </si>
  <si>
    <t>39R-1_100.0-101.0</t>
    <phoneticPr fontId="2"/>
  </si>
  <si>
    <t>39R-1_114.0-115.0</t>
    <phoneticPr fontId="2"/>
  </si>
  <si>
    <t>39R-1_118.0-119.5</t>
    <phoneticPr fontId="2"/>
  </si>
  <si>
    <t>39R-1_128.0-129.0</t>
    <phoneticPr fontId="2"/>
  </si>
  <si>
    <t>39R-2_4.0-5.0</t>
    <phoneticPr fontId="2"/>
  </si>
  <si>
    <t>39R-2_18.0-19.0</t>
    <phoneticPr fontId="2"/>
  </si>
  <si>
    <t>39R-2_31.0-32.0</t>
    <phoneticPr fontId="2"/>
  </si>
  <si>
    <t>39R-2_44.0-45.0</t>
    <phoneticPr fontId="2"/>
  </si>
  <si>
    <t>39R-2_55.0-57.0</t>
    <phoneticPr fontId="2"/>
  </si>
  <si>
    <t>39R-2_57.0-58.0</t>
    <phoneticPr fontId="2"/>
  </si>
  <si>
    <t>39R-2_71.0-72.0</t>
    <phoneticPr fontId="2"/>
  </si>
  <si>
    <t>39R-2_85.0-86.0</t>
    <phoneticPr fontId="2"/>
  </si>
  <si>
    <t>39R-2_98.0-99.0</t>
    <phoneticPr fontId="2"/>
  </si>
  <si>
    <t>39R-2_112.0-113.0</t>
    <phoneticPr fontId="2"/>
  </si>
  <si>
    <t>39R-3_5.0-6.0</t>
    <phoneticPr fontId="2"/>
  </si>
  <si>
    <t>39R-3_17.0-18.0</t>
    <phoneticPr fontId="2"/>
  </si>
  <si>
    <t>39R-3_30.0-31.0</t>
    <phoneticPr fontId="2"/>
  </si>
  <si>
    <t>39R-3_41.0-42.0</t>
    <phoneticPr fontId="2"/>
  </si>
  <si>
    <t>40R-1_3.0-4.0</t>
    <phoneticPr fontId="2"/>
  </si>
  <si>
    <t>40R-1_9.0-10.0</t>
    <phoneticPr fontId="2"/>
  </si>
  <si>
    <t>40R-1_17.0-18.0</t>
    <phoneticPr fontId="2"/>
  </si>
  <si>
    <t>40R-1_25.0-26.0</t>
    <phoneticPr fontId="2"/>
  </si>
  <si>
    <t>40R-1_28.0-29.0</t>
    <phoneticPr fontId="2"/>
  </si>
  <si>
    <t>40R-1_29.0-30.0</t>
    <phoneticPr fontId="2"/>
  </si>
  <si>
    <t>40R-1_30.0-31.0</t>
    <phoneticPr fontId="2"/>
  </si>
  <si>
    <t>40R-1_31.0-32.0</t>
    <phoneticPr fontId="2"/>
  </si>
  <si>
    <t>40R-1_32.0-33.0</t>
    <phoneticPr fontId="2"/>
  </si>
  <si>
    <t>40R-1_33.0-34.0</t>
    <phoneticPr fontId="2"/>
  </si>
  <si>
    <t>Kyr from KPB</t>
  </si>
  <si>
    <t>BO+298</t>
  </si>
  <si>
    <t>BO+280</t>
  </si>
  <si>
    <t>BO+270</t>
  </si>
  <si>
    <t>BO+258</t>
  </si>
  <si>
    <t>BO+250</t>
  </si>
  <si>
    <t>BO+246</t>
  </si>
  <si>
    <t>BO+241</t>
  </si>
  <si>
    <t>BO+221</t>
  </si>
  <si>
    <t>Dan3b</t>
  </si>
  <si>
    <t>BO+185</t>
  </si>
  <si>
    <t>BO+130</t>
  </si>
  <si>
    <t>BO+88</t>
  </si>
  <si>
    <t>BO+52</t>
  </si>
  <si>
    <t>BO+14+16</t>
  </si>
  <si>
    <t>B0+2+4</t>
  </si>
  <si>
    <t>Dan1</t>
  </si>
  <si>
    <t>P0</t>
  </si>
  <si>
    <t>BO+0+2</t>
  </si>
  <si>
    <t>M+195+200</t>
  </si>
  <si>
    <t>M+170+175</t>
  </si>
  <si>
    <t>M+145+150</t>
  </si>
  <si>
    <t>M+120+125</t>
  </si>
  <si>
    <t>M+95+100</t>
  </si>
  <si>
    <t>M+65+70</t>
  </si>
  <si>
    <t>M+30+35</t>
  </si>
  <si>
    <t>M+14+17</t>
  </si>
  <si>
    <t>M+0+2</t>
  </si>
  <si>
    <t>?</t>
  </si>
  <si>
    <t>Hiatus</t>
  </si>
  <si>
    <t>G110</t>
  </si>
  <si>
    <t>G100</t>
  </si>
  <si>
    <t>G70+75</t>
  </si>
  <si>
    <t>G19+24</t>
  </si>
  <si>
    <t>G0+1</t>
  </si>
  <si>
    <t>LL+195+200</t>
  </si>
  <si>
    <t>LL+75+80</t>
  </si>
  <si>
    <t>LL+30+35</t>
  </si>
  <si>
    <t>LL+16+20</t>
  </si>
  <si>
    <t>LL+4+8</t>
  </si>
  <si>
    <t>G+2.5+4</t>
  </si>
  <si>
    <t>Bochil section (southeastern Gulf of Mexico)</t>
    <phoneticPr fontId="2"/>
  </si>
  <si>
    <t>Guayal section (southeastern Gulf og Mexico)</t>
    <phoneticPr fontId="2"/>
  </si>
  <si>
    <t>El Mulato section (northeastern Gulf of Mexico)</t>
    <phoneticPr fontId="2"/>
  </si>
  <si>
    <t>La Lajilla section (northeastern Gulf of Mexico)</t>
    <phoneticPr fontId="2"/>
  </si>
  <si>
    <t>*Not Danian species.</t>
    <phoneticPr fontId="2"/>
  </si>
  <si>
    <t>Age (Ma)</t>
    <phoneticPr fontId="2"/>
  </si>
  <si>
    <t>LL+0+2*</t>
    <phoneticPr fontId="2"/>
  </si>
  <si>
    <t>1, 0 ?</t>
    <phoneticPr fontId="2"/>
  </si>
  <si>
    <t>66.000 ?</t>
    <phoneticPr fontId="2"/>
  </si>
  <si>
    <t>Dan1 ?</t>
    <phoneticPr fontId="2"/>
  </si>
  <si>
    <t>P0 ?</t>
    <phoneticPr fontId="2"/>
  </si>
  <si>
    <t>39R3_40.0-41.0</t>
    <phoneticPr fontId="2"/>
  </si>
  <si>
    <t>Limestone</t>
    <phoneticPr fontId="2"/>
  </si>
  <si>
    <t>Clay</t>
    <phoneticPr fontId="2"/>
  </si>
  <si>
    <t>Marl</t>
    <phoneticPr fontId="2"/>
  </si>
  <si>
    <t>Marly limestone</t>
    <phoneticPr fontId="2"/>
  </si>
  <si>
    <r>
      <t xml:space="preserve">LOD </t>
    </r>
    <r>
      <rPr>
        <i/>
        <sz val="12"/>
        <color theme="1"/>
        <rFont val="Times New Roman"/>
        <family val="1"/>
      </rPr>
      <t xml:space="preserve">G. compressa </t>
    </r>
    <phoneticPr fontId="2"/>
  </si>
  <si>
    <r>
      <t xml:space="preserve">LOD </t>
    </r>
    <r>
      <rPr>
        <i/>
        <sz val="12"/>
        <color theme="1"/>
        <rFont val="Times New Roman"/>
        <family val="1"/>
      </rPr>
      <t xml:space="preserve">S. triloculinoides </t>
    </r>
    <phoneticPr fontId="2"/>
  </si>
  <si>
    <r>
      <t xml:space="preserve">LOD </t>
    </r>
    <r>
      <rPr>
        <i/>
        <sz val="12"/>
        <color theme="1"/>
        <rFont val="Times New Roman"/>
        <family val="1"/>
      </rPr>
      <t xml:space="preserve">P. pseudobulloides </t>
    </r>
    <phoneticPr fontId="2"/>
  </si>
  <si>
    <r>
      <t xml:space="preserve">LOD </t>
    </r>
    <r>
      <rPr>
        <i/>
        <sz val="12"/>
        <color theme="1"/>
        <rFont val="Times New Roman"/>
        <family val="1"/>
      </rPr>
      <t xml:space="preserve">E. simplicissima </t>
    </r>
    <phoneticPr fontId="2"/>
  </si>
  <si>
    <r>
      <t xml:space="preserve">LOD </t>
    </r>
    <r>
      <rPr>
        <i/>
        <sz val="12"/>
        <color theme="1"/>
        <rFont val="Times New Roman"/>
        <family val="1"/>
      </rPr>
      <t xml:space="preserve">Pv. eugubina </t>
    </r>
    <phoneticPr fontId="2"/>
  </si>
  <si>
    <r>
      <t xml:space="preserve">LOD </t>
    </r>
    <r>
      <rPr>
        <i/>
        <sz val="12"/>
        <color theme="1"/>
        <rFont val="Times New Roman"/>
        <family val="1"/>
      </rPr>
      <t xml:space="preserve">Pv. longiapertura </t>
    </r>
    <phoneticPr fontId="2"/>
  </si>
  <si>
    <t>41R1_63.0-64.0</t>
    <phoneticPr fontId="2"/>
  </si>
  <si>
    <t>43R2_61.0-62.0</t>
    <phoneticPr fontId="2"/>
  </si>
  <si>
    <t>45R2_61.0-62.0</t>
    <phoneticPr fontId="2"/>
  </si>
  <si>
    <t>47R2_41.0-42.0</t>
    <phoneticPr fontId="2"/>
  </si>
  <si>
    <t>49R2_35.0-36.0</t>
    <phoneticPr fontId="2"/>
  </si>
  <si>
    <t>51R1_21.0-22.0</t>
    <phoneticPr fontId="2"/>
  </si>
  <si>
    <t>53R2_54.0-55.0</t>
    <phoneticPr fontId="2"/>
  </si>
  <si>
    <t>87R2_28.0-29.0</t>
    <phoneticPr fontId="2"/>
  </si>
  <si>
    <t>87R2_28.0-29.0 replicate</t>
    <phoneticPr fontId="2"/>
  </si>
  <si>
    <t>89R2_54.0-55.0</t>
    <phoneticPr fontId="2"/>
  </si>
  <si>
    <t>91R1_28.0-29.0</t>
    <phoneticPr fontId="2"/>
  </si>
  <si>
    <t>93R1_77.0-78.0</t>
    <phoneticPr fontId="2"/>
  </si>
  <si>
    <t>95R1_25.0-26.0</t>
    <phoneticPr fontId="2"/>
  </si>
  <si>
    <t>95R1_91.0-93.0</t>
    <phoneticPr fontId="2"/>
  </si>
  <si>
    <t>163R3_35.5-41.0</t>
    <phoneticPr fontId="2"/>
  </si>
  <si>
    <t>163R3_47.0-48.0</t>
    <phoneticPr fontId="2"/>
  </si>
  <si>
    <t>bdl</t>
    <phoneticPr fontId="2"/>
  </si>
  <si>
    <t>Suevite</t>
    <phoneticPr fontId="2"/>
  </si>
  <si>
    <t>Upper impact melt rock</t>
    <phoneticPr fontId="2"/>
  </si>
  <si>
    <t>Granite</t>
    <phoneticPr fontId="2"/>
  </si>
  <si>
    <t>Lower impact melt rock</t>
    <phoneticPr fontId="2"/>
  </si>
  <si>
    <t>Parameter</t>
    <phoneticPr fontId="2"/>
  </si>
  <si>
    <t>Parameter description</t>
    <phoneticPr fontId="2"/>
  </si>
  <si>
    <t>Value</t>
    <phoneticPr fontId="2"/>
  </si>
  <si>
    <t>Unit</t>
    <phoneticPr fontId="2"/>
  </si>
  <si>
    <t>Reference and Comments</t>
    <phoneticPr fontId="2"/>
  </si>
  <si>
    <t>Mass of seawater</t>
    <phoneticPr fontId="2"/>
  </si>
  <si>
    <t>kg</t>
    <phoneticPr fontId="2"/>
  </si>
  <si>
    <t>Os inventroy in oceans</t>
    <phoneticPr fontId="2"/>
  </si>
  <si>
    <t>mol</t>
    <phoneticPr fontId="2"/>
  </si>
  <si>
    <t>Riverline Os fluxes to oceans</t>
    <phoneticPr fontId="2"/>
  </si>
  <si>
    <t xml:space="preserve">Cosmic dust Os flux to oceans </t>
    <phoneticPr fontId="2"/>
  </si>
  <si>
    <t>Peucker-Ehrenbrink &amp; Ravizza (2000 Terra Nova)</t>
    <phoneticPr fontId="2"/>
  </si>
  <si>
    <t xml:space="preserve">Sedimentary Os flux from oceans </t>
  </si>
  <si>
    <t xml:space="preserve">Paquay et al. (2008 Science) </t>
    <phoneticPr fontId="2"/>
  </si>
  <si>
    <t>Ravizza &amp; VonderHaar (2012)</t>
    <phoneticPr fontId="2"/>
  </si>
  <si>
    <t>Gulf of Mexico (GoM)</t>
    <phoneticPr fontId="2"/>
  </si>
  <si>
    <t>Mass of seawater in the GoM</t>
    <phoneticPr fontId="2"/>
  </si>
  <si>
    <t>Os flux from global ocean through the GoM gateway</t>
    <phoneticPr fontId="2"/>
  </si>
  <si>
    <t>Increase with time after impact</t>
    <phoneticPr fontId="2"/>
  </si>
  <si>
    <t>Os flux to global ocean through the GoM gateway</t>
    <phoneticPr fontId="2"/>
  </si>
  <si>
    <t>Assumed to be the same water mass as inflow, calculated for each timestep</t>
    <phoneticPr fontId="2"/>
  </si>
  <si>
    <t>Sedimentary Os flux from GoM seawater</t>
    <phoneticPr fontId="2"/>
  </si>
  <si>
    <t>Assumded to be same Os residence time as for global ocean</t>
    <phoneticPr fontId="2"/>
  </si>
  <si>
    <r>
      <t>R</t>
    </r>
    <r>
      <rPr>
        <vertAlign val="subscript"/>
        <sz val="12"/>
        <rFont val="Times New Roman"/>
        <family val="1"/>
      </rPr>
      <t>gw</t>
    </r>
    <phoneticPr fontId="2"/>
  </si>
  <si>
    <r>
      <t>187</t>
    </r>
    <r>
      <rPr>
        <sz val="12"/>
        <rFont val="Times New Roman"/>
        <family val="1"/>
      </rPr>
      <t>Os</t>
    </r>
    <r>
      <rPr>
        <vertAlign val="superscript"/>
        <sz val="12"/>
        <rFont val="Times New Roman"/>
        <family val="1"/>
      </rPr>
      <t>/188</t>
    </r>
    <r>
      <rPr>
        <sz val="12"/>
        <rFont val="Times New Roman"/>
        <family val="1"/>
      </rPr>
      <t>Os composition of seawater before and after impact</t>
    </r>
    <phoneticPr fontId="2"/>
  </si>
  <si>
    <t>Calculated for steady state  (Os residence time = 40 kyr)</t>
    <phoneticPr fontId="2"/>
  </si>
  <si>
    <r>
      <t xml:space="preserve">LO of </t>
    </r>
    <r>
      <rPr>
        <b/>
        <i/>
        <sz val="12"/>
        <color theme="1"/>
        <rFont val="Times New Roman"/>
        <family val="1"/>
      </rPr>
      <t xml:space="preserve">Eoglobigerina </t>
    </r>
    <r>
      <rPr>
        <b/>
        <sz val="12"/>
        <color theme="1"/>
        <rFont val="Times New Roman"/>
        <family val="1"/>
      </rPr>
      <t>– Base of Dan3b (Krahl et al., 2023)</t>
    </r>
    <phoneticPr fontId="2"/>
  </si>
  <si>
    <t>405-kyr min. (Dinarès-Turell et al., 2014)</t>
    <phoneticPr fontId="2"/>
  </si>
  <si>
    <r>
      <t>405-kyr max. Pc</t>
    </r>
    <r>
      <rPr>
        <b/>
        <vertAlign val="subscript"/>
        <sz val="12"/>
        <color theme="1"/>
        <rFont val="Times New Roman"/>
        <family val="1"/>
      </rPr>
      <t>405</t>
    </r>
    <r>
      <rPr>
        <b/>
        <sz val="12"/>
        <color theme="1"/>
        <rFont val="Times New Roman"/>
        <family val="1"/>
      </rPr>
      <t>1 (Dinarès-Turell et al., 2014)</t>
    </r>
    <phoneticPr fontId="2"/>
  </si>
  <si>
    <t>C29n base/C29r top (Bowles et al.,2006)</t>
    <phoneticPr fontId="2"/>
  </si>
  <si>
    <t>M</t>
    <phoneticPr fontId="2"/>
  </si>
  <si>
    <r>
      <t>Including water in the present ice-sheet (1.4 x 10</t>
    </r>
    <r>
      <rPr>
        <vertAlign val="superscript"/>
        <sz val="12"/>
        <rFont val="Times New Roman"/>
        <family val="1"/>
      </rPr>
      <t>18</t>
    </r>
    <r>
      <rPr>
        <sz val="12"/>
        <rFont val="Times New Roman"/>
        <family val="1"/>
      </rPr>
      <t xml:space="preserve"> m</t>
    </r>
    <r>
      <rPr>
        <vertAlign val="superscript"/>
        <sz val="12"/>
        <rFont val="Times New Roman"/>
        <family val="1"/>
      </rPr>
      <t>3</t>
    </r>
    <r>
      <rPr>
        <sz val="12"/>
        <rFont val="Times New Roman"/>
        <family val="1"/>
      </rPr>
      <t>)</t>
    </r>
    <phoneticPr fontId="2"/>
  </si>
  <si>
    <r>
      <t>F</t>
    </r>
    <r>
      <rPr>
        <vertAlign val="subscript"/>
        <sz val="12"/>
        <rFont val="Times New Roman"/>
        <family val="1"/>
      </rPr>
      <t>riv</t>
    </r>
    <phoneticPr fontId="2"/>
  </si>
  <si>
    <r>
      <t>F</t>
    </r>
    <r>
      <rPr>
        <vertAlign val="subscript"/>
        <sz val="12"/>
        <rFont val="Times New Roman"/>
        <family val="1"/>
      </rPr>
      <t>cos</t>
    </r>
    <phoneticPr fontId="2"/>
  </si>
  <si>
    <r>
      <t>F</t>
    </r>
    <r>
      <rPr>
        <vertAlign val="subscript"/>
        <sz val="12"/>
        <rFont val="Times New Roman"/>
        <family val="1"/>
      </rPr>
      <t>sed</t>
    </r>
    <phoneticPr fontId="2"/>
  </si>
  <si>
    <r>
      <t>F</t>
    </r>
    <r>
      <rPr>
        <vertAlign val="subscript"/>
        <sz val="12"/>
        <rFont val="Times New Roman"/>
        <family val="1"/>
      </rPr>
      <t>impact</t>
    </r>
    <phoneticPr fontId="2"/>
  </si>
  <si>
    <r>
      <t>R</t>
    </r>
    <r>
      <rPr>
        <vertAlign val="subscript"/>
        <sz val="12"/>
        <rFont val="Times New Roman"/>
        <family val="1"/>
      </rPr>
      <t>riv</t>
    </r>
    <phoneticPr fontId="2"/>
  </si>
  <si>
    <r>
      <rPr>
        <vertAlign val="superscript"/>
        <sz val="12"/>
        <rFont val="Times New Roman"/>
        <family val="1"/>
      </rPr>
      <t>187</t>
    </r>
    <r>
      <rPr>
        <sz val="12"/>
        <rFont val="Times New Roman"/>
        <family val="1"/>
      </rPr>
      <t>Os</t>
    </r>
    <r>
      <rPr>
        <vertAlign val="superscript"/>
        <sz val="12"/>
        <rFont val="Times New Roman"/>
        <family val="1"/>
      </rPr>
      <t>/188</t>
    </r>
    <r>
      <rPr>
        <sz val="12"/>
        <rFont val="Times New Roman"/>
        <family val="1"/>
      </rPr>
      <t xml:space="preserve">Os composition of rivers </t>
    </r>
    <phoneticPr fontId="2"/>
  </si>
  <si>
    <r>
      <t>R</t>
    </r>
    <r>
      <rPr>
        <vertAlign val="subscript"/>
        <sz val="12"/>
        <rFont val="Times New Roman"/>
        <family val="1"/>
      </rPr>
      <t>impact</t>
    </r>
    <phoneticPr fontId="2"/>
  </si>
  <si>
    <r>
      <t>187</t>
    </r>
    <r>
      <rPr>
        <sz val="12"/>
        <rFont val="Times New Roman"/>
        <family val="1"/>
      </rPr>
      <t>Os</t>
    </r>
    <r>
      <rPr>
        <vertAlign val="superscript"/>
        <sz val="12"/>
        <rFont val="Times New Roman"/>
        <family val="1"/>
      </rPr>
      <t>/188</t>
    </r>
    <r>
      <rPr>
        <sz val="12"/>
        <rFont val="Times New Roman"/>
        <family val="1"/>
      </rPr>
      <t>Os composition of chondiritic impactor</t>
    </r>
    <phoneticPr fontId="2"/>
  </si>
  <si>
    <t>m</t>
    <phoneticPr fontId="2"/>
  </si>
  <si>
    <r>
      <t>Caluclated from present-day volume of the GoM (2.4 x 10</t>
    </r>
    <r>
      <rPr>
        <vertAlign val="superscript"/>
        <sz val="12"/>
        <rFont val="Times New Roman"/>
        <family val="1"/>
      </rPr>
      <t xml:space="preserve">15 </t>
    </r>
    <r>
      <rPr>
        <sz val="12"/>
        <rFont val="Times New Roman"/>
        <family val="1"/>
      </rPr>
      <t>m</t>
    </r>
    <r>
      <rPr>
        <vertAlign val="superscript"/>
        <sz val="12"/>
        <rFont val="Times New Roman"/>
        <family val="1"/>
      </rPr>
      <t>3</t>
    </r>
    <r>
      <rPr>
        <sz val="12"/>
        <rFont val="Times New Roman"/>
        <family val="1"/>
      </rPr>
      <t>)</t>
    </r>
    <phoneticPr fontId="2"/>
  </si>
  <si>
    <r>
      <t>F</t>
    </r>
    <r>
      <rPr>
        <vertAlign val="subscript"/>
        <sz val="12"/>
        <rFont val="Times New Roman"/>
        <family val="1"/>
      </rPr>
      <t>continent</t>
    </r>
    <phoneticPr fontId="2"/>
  </si>
  <si>
    <t>Flux of contintental Os to the GoM</t>
    <phoneticPr fontId="2"/>
  </si>
  <si>
    <t>Calculated assuming fraction of river water that flows into the GoM as 0.0005</t>
    <phoneticPr fontId="2"/>
  </si>
  <si>
    <r>
      <t>F</t>
    </r>
    <r>
      <rPr>
        <vertAlign val="subscript"/>
        <sz val="12"/>
        <rFont val="Times New Roman"/>
        <family val="1"/>
      </rPr>
      <t>meteorite</t>
    </r>
    <phoneticPr fontId="2"/>
  </si>
  <si>
    <t>Flux of meteoritic Os including protracted components</t>
    <phoneticPr fontId="2"/>
  </si>
  <si>
    <t>81-0</t>
    <phoneticPr fontId="2"/>
  </si>
  <si>
    <r>
      <t>Decrease with time after impact (maximum 150 times of F</t>
    </r>
    <r>
      <rPr>
        <vertAlign val="subscript"/>
        <sz val="12"/>
        <rFont val="Times New Roman"/>
        <family val="1"/>
      </rPr>
      <t>continent</t>
    </r>
    <r>
      <rPr>
        <sz val="12"/>
        <rFont val="Times New Roman"/>
        <family val="1"/>
      </rPr>
      <t>)</t>
    </r>
    <phoneticPr fontId="2"/>
  </si>
  <si>
    <r>
      <t>F</t>
    </r>
    <r>
      <rPr>
        <vertAlign val="subscript"/>
        <sz val="12"/>
        <rFont val="Times New Roman"/>
        <family val="1"/>
      </rPr>
      <t>inflow</t>
    </r>
    <phoneticPr fontId="2"/>
  </si>
  <si>
    <t>92-255</t>
    <phoneticPr fontId="2"/>
  </si>
  <si>
    <r>
      <t>F</t>
    </r>
    <r>
      <rPr>
        <vertAlign val="subscript"/>
        <sz val="12"/>
        <rFont val="Times New Roman"/>
        <family val="1"/>
      </rPr>
      <t>outflow</t>
    </r>
    <phoneticPr fontId="2"/>
  </si>
  <si>
    <t>58-244</t>
    <phoneticPr fontId="2"/>
  </si>
  <si>
    <r>
      <t>F</t>
    </r>
    <r>
      <rPr>
        <vertAlign val="subscript"/>
        <sz val="12"/>
        <rFont val="Times New Roman"/>
        <family val="1"/>
      </rPr>
      <t>msed</t>
    </r>
    <phoneticPr fontId="2"/>
  </si>
  <si>
    <t>7-28</t>
    <phoneticPr fontId="2"/>
  </si>
  <si>
    <r>
      <t>R</t>
    </r>
    <r>
      <rPr>
        <vertAlign val="subscript"/>
        <sz val="12"/>
        <rFont val="Times New Roman"/>
        <family val="1"/>
      </rPr>
      <t>continent</t>
    </r>
    <phoneticPr fontId="2"/>
  </si>
  <si>
    <r>
      <rPr>
        <vertAlign val="superscript"/>
        <sz val="12"/>
        <rFont val="Times New Roman"/>
        <family val="1"/>
      </rPr>
      <t>187</t>
    </r>
    <r>
      <rPr>
        <sz val="12"/>
        <rFont val="Times New Roman"/>
        <family val="1"/>
      </rPr>
      <t>Os</t>
    </r>
    <r>
      <rPr>
        <vertAlign val="superscript"/>
        <sz val="12"/>
        <rFont val="Times New Roman"/>
        <family val="1"/>
      </rPr>
      <t>/188</t>
    </r>
    <r>
      <rPr>
        <sz val="12"/>
        <rFont val="Times New Roman"/>
        <family val="1"/>
      </rPr>
      <t>Os composition of rivers flowing to the GoM</t>
    </r>
    <phoneticPr fontId="2"/>
  </si>
  <si>
    <r>
      <t>Assumded to be same as R</t>
    </r>
    <r>
      <rPr>
        <vertAlign val="subscript"/>
        <sz val="12"/>
        <rFont val="Times New Roman"/>
        <family val="1"/>
      </rPr>
      <t>riv</t>
    </r>
    <phoneticPr fontId="2"/>
  </si>
  <si>
    <r>
      <t>R</t>
    </r>
    <r>
      <rPr>
        <vertAlign val="subscript"/>
        <sz val="12"/>
        <rFont val="Times New Roman"/>
        <family val="1"/>
      </rPr>
      <t>meteorite</t>
    </r>
    <phoneticPr fontId="2"/>
  </si>
  <si>
    <r>
      <rPr>
        <vertAlign val="superscript"/>
        <sz val="12"/>
        <rFont val="Times New Roman"/>
        <family val="1"/>
      </rPr>
      <t>187</t>
    </r>
    <r>
      <rPr>
        <sz val="12"/>
        <rFont val="Times New Roman"/>
        <family val="1"/>
      </rPr>
      <t>Os</t>
    </r>
    <r>
      <rPr>
        <vertAlign val="superscript"/>
        <sz val="12"/>
        <rFont val="Times New Roman"/>
        <family val="1"/>
      </rPr>
      <t>/188</t>
    </r>
    <r>
      <rPr>
        <sz val="12"/>
        <rFont val="Times New Roman"/>
        <family val="1"/>
      </rPr>
      <t>Os composition of ejecta/melt sheet (equal to K/Pg impactor)</t>
    </r>
    <phoneticPr fontId="2"/>
  </si>
  <si>
    <r>
      <t>Assumded to be same as R</t>
    </r>
    <r>
      <rPr>
        <vertAlign val="subscript"/>
        <sz val="12"/>
        <rFont val="Times New Roman"/>
        <family val="1"/>
      </rPr>
      <t>impact</t>
    </r>
    <phoneticPr fontId="2"/>
  </si>
  <si>
    <r>
      <t>R</t>
    </r>
    <r>
      <rPr>
        <vertAlign val="subscript"/>
        <sz val="12"/>
        <rFont val="Times New Roman"/>
        <family val="1"/>
      </rPr>
      <t>mw</t>
    </r>
    <phoneticPr fontId="2"/>
  </si>
  <si>
    <r>
      <t>187</t>
    </r>
    <r>
      <rPr>
        <sz val="12"/>
        <rFont val="Times New Roman"/>
        <family val="1"/>
      </rPr>
      <t>Os</t>
    </r>
    <r>
      <rPr>
        <vertAlign val="superscript"/>
        <sz val="12"/>
        <rFont val="Times New Roman"/>
        <family val="1"/>
      </rPr>
      <t>/188</t>
    </r>
    <r>
      <rPr>
        <sz val="12"/>
        <rFont val="Times New Roman"/>
        <family val="1"/>
      </rPr>
      <t>Os composition of seawater in GoM</t>
    </r>
    <phoneticPr fontId="2"/>
  </si>
  <si>
    <t>0.201-0.400</t>
    <phoneticPr fontId="2"/>
  </si>
  <si>
    <t>Fit to Site M0077 data</t>
    <phoneticPr fontId="2"/>
  </si>
  <si>
    <r>
      <t>R</t>
    </r>
    <r>
      <rPr>
        <vertAlign val="subscript"/>
        <sz val="12"/>
        <rFont val="Times New Roman"/>
        <family val="1"/>
      </rPr>
      <t>inflow</t>
    </r>
    <phoneticPr fontId="2"/>
  </si>
  <si>
    <r>
      <t>187</t>
    </r>
    <r>
      <rPr>
        <sz val="12"/>
        <rFont val="Times New Roman"/>
        <family val="1"/>
      </rPr>
      <t>Os</t>
    </r>
    <r>
      <rPr>
        <vertAlign val="superscript"/>
        <sz val="12"/>
        <rFont val="Times New Roman"/>
        <family val="1"/>
      </rPr>
      <t>/188</t>
    </r>
    <r>
      <rPr>
        <sz val="12"/>
        <rFont val="Times New Roman"/>
        <family val="1"/>
      </rPr>
      <t>Os composition of seawater flowing into the GoM</t>
    </r>
    <phoneticPr fontId="2"/>
  </si>
  <si>
    <r>
      <t>Assumded to be same as R</t>
    </r>
    <r>
      <rPr>
        <vertAlign val="subscript"/>
        <sz val="12"/>
        <rFont val="Times New Roman"/>
        <family val="1"/>
      </rPr>
      <t>gw</t>
    </r>
    <phoneticPr fontId="2"/>
  </si>
  <si>
    <r>
      <t>R</t>
    </r>
    <r>
      <rPr>
        <vertAlign val="subscript"/>
        <sz val="12"/>
        <rFont val="Times New Roman"/>
        <family val="1"/>
      </rPr>
      <t>outflow</t>
    </r>
    <phoneticPr fontId="2"/>
  </si>
  <si>
    <r>
      <t>187</t>
    </r>
    <r>
      <rPr>
        <sz val="12"/>
        <rFont val="Times New Roman"/>
        <family val="1"/>
      </rPr>
      <t>Os</t>
    </r>
    <r>
      <rPr>
        <vertAlign val="superscript"/>
        <sz val="12"/>
        <rFont val="Times New Roman"/>
        <family val="1"/>
      </rPr>
      <t>/188</t>
    </r>
    <r>
      <rPr>
        <sz val="12"/>
        <rFont val="Times New Roman"/>
        <family val="1"/>
      </rPr>
      <t>Os composition of seawater flowing out from the GoM</t>
    </r>
    <phoneticPr fontId="2"/>
  </si>
  <si>
    <r>
      <t>Assumded to be same as R</t>
    </r>
    <r>
      <rPr>
        <vertAlign val="subscript"/>
        <sz val="12"/>
        <rFont val="Times New Roman"/>
        <family val="1"/>
      </rPr>
      <t>mw</t>
    </r>
    <phoneticPr fontId="2"/>
  </si>
  <si>
    <r>
      <t>F</t>
    </r>
    <r>
      <rPr>
        <vertAlign val="subscript"/>
        <sz val="12"/>
        <rFont val="Times New Roman"/>
        <family val="1"/>
      </rPr>
      <t>man</t>
    </r>
    <phoneticPr fontId="2"/>
  </si>
  <si>
    <t xml:space="preserve">Mantle-derived Os flux to oceans </t>
    <phoneticPr fontId="2"/>
  </si>
  <si>
    <t>K/Pg impact Os flux to oceans (instantaneous input at 66.001 Ma)</t>
    <phoneticPr fontId="2"/>
  </si>
  <si>
    <r>
      <t>R</t>
    </r>
    <r>
      <rPr>
        <vertAlign val="subscript"/>
        <sz val="12"/>
        <rFont val="Times New Roman"/>
        <family val="1"/>
      </rPr>
      <t>man</t>
    </r>
    <phoneticPr fontId="2"/>
  </si>
  <si>
    <r>
      <rPr>
        <vertAlign val="superscript"/>
        <sz val="12"/>
        <rFont val="Times New Roman"/>
        <family val="1"/>
      </rPr>
      <t>187</t>
    </r>
    <r>
      <rPr>
        <sz val="12"/>
        <rFont val="Times New Roman"/>
        <family val="1"/>
      </rPr>
      <t>Os</t>
    </r>
    <r>
      <rPr>
        <vertAlign val="superscript"/>
        <sz val="12"/>
        <rFont val="Times New Roman"/>
        <family val="1"/>
      </rPr>
      <t>/188</t>
    </r>
    <r>
      <rPr>
        <sz val="12"/>
        <rFont val="Times New Roman"/>
        <family val="1"/>
      </rPr>
      <t>Os composition of mantle-origin materials</t>
    </r>
    <phoneticPr fontId="2"/>
  </si>
  <si>
    <r>
      <t>R</t>
    </r>
    <r>
      <rPr>
        <vertAlign val="subscript"/>
        <sz val="12"/>
        <rFont val="Times New Roman"/>
        <family val="1"/>
      </rPr>
      <t>cos</t>
    </r>
    <phoneticPr fontId="2"/>
  </si>
  <si>
    <r>
      <t>187</t>
    </r>
    <r>
      <rPr>
        <sz val="12"/>
        <rFont val="Times New Roman"/>
        <family val="1"/>
      </rPr>
      <t>Os</t>
    </r>
    <r>
      <rPr>
        <vertAlign val="superscript"/>
        <sz val="12"/>
        <rFont val="Times New Roman"/>
        <family val="1"/>
      </rPr>
      <t>/188</t>
    </r>
    <r>
      <rPr>
        <sz val="12"/>
        <rFont val="Times New Roman"/>
        <family val="1"/>
      </rPr>
      <t>Os composition of cosmic dust</t>
    </r>
    <phoneticPr fontId="2"/>
  </si>
  <si>
    <t>Global Ocean (Late Cretaceous ~ Early Paleocene)</t>
    <phoneticPr fontId="2"/>
  </si>
  <si>
    <r>
      <t xml:space="preserve">initial </t>
    </r>
    <r>
      <rPr>
        <vertAlign val="superscript"/>
        <sz val="12"/>
        <rFont val="Times New Roman"/>
        <family val="1"/>
      </rPr>
      <t>187</t>
    </r>
    <r>
      <rPr>
        <sz val="12"/>
        <rFont val="Times New Roman"/>
        <family val="1"/>
      </rPr>
      <t>Os/</t>
    </r>
    <r>
      <rPr>
        <vertAlign val="superscript"/>
        <sz val="12"/>
        <rFont val="Times New Roman"/>
        <family val="1"/>
      </rPr>
      <t>188</t>
    </r>
    <r>
      <rPr>
        <sz val="12"/>
        <rFont val="Times New Roman"/>
        <family val="1"/>
      </rPr>
      <t>Os</t>
    </r>
    <phoneticPr fontId="2"/>
  </si>
  <si>
    <r>
      <t xml:space="preserve">initial </t>
    </r>
    <r>
      <rPr>
        <vertAlign val="superscript"/>
        <sz val="11"/>
        <color theme="1"/>
        <rFont val="Times New Roman"/>
        <family val="1"/>
      </rPr>
      <t>187</t>
    </r>
    <r>
      <rPr>
        <sz val="11"/>
        <color theme="1"/>
        <rFont val="Times New Roman"/>
        <family val="1"/>
      </rPr>
      <t>Os/</t>
    </r>
    <r>
      <rPr>
        <vertAlign val="superscript"/>
        <sz val="11"/>
        <color theme="1"/>
        <rFont val="Times New Roman"/>
        <family val="1"/>
      </rPr>
      <t>188</t>
    </r>
    <r>
      <rPr>
        <sz val="11"/>
        <color theme="1"/>
        <rFont val="Times New Roman"/>
        <family val="1"/>
      </rPr>
      <t>Os</t>
    </r>
    <phoneticPr fontId="2"/>
  </si>
  <si>
    <t>Limestone/Marly limestone</t>
    <phoneticPr fontId="2"/>
  </si>
  <si>
    <t>Age of the K/Pg boundary (KPB): 66.001 Ma (Dinarés-Turell et al., 2014; Geologic Time Scale 2020; Gilabert et al., 2022).</t>
  </si>
  <si>
    <r>
      <rPr>
        <sz val="12"/>
        <color theme="1"/>
        <rFont val="Times New Roman"/>
        <family val="1"/>
      </rPr>
      <t xml:space="preserve">15X 4W 43-44  </t>
    </r>
    <r>
      <rPr>
        <b/>
        <sz val="12"/>
        <color theme="1"/>
        <rFont val="Times New Roman"/>
        <family val="1"/>
      </rPr>
      <t>– K/Pg</t>
    </r>
  </si>
  <si>
    <t xml:space="preserve">*Age (Ma)  are based on the Geomagnetic Polarity Time Scale 2020 and the redefined K/Pg boudary age of 66.001 Ma (Dinarés-Turell et al., 2014; Geologic Time Scale 2020; Gilabert et al., 2022). </t>
  </si>
  <si>
    <t>The new biochronological scale is based on Arenillas et al. (2021) and Metsana-Oussaid et al. (2019).</t>
  </si>
  <si>
    <t xml:space="preserve">*Age (Ma) are based on Geomagnetic Polarity Time Scale 2020, Arenillas et al. (2021), and Krahl et al. (2023) and the defined K/Pg boudary age of 66.001 Ma (Dinarés-Turell et al., 2014; Geologic Time Scale 2020; Gilabert et al., 2022). </t>
    <phoneticPr fontId="2"/>
  </si>
  <si>
    <t>Age of the K/Pg boundary: 66.001 Ma (Dinarés-Turell et al., 2014; Geologic Time Scale 2020; Gilabert et al., 2022).</t>
    <phoneticPr fontId="2"/>
  </si>
  <si>
    <r>
      <t>Sed. rate (cm kyr</t>
    </r>
    <r>
      <rPr>
        <vertAlign val="superscript"/>
        <sz val="12"/>
        <color theme="1"/>
        <rFont val="Times New Roman"/>
        <family val="1"/>
      </rPr>
      <t>–1</t>
    </r>
    <r>
      <rPr>
        <sz val="12"/>
        <color theme="1"/>
        <rFont val="Times New Roman"/>
        <family val="1"/>
      </rPr>
      <t>)</t>
    </r>
    <phoneticPr fontId="18" type="noConversion"/>
  </si>
  <si>
    <r>
      <t>mol yr</t>
    </r>
    <r>
      <rPr>
        <vertAlign val="superscript"/>
        <sz val="12"/>
        <rFont val="Times New Roman"/>
        <family val="1"/>
      </rPr>
      <t>–1</t>
    </r>
    <phoneticPr fontId="2"/>
  </si>
  <si>
    <r>
      <t>Assuming 0.6-fold silicate weathering of present value of 1800 mol yr</t>
    </r>
    <r>
      <rPr>
        <vertAlign val="superscript"/>
        <sz val="12"/>
        <rFont val="Times New Roman"/>
        <family val="1"/>
      </rPr>
      <t>–1</t>
    </r>
    <r>
      <rPr>
        <sz val="12"/>
        <rFont val="Times New Roman"/>
        <family val="1"/>
      </rPr>
      <t>; Li &amp; Elderfield (2013 GCA)</t>
    </r>
    <phoneticPr fontId="2"/>
  </si>
  <si>
    <t>Calculated for steady state at Rsw = 0.40; Interpreted to be including Deccan Traps weathering</t>
    <phoneticPr fontId="2"/>
  </si>
  <si>
    <t>Calculated for steady state</t>
    <phoneticPr fontId="2"/>
  </si>
  <si>
    <r>
      <t>N</t>
    </r>
    <r>
      <rPr>
        <vertAlign val="subscript"/>
        <sz val="12"/>
        <rFont val="Times New Roman"/>
        <family val="1"/>
      </rPr>
      <t>gw</t>
    </r>
    <phoneticPr fontId="2"/>
  </si>
  <si>
    <r>
      <t>N</t>
    </r>
    <r>
      <rPr>
        <vertAlign val="subscript"/>
        <sz val="12"/>
        <rFont val="Times New Roman"/>
        <family val="1"/>
      </rPr>
      <t>mw</t>
    </r>
    <phoneticPr fontId="2"/>
  </si>
  <si>
    <t>Os inventroy in the GoM</t>
    <phoneticPr fontId="2"/>
  </si>
  <si>
    <r>
      <t xml:space="preserve">Uncertainties on each digestions are estimated by error propagation of uncertainties in N-TIMS (Os and </t>
    </r>
    <r>
      <rPr>
        <vertAlign val="superscript"/>
        <sz val="12"/>
        <rFont val="Times New Roman"/>
        <family val="1"/>
      </rPr>
      <t>187</t>
    </r>
    <r>
      <rPr>
        <sz val="12"/>
        <rFont val="Times New Roman"/>
        <family val="1"/>
      </rPr>
      <t>Os/</t>
    </r>
    <r>
      <rPr>
        <vertAlign val="superscript"/>
        <sz val="12"/>
        <rFont val="Times New Roman"/>
        <family val="1"/>
      </rPr>
      <t>188</t>
    </r>
    <r>
      <rPr>
        <sz val="12"/>
        <rFont val="Times New Roman"/>
        <family val="1"/>
      </rPr>
      <t>Os) and ICP-MS (except for Os) measurements (2SE) and blank correction.</t>
    </r>
    <phoneticPr fontId="2"/>
  </si>
  <si>
    <r>
      <t>The age-corrected initial Os isotope ratios (</t>
    </r>
    <r>
      <rPr>
        <vertAlign val="superscript"/>
        <sz val="12"/>
        <rFont val="Times New Roman"/>
        <family val="1"/>
      </rPr>
      <t>187</t>
    </r>
    <r>
      <rPr>
        <sz val="12"/>
        <rFont val="Times New Roman"/>
        <family val="1"/>
      </rPr>
      <t>Os/</t>
    </r>
    <r>
      <rPr>
        <vertAlign val="superscript"/>
        <sz val="12"/>
        <rFont val="Times New Roman"/>
        <family val="1"/>
      </rPr>
      <t>188</t>
    </r>
    <r>
      <rPr>
        <sz val="12"/>
        <rFont val="Times New Roman"/>
        <family val="1"/>
      </rPr>
      <t>Os</t>
    </r>
    <r>
      <rPr>
        <i/>
        <vertAlign val="subscript"/>
        <sz val="12"/>
        <rFont val="Times New Roman"/>
        <family val="1"/>
      </rPr>
      <t>i</t>
    </r>
    <r>
      <rPr>
        <sz val="12"/>
        <rFont val="Times New Roman"/>
        <family val="1"/>
      </rPr>
      <t>) are calculated using the age in each sampels estimated by new biochronological scales (Biozones A21; Arenillas et al., 2021) and sedimentation rate.</t>
    </r>
    <phoneticPr fontId="2"/>
  </si>
  <si>
    <t>Supplementary Data 1. New biochronology scales of planktic foraminifera for the Paleocene interval of Site M0077.</t>
    <phoneticPr fontId="2"/>
  </si>
  <si>
    <t>Supplementary Data 2. HSE concentrations and Re-Os isotope ratios in the Paleocene limestone recovered from drill core at Site M0077.</t>
    <phoneticPr fontId="2"/>
  </si>
  <si>
    <t>Supplementary Data 3. HSE concentrations and Re-Os isotope ratios in the early Paleocene clay, marl, limestone samples in the Gulf of Mexico regions with new biochronology scales.</t>
    <phoneticPr fontId="2"/>
  </si>
  <si>
    <t>Supplementary Data 4. Re and Os concentrations and Re-Os isotope ratios across the K/Pg boundary obtained from ODP Hole 1262B, South Atlantic with new calibrated age.</t>
    <phoneticPr fontId="2"/>
  </si>
  <si>
    <t>Supplementary Data 5. HSE concentrations and Re-Os isotope ratios across the K/Pg boundary obtained from ODP Hole 690C, Southern Ocean with new calibrated age.</t>
    <phoneticPr fontId="2"/>
  </si>
  <si>
    <t>Supplementary Data 6. Parameters of the Os mass balance model calculation between the global ocean and the Gulf of Mexico after the K/Pg impact.</t>
    <phoneticPr fontId="2"/>
  </si>
  <si>
    <r>
      <t>The initial Os ratios (</t>
    </r>
    <r>
      <rPr>
        <vertAlign val="superscript"/>
        <sz val="12"/>
        <color theme="1"/>
        <rFont val="Times New Roman"/>
        <family val="1"/>
      </rPr>
      <t>187</t>
    </r>
    <r>
      <rPr>
        <sz val="12"/>
        <color theme="1"/>
        <rFont val="Times New Roman"/>
        <family val="1"/>
      </rPr>
      <t>Os/</t>
    </r>
    <r>
      <rPr>
        <vertAlign val="superscript"/>
        <sz val="12"/>
        <color theme="1"/>
        <rFont val="Times New Roman"/>
        <family val="1"/>
      </rPr>
      <t>188</t>
    </r>
    <r>
      <rPr>
        <sz val="12"/>
        <color theme="1"/>
        <rFont val="Times New Roman"/>
        <family val="1"/>
      </rPr>
      <t>Os</t>
    </r>
    <r>
      <rPr>
        <i/>
        <vertAlign val="subscript"/>
        <sz val="12"/>
        <color theme="1"/>
        <rFont val="Times New Roman"/>
        <family val="1"/>
      </rPr>
      <t>i</t>
    </r>
    <r>
      <rPr>
        <sz val="12"/>
        <color theme="1"/>
        <rFont val="Times New Roman"/>
        <family val="1"/>
      </rPr>
      <t>) are calculated using the age in each sampels estimated by new biochronological scales (Biozones A21; Arenillas et al., 2021) and sedimentation rate.</t>
    </r>
    <phoneticPr fontId="2"/>
  </si>
  <si>
    <r>
      <t xml:space="preserve">Uncertainties on each digestions are estimated by error propagation of uncertainties in N-TIMS (Os and </t>
    </r>
    <r>
      <rPr>
        <vertAlign val="superscript"/>
        <sz val="12"/>
        <color theme="1"/>
        <rFont val="Times New Roman"/>
        <family val="1"/>
      </rPr>
      <t>187</t>
    </r>
    <r>
      <rPr>
        <sz val="12"/>
        <color theme="1"/>
        <rFont val="Times New Roman"/>
        <family val="1"/>
      </rPr>
      <t>Os/</t>
    </r>
    <r>
      <rPr>
        <vertAlign val="superscript"/>
        <sz val="12"/>
        <color theme="1"/>
        <rFont val="Times New Roman"/>
        <family val="1"/>
      </rPr>
      <t>188</t>
    </r>
    <r>
      <rPr>
        <sz val="12"/>
        <color theme="1"/>
        <rFont val="Times New Roman"/>
        <family val="1"/>
      </rPr>
      <t>Os) and ICP-MS (except for Os) measurements (2SE) and blank correction.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</si>
</sst>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00"/>
    <numFmt numFmtId="177" formatCode="0.00000"/>
    <numFmt numFmtId="178" formatCode="0.00__"/>
    <numFmt numFmtId="179" formatCode="0.0000"/>
    <numFmt numFmtId="180" formatCode="0.0"/>
    <numFmt numFmtId="181" formatCode="0.0__"/>
    <numFmt numFmtId="182" formatCode="0.000__"/>
    <numFmt numFmtId="183" formatCode="0____"/>
    <numFmt numFmtId="184" formatCode="0.000_ "/>
    <numFmt numFmtId="185" formatCode="0.0000000_ "/>
    <numFmt numFmtId="186" formatCode="0.000000000"/>
    <numFmt numFmtId="187" formatCode="0.0.E+00"/>
    <numFmt numFmtId="188" formatCode="0_);[Red]\(0\)"/>
  </numFmts>
  <fonts count="35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Arial"/>
      <family val="2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ArialMT"/>
      <family val="2"/>
    </font>
    <font>
      <sz val="8"/>
      <name val="ArialMT"/>
      <family val="2"/>
    </font>
    <font>
      <sz val="12"/>
      <color rgb="FF000000"/>
      <name val="Times New Roman"/>
      <family val="1"/>
    </font>
    <font>
      <vertAlign val="superscript"/>
      <sz val="12"/>
      <name val="Times New Roman"/>
      <family val="1"/>
    </font>
    <font>
      <vertAlign val="superscript"/>
      <sz val="11"/>
      <name val="Times New Roman"/>
      <family val="1"/>
    </font>
    <font>
      <sz val="10"/>
      <name val="Verdana"/>
      <family val="2"/>
    </font>
    <font>
      <b/>
      <i/>
      <sz val="12"/>
      <color theme="1"/>
      <name val="Times New Roman"/>
      <family val="1"/>
    </font>
    <font>
      <vertAlign val="subscript"/>
      <sz val="12"/>
      <name val="Times New Roman"/>
      <family val="1"/>
    </font>
    <font>
      <b/>
      <vertAlign val="subscript"/>
      <sz val="12"/>
      <color theme="1"/>
      <name val="Times New Roman"/>
      <family val="1"/>
    </font>
    <font>
      <i/>
      <sz val="12"/>
      <name val="Times New Roman"/>
      <family val="1"/>
    </font>
    <font>
      <sz val="12"/>
      <name val="MS Mincho"/>
      <family val="1"/>
      <charset val="128"/>
    </font>
    <font>
      <vertAlign val="superscript"/>
      <sz val="11"/>
      <color theme="1"/>
      <name val="Times New Roman"/>
      <family val="1"/>
    </font>
    <font>
      <b/>
      <sz val="12"/>
      <name val="Arial"/>
      <family val="2"/>
    </font>
    <font>
      <b/>
      <i/>
      <sz val="12"/>
      <name val="Arial"/>
      <family val="2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  <charset val="1"/>
    </font>
    <font>
      <i/>
      <vertAlign val="subscript"/>
      <sz val="12"/>
      <name val="Times New Roman"/>
      <family val="1"/>
    </font>
    <font>
      <i/>
      <vertAlign val="sub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/>
    <xf numFmtId="0" fontId="3" fillId="0" borderId="0"/>
    <xf numFmtId="0" fontId="6" fillId="0" borderId="0"/>
    <xf numFmtId="0" fontId="17" fillId="0" borderId="0"/>
    <xf numFmtId="0" fontId="17" fillId="0" borderId="0"/>
    <xf numFmtId="0" fontId="22" fillId="0" borderId="0"/>
    <xf numFmtId="0" fontId="6" fillId="0" borderId="0"/>
  </cellStyleXfs>
  <cellXfs count="294">
    <xf numFmtId="0" fontId="0" fillId="0" borderId="0" xfId="0">
      <alignment vertical="center"/>
    </xf>
    <xf numFmtId="0" fontId="7" fillId="0" borderId="0" xfId="1" applyFont="1"/>
    <xf numFmtId="0" fontId="7" fillId="0" borderId="0" xfId="1" applyFont="1" applyAlignme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1" applyFont="1" applyAlignment="1">
      <alignment vertical="center" wrapText="1"/>
    </xf>
    <xf numFmtId="0" fontId="8" fillId="0" borderId="0" xfId="2" applyFont="1" applyAlignment="1">
      <alignment vertical="center" wrapTex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8" fillId="0" borderId="0" xfId="2" applyFont="1"/>
    <xf numFmtId="176" fontId="7" fillId="0" borderId="0" xfId="1" applyNumberFormat="1" applyFont="1" applyAlignment="1">
      <alignment vertical="center" wrapText="1"/>
    </xf>
    <xf numFmtId="180" fontId="8" fillId="0" borderId="0" xfId="2" applyNumberFormat="1" applyFont="1" applyAlignment="1">
      <alignment vertical="center" wrapText="1"/>
    </xf>
    <xf numFmtId="176" fontId="8" fillId="0" borderId="0" xfId="2" applyNumberFormat="1" applyFont="1" applyAlignment="1">
      <alignment vertical="center" wrapText="1"/>
    </xf>
    <xf numFmtId="176" fontId="7" fillId="0" borderId="0" xfId="1" applyNumberFormat="1" applyFont="1"/>
    <xf numFmtId="178" fontId="7" fillId="0" borderId="0" xfId="1" applyNumberFormat="1" applyFont="1"/>
    <xf numFmtId="180" fontId="7" fillId="0" borderId="0" xfId="1" applyNumberFormat="1" applyFont="1"/>
    <xf numFmtId="179" fontId="7" fillId="0" borderId="0" xfId="1" applyNumberFormat="1" applyFont="1"/>
    <xf numFmtId="1" fontId="7" fillId="0" borderId="0" xfId="1" applyNumberFormat="1" applyFont="1"/>
    <xf numFmtId="2" fontId="7" fillId="0" borderId="0" xfId="1" applyNumberFormat="1" applyFont="1"/>
    <xf numFmtId="2" fontId="10" fillId="0" borderId="0" xfId="0" applyNumberFormat="1" applyFont="1" applyAlignment="1"/>
    <xf numFmtId="0" fontId="11" fillId="0" borderId="0" xfId="1" applyFont="1"/>
    <xf numFmtId="2" fontId="11" fillId="0" borderId="0" xfId="1" applyNumberFormat="1" applyFont="1"/>
    <xf numFmtId="176" fontId="11" fillId="0" borderId="0" xfId="1" applyNumberFormat="1" applyFont="1"/>
    <xf numFmtId="180" fontId="11" fillId="0" borderId="0" xfId="1" applyNumberFormat="1" applyFont="1"/>
    <xf numFmtId="1" fontId="11" fillId="0" borderId="0" xfId="1" applyNumberFormat="1" applyFont="1"/>
    <xf numFmtId="180" fontId="10" fillId="0" borderId="0" xfId="1" applyNumberFormat="1" applyFont="1"/>
    <xf numFmtId="1" fontId="10" fillId="0" borderId="0" xfId="1" applyNumberFormat="1" applyFont="1"/>
    <xf numFmtId="2" fontId="10" fillId="0" borderId="0" xfId="1" applyNumberFormat="1" applyFont="1"/>
    <xf numFmtId="179" fontId="11" fillId="0" borderId="0" xfId="1" applyNumberFormat="1" applyFont="1" applyAlignment="1">
      <alignment horizontal="center"/>
    </xf>
    <xf numFmtId="0" fontId="12" fillId="0" borderId="0" xfId="1" applyFont="1"/>
    <xf numFmtId="2" fontId="12" fillId="0" borderId="0" xfId="1" applyNumberFormat="1" applyFont="1"/>
    <xf numFmtId="176" fontId="12" fillId="0" borderId="0" xfId="1" applyNumberFormat="1" applyFont="1"/>
    <xf numFmtId="179" fontId="12" fillId="0" borderId="0" xfId="1" applyNumberFormat="1" applyFont="1" applyAlignment="1">
      <alignment horizontal="center"/>
    </xf>
    <xf numFmtId="180" fontId="12" fillId="0" borderId="0" xfId="1" applyNumberFormat="1" applyFont="1"/>
    <xf numFmtId="1" fontId="12" fillId="0" borderId="0" xfId="1" applyNumberFormat="1" applyFont="1"/>
    <xf numFmtId="0" fontId="14" fillId="0" borderId="0" xfId="1" applyFont="1"/>
    <xf numFmtId="179" fontId="12" fillId="0" borderId="0" xfId="1" applyNumberFormat="1" applyFont="1"/>
    <xf numFmtId="181" fontId="7" fillId="0" borderId="0" xfId="1" applyNumberFormat="1" applyFont="1"/>
    <xf numFmtId="0" fontId="10" fillId="0" borderId="0" xfId="1" applyFont="1"/>
    <xf numFmtId="1" fontId="13" fillId="0" borderId="0" xfId="1" applyNumberFormat="1" applyFont="1"/>
    <xf numFmtId="179" fontId="8" fillId="0" borderId="0" xfId="1" applyNumberFormat="1" applyFont="1"/>
    <xf numFmtId="179" fontId="11" fillId="0" borderId="0" xfId="1" applyNumberFormat="1" applyFont="1"/>
    <xf numFmtId="176" fontId="10" fillId="0" borderId="0" xfId="1" applyNumberFormat="1" applyFont="1"/>
    <xf numFmtId="179" fontId="10" fillId="0" borderId="0" xfId="1" applyNumberFormat="1" applyFont="1"/>
    <xf numFmtId="178" fontId="10" fillId="0" borderId="0" xfId="1" applyNumberFormat="1" applyFont="1"/>
    <xf numFmtId="0" fontId="7" fillId="0" borderId="0" xfId="1" applyFont="1" applyAlignment="1">
      <alignment horizontal="center"/>
    </xf>
    <xf numFmtId="179" fontId="7" fillId="0" borderId="0" xfId="1" applyNumberFormat="1" applyFont="1" applyAlignment="1">
      <alignment horizontal="center"/>
    </xf>
    <xf numFmtId="179" fontId="8" fillId="0" borderId="0" xfId="1" applyNumberFormat="1" applyFont="1" applyAlignment="1">
      <alignment horizontal="center"/>
    </xf>
    <xf numFmtId="176" fontId="10" fillId="0" borderId="0" xfId="1" applyNumberFormat="1" applyFont="1" applyAlignment="1">
      <alignment horizontal="center"/>
    </xf>
    <xf numFmtId="1" fontId="10" fillId="0" borderId="0" xfId="1" applyNumberFormat="1" applyFont="1" applyAlignment="1">
      <alignment horizontal="center"/>
    </xf>
    <xf numFmtId="176" fontId="7" fillId="0" borderId="0" xfId="1" applyNumberFormat="1" applyFont="1" applyAlignment="1">
      <alignment horizontal="center"/>
    </xf>
    <xf numFmtId="179" fontId="10" fillId="0" borderId="0" xfId="1" applyNumberFormat="1" applyFont="1" applyAlignment="1">
      <alignment horizontal="center"/>
    </xf>
    <xf numFmtId="180" fontId="10" fillId="0" borderId="0" xfId="1" applyNumberFormat="1" applyFont="1" applyAlignment="1">
      <alignment horizontal="center"/>
    </xf>
    <xf numFmtId="0" fontId="7" fillId="0" borderId="3" xfId="1" applyFont="1" applyBorder="1" applyAlignment="1">
      <alignment horizontal="center" vertical="center" wrapText="1"/>
    </xf>
    <xf numFmtId="0" fontId="16" fillId="0" borderId="3" xfId="3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1" xfId="2" applyFont="1" applyBorder="1" applyAlignment="1">
      <alignment vertical="center" wrapText="1"/>
    </xf>
    <xf numFmtId="0" fontId="8" fillId="0" borderId="1" xfId="2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76" fontId="8" fillId="0" borderId="0" xfId="1" applyNumberFormat="1" applyFont="1" applyAlignment="1">
      <alignment vertical="center" wrapText="1"/>
    </xf>
    <xf numFmtId="176" fontId="11" fillId="0" borderId="0" xfId="1" applyNumberFormat="1" applyFont="1" applyAlignment="1">
      <alignment vertical="center" wrapText="1"/>
    </xf>
    <xf numFmtId="176" fontId="7" fillId="0" borderId="0" xfId="0" applyNumberFormat="1" applyFont="1">
      <alignment vertical="center"/>
    </xf>
    <xf numFmtId="0" fontId="10" fillId="0" borderId="0" xfId="1" applyFont="1" applyAlignment="1">
      <alignment vertical="center"/>
    </xf>
    <xf numFmtId="2" fontId="10" fillId="0" borderId="0" xfId="1" applyNumberFormat="1" applyFont="1" applyAlignment="1">
      <alignment vertical="center"/>
    </xf>
    <xf numFmtId="0" fontId="7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7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8" fillId="0" borderId="2" xfId="2" applyFont="1" applyBorder="1" applyAlignment="1">
      <alignment vertical="center" wrapText="1"/>
    </xf>
    <xf numFmtId="0" fontId="11" fillId="0" borderId="0" xfId="3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2" fontId="7" fillId="0" borderId="0" xfId="0" applyNumberFormat="1" applyFont="1">
      <alignment vertical="center"/>
    </xf>
    <xf numFmtId="176" fontId="7" fillId="0" borderId="0" xfId="1" applyNumberFormat="1" applyFont="1" applyAlignment="1">
      <alignment vertical="center"/>
    </xf>
    <xf numFmtId="180" fontId="7" fillId="0" borderId="0" xfId="1" applyNumberFormat="1" applyFont="1" applyAlignment="1">
      <alignment vertical="center"/>
    </xf>
    <xf numFmtId="179" fontId="7" fillId="0" borderId="0" xfId="1" applyNumberFormat="1" applyFont="1" applyAlignment="1">
      <alignment vertical="center"/>
    </xf>
    <xf numFmtId="178" fontId="7" fillId="0" borderId="0" xfId="1" applyNumberFormat="1" applyFont="1" applyAlignment="1">
      <alignment vertical="center"/>
    </xf>
    <xf numFmtId="2" fontId="10" fillId="0" borderId="0" xfId="0" applyNumberFormat="1" applyFont="1">
      <alignment vertical="center"/>
    </xf>
    <xf numFmtId="2" fontId="7" fillId="0" borderId="0" xfId="1" applyNumberFormat="1" applyFont="1" applyAlignment="1">
      <alignment vertical="center"/>
    </xf>
    <xf numFmtId="2" fontId="1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2" fontId="12" fillId="0" borderId="0" xfId="1" applyNumberFormat="1" applyFont="1" applyAlignment="1">
      <alignment vertical="center"/>
    </xf>
    <xf numFmtId="176" fontId="10" fillId="0" borderId="0" xfId="1" applyNumberFormat="1" applyFont="1" applyAlignment="1">
      <alignment vertical="center"/>
    </xf>
    <xf numFmtId="181" fontId="7" fillId="0" borderId="0" xfId="1" applyNumberFormat="1" applyFont="1" applyAlignment="1">
      <alignment vertical="center"/>
    </xf>
    <xf numFmtId="176" fontId="14" fillId="0" borderId="0" xfId="1" applyNumberFormat="1" applyFont="1" applyAlignment="1">
      <alignment vertical="center"/>
    </xf>
    <xf numFmtId="181" fontId="11" fillId="0" borderId="0" xfId="1" applyNumberFormat="1" applyFont="1" applyAlignment="1">
      <alignment vertical="center"/>
    </xf>
    <xf numFmtId="183" fontId="7" fillId="0" borderId="0" xfId="1" applyNumberFormat="1" applyFont="1" applyAlignment="1">
      <alignment vertical="center"/>
    </xf>
    <xf numFmtId="182" fontId="7" fillId="0" borderId="0" xfId="1" applyNumberFormat="1" applyFont="1" applyAlignment="1">
      <alignment vertical="center"/>
    </xf>
    <xf numFmtId="183" fontId="11" fillId="0" borderId="0" xfId="1" applyNumberFormat="1" applyFont="1" applyAlignment="1">
      <alignment vertical="center"/>
    </xf>
    <xf numFmtId="0" fontId="10" fillId="0" borderId="1" xfId="1" applyFont="1" applyBorder="1" applyAlignment="1">
      <alignment vertical="center"/>
    </xf>
    <xf numFmtId="2" fontId="10" fillId="0" borderId="1" xfId="0" applyNumberFormat="1" applyFont="1" applyBorder="1">
      <alignment vertical="center"/>
    </xf>
    <xf numFmtId="176" fontId="14" fillId="0" borderId="1" xfId="1" applyNumberFormat="1" applyFont="1" applyBorder="1" applyAlignment="1">
      <alignment vertical="center"/>
    </xf>
    <xf numFmtId="176" fontId="7" fillId="0" borderId="1" xfId="1" applyNumberFormat="1" applyFont="1" applyBorder="1" applyAlignment="1">
      <alignment vertical="center"/>
    </xf>
    <xf numFmtId="183" fontId="7" fillId="0" borderId="1" xfId="1" applyNumberFormat="1" applyFont="1" applyBorder="1" applyAlignment="1">
      <alignment vertical="center"/>
    </xf>
    <xf numFmtId="182" fontId="7" fillId="0" borderId="1" xfId="1" applyNumberFormat="1" applyFont="1" applyBorder="1" applyAlignment="1">
      <alignment vertical="center"/>
    </xf>
    <xf numFmtId="182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179" fontId="7" fillId="0" borderId="1" xfId="1" applyNumberFormat="1" applyFont="1" applyBorder="1" applyAlignment="1">
      <alignment vertical="center"/>
    </xf>
    <xf numFmtId="182" fontId="7" fillId="0" borderId="0" xfId="1" applyNumberFormat="1" applyFont="1" applyAlignment="1">
      <alignment horizontal="center" vertical="center"/>
    </xf>
    <xf numFmtId="176" fontId="8" fillId="0" borderId="0" xfId="1" applyNumberFormat="1" applyFont="1" applyAlignment="1">
      <alignment vertical="center"/>
    </xf>
    <xf numFmtId="179" fontId="8" fillId="0" borderId="0" xfId="1" applyNumberFormat="1" applyFont="1" applyAlignment="1">
      <alignment vertical="center"/>
    </xf>
    <xf numFmtId="1" fontId="7" fillId="0" borderId="0" xfId="1" applyNumberFormat="1" applyFont="1" applyAlignment="1">
      <alignment vertical="center"/>
    </xf>
    <xf numFmtId="179" fontId="7" fillId="0" borderId="0" xfId="3" applyNumberFormat="1" applyFont="1" applyAlignment="1">
      <alignment vertical="center"/>
    </xf>
    <xf numFmtId="179" fontId="11" fillId="0" borderId="0" xfId="3" applyNumberFormat="1" applyFont="1" applyAlignment="1">
      <alignment vertical="center"/>
    </xf>
    <xf numFmtId="176" fontId="11" fillId="0" borderId="0" xfId="1" applyNumberFormat="1" applyFont="1" applyAlignment="1">
      <alignment vertical="center"/>
    </xf>
    <xf numFmtId="180" fontId="11" fillId="0" borderId="0" xfId="1" applyNumberFormat="1" applyFont="1" applyAlignment="1">
      <alignment vertical="center"/>
    </xf>
    <xf numFmtId="1" fontId="11" fillId="0" borderId="0" xfId="1" applyNumberFormat="1" applyFont="1" applyAlignment="1">
      <alignment vertical="center"/>
    </xf>
    <xf numFmtId="180" fontId="10" fillId="0" borderId="0" xfId="1" applyNumberFormat="1" applyFont="1" applyAlignment="1">
      <alignment vertical="center"/>
    </xf>
    <xf numFmtId="1" fontId="10" fillId="0" borderId="0" xfId="1" applyNumberFormat="1" applyFont="1" applyAlignment="1">
      <alignment vertical="center"/>
    </xf>
    <xf numFmtId="179" fontId="11" fillId="0" borderId="0" xfId="1" applyNumberFormat="1" applyFont="1" applyAlignment="1">
      <alignment horizontal="center" vertical="center"/>
    </xf>
    <xf numFmtId="176" fontId="12" fillId="0" borderId="0" xfId="1" applyNumberFormat="1" applyFont="1" applyAlignment="1">
      <alignment vertical="center"/>
    </xf>
    <xf numFmtId="179" fontId="12" fillId="0" borderId="0" xfId="1" applyNumberFormat="1" applyFont="1" applyAlignment="1">
      <alignment horizontal="center" vertical="center"/>
    </xf>
    <xf numFmtId="180" fontId="12" fillId="0" borderId="0" xfId="1" applyNumberFormat="1" applyFont="1" applyAlignment="1">
      <alignment vertical="center"/>
    </xf>
    <xf numFmtId="1" fontId="12" fillId="0" borderId="0" xfId="1" applyNumberFormat="1" applyFont="1" applyAlignment="1">
      <alignment vertical="center"/>
    </xf>
    <xf numFmtId="179" fontId="12" fillId="0" borderId="0" xfId="1" applyNumberFormat="1" applyFont="1" applyAlignment="1">
      <alignment vertical="center"/>
    </xf>
    <xf numFmtId="182" fontId="7" fillId="0" borderId="0" xfId="3" applyNumberFormat="1" applyFont="1" applyAlignment="1">
      <alignment vertical="center"/>
    </xf>
    <xf numFmtId="179" fontId="13" fillId="0" borderId="0" xfId="3" applyNumberFormat="1" applyFont="1" applyAlignment="1">
      <alignment vertical="center"/>
    </xf>
    <xf numFmtId="1" fontId="13" fillId="0" borderId="0" xfId="1" applyNumberFormat="1" applyFont="1" applyAlignment="1">
      <alignment vertical="center"/>
    </xf>
    <xf numFmtId="179" fontId="7" fillId="0" borderId="0" xfId="1" applyNumberFormat="1" applyFont="1" applyAlignment="1">
      <alignment horizontal="center" vertical="center"/>
    </xf>
    <xf numFmtId="179" fontId="10" fillId="0" borderId="0" xfId="1" applyNumberFormat="1" applyFont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2" xfId="0" applyFont="1" applyBorder="1">
      <alignment vertical="center"/>
    </xf>
    <xf numFmtId="176" fontId="7" fillId="0" borderId="2" xfId="1" applyNumberFormat="1" applyFont="1" applyBorder="1" applyAlignment="1">
      <alignment vertical="center"/>
    </xf>
    <xf numFmtId="2" fontId="7" fillId="0" borderId="2" xfId="1" applyNumberFormat="1" applyFont="1" applyBorder="1" applyAlignment="1">
      <alignment vertical="center"/>
    </xf>
    <xf numFmtId="179" fontId="7" fillId="0" borderId="2" xfId="3" applyNumberFormat="1" applyFont="1" applyBorder="1" applyAlignment="1">
      <alignment vertical="center"/>
    </xf>
    <xf numFmtId="0" fontId="7" fillId="0" borderId="0" xfId="4" applyFont="1"/>
    <xf numFmtId="0" fontId="7" fillId="0" borderId="0" xfId="4" applyFont="1" applyAlignment="1">
      <alignment horizontal="center"/>
    </xf>
    <xf numFmtId="0" fontId="7" fillId="0" borderId="3" xfId="4" applyFont="1" applyBorder="1" applyAlignment="1">
      <alignment horizontal="center"/>
    </xf>
    <xf numFmtId="0" fontId="7" fillId="0" borderId="0" xfId="4" applyFont="1" applyAlignment="1">
      <alignment horizontal="left"/>
    </xf>
    <xf numFmtId="0" fontId="11" fillId="0" borderId="0" xfId="4" applyFont="1" applyAlignment="1">
      <alignment horizontal="center"/>
    </xf>
    <xf numFmtId="0" fontId="11" fillId="0" borderId="0" xfId="4" applyFont="1"/>
    <xf numFmtId="0" fontId="8" fillId="0" borderId="0" xfId="4" applyFont="1" applyAlignment="1">
      <alignment horizontal="center"/>
    </xf>
    <xf numFmtId="2" fontId="7" fillId="0" borderId="0" xfId="4" applyNumberFormat="1" applyFont="1"/>
    <xf numFmtId="2" fontId="11" fillId="0" borderId="0" xfId="4" applyNumberFormat="1" applyFont="1" applyAlignment="1">
      <alignment horizontal="center"/>
    </xf>
    <xf numFmtId="176" fontId="11" fillId="0" borderId="0" xfId="4" applyNumberFormat="1" applyFont="1" applyAlignment="1">
      <alignment horizontal="center"/>
    </xf>
    <xf numFmtId="0" fontId="7" fillId="0" borderId="1" xfId="4" applyFont="1" applyBorder="1"/>
    <xf numFmtId="2" fontId="7" fillId="0" borderId="1" xfId="4" applyNumberFormat="1" applyFont="1" applyBorder="1"/>
    <xf numFmtId="0" fontId="7" fillId="0" borderId="2" xfId="4" applyFont="1" applyBorder="1"/>
    <xf numFmtId="0" fontId="7" fillId="0" borderId="1" xfId="4" applyFont="1" applyBorder="1" applyAlignment="1">
      <alignment horizontal="center"/>
    </xf>
    <xf numFmtId="2" fontId="7" fillId="0" borderId="2" xfId="4" applyNumberFormat="1" applyFont="1" applyBorder="1"/>
    <xf numFmtId="0" fontId="7" fillId="0" borderId="2" xfId="4" applyFont="1" applyBorder="1" applyAlignment="1">
      <alignment horizontal="center"/>
    </xf>
    <xf numFmtId="176" fontId="7" fillId="0" borderId="0" xfId="4" applyNumberFormat="1" applyFont="1" applyAlignment="1">
      <alignment horizontal="center"/>
    </xf>
    <xf numFmtId="176" fontId="8" fillId="0" borderId="0" xfId="4" applyNumberFormat="1" applyFont="1" applyAlignment="1">
      <alignment horizontal="center"/>
    </xf>
    <xf numFmtId="176" fontId="8" fillId="0" borderId="1" xfId="4" applyNumberFormat="1" applyFont="1" applyBorder="1" applyAlignment="1">
      <alignment horizontal="center"/>
    </xf>
    <xf numFmtId="176" fontId="7" fillId="0" borderId="2" xfId="4" applyNumberFormat="1" applyFont="1" applyBorder="1" applyAlignment="1">
      <alignment horizontal="center"/>
    </xf>
    <xf numFmtId="176" fontId="7" fillId="0" borderId="1" xfId="4" applyNumberFormat="1" applyFont="1" applyBorder="1" applyAlignment="1">
      <alignment horizontal="center"/>
    </xf>
    <xf numFmtId="176" fontId="8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right"/>
    </xf>
    <xf numFmtId="2" fontId="7" fillId="0" borderId="0" xfId="4" applyNumberFormat="1" applyFont="1" applyAlignment="1">
      <alignment horizontal="right"/>
    </xf>
    <xf numFmtId="2" fontId="7" fillId="0" borderId="1" xfId="4" applyNumberFormat="1" applyFont="1" applyBorder="1" applyAlignment="1">
      <alignment horizontal="right"/>
    </xf>
    <xf numFmtId="0" fontId="8" fillId="0" borderId="1" xfId="4" applyFont="1" applyBorder="1" applyAlignment="1">
      <alignment horizontal="center"/>
    </xf>
    <xf numFmtId="2" fontId="7" fillId="0" borderId="2" xfId="4" applyNumberFormat="1" applyFont="1" applyBorder="1" applyAlignment="1">
      <alignment horizontal="right"/>
    </xf>
    <xf numFmtId="0" fontId="7" fillId="0" borderId="1" xfId="4" applyFont="1" applyBorder="1" applyAlignment="1">
      <alignment horizontal="right"/>
    </xf>
    <xf numFmtId="0" fontId="15" fillId="0" borderId="4" xfId="4" applyFont="1" applyBorder="1" applyAlignment="1">
      <alignment horizontal="center"/>
    </xf>
    <xf numFmtId="2" fontId="7" fillId="0" borderId="5" xfId="4" applyNumberFormat="1" applyFont="1" applyBorder="1" applyAlignment="1">
      <alignment horizontal="center"/>
    </xf>
    <xf numFmtId="0" fontId="7" fillId="0" borderId="6" xfId="4" applyFont="1" applyBorder="1" applyAlignment="1">
      <alignment horizontal="center" vertical="center"/>
    </xf>
    <xf numFmtId="0" fontId="15" fillId="0" borderId="7" xfId="4" applyFont="1" applyBorder="1" applyAlignment="1">
      <alignment horizontal="center"/>
    </xf>
    <xf numFmtId="2" fontId="7" fillId="0" borderId="8" xfId="4" applyNumberFormat="1" applyFont="1" applyBorder="1" applyAlignment="1">
      <alignment horizontal="center"/>
    </xf>
    <xf numFmtId="0" fontId="7" fillId="0" borderId="9" xfId="4" applyFont="1" applyBorder="1" applyAlignment="1">
      <alignment horizontal="center" vertical="center"/>
    </xf>
    <xf numFmtId="0" fontId="7" fillId="0" borderId="7" xfId="4" applyFont="1" applyBorder="1" applyAlignment="1">
      <alignment horizontal="center"/>
    </xf>
    <xf numFmtId="0" fontId="7" fillId="0" borderId="9" xfId="4" applyFont="1" applyBorder="1" applyAlignment="1">
      <alignment horizontal="center"/>
    </xf>
    <xf numFmtId="0" fontId="19" fillId="0" borderId="7" xfId="5" applyFont="1" applyBorder="1" applyAlignment="1">
      <alignment horizontal="center" vertical="center"/>
    </xf>
    <xf numFmtId="0" fontId="7" fillId="0" borderId="8" xfId="4" applyFont="1" applyBorder="1" applyAlignment="1">
      <alignment horizontal="center"/>
    </xf>
    <xf numFmtId="0" fontId="19" fillId="0" borderId="10" xfId="5" applyFont="1" applyBorder="1" applyAlignment="1">
      <alignment horizontal="center" vertical="center"/>
    </xf>
    <xf numFmtId="0" fontId="7" fillId="0" borderId="11" xfId="4" applyFont="1" applyBorder="1" applyAlignment="1">
      <alignment horizontal="center"/>
    </xf>
    <xf numFmtId="0" fontId="7" fillId="0" borderId="12" xfId="4" applyFont="1" applyBorder="1" applyAlignment="1">
      <alignment horizontal="center"/>
    </xf>
    <xf numFmtId="0" fontId="7" fillId="2" borderId="7" xfId="4" applyFont="1" applyFill="1" applyBorder="1" applyAlignment="1">
      <alignment horizontal="center"/>
    </xf>
    <xf numFmtId="2" fontId="7" fillId="2" borderId="8" xfId="4" applyNumberFormat="1" applyFont="1" applyFill="1" applyBorder="1" applyAlignment="1">
      <alignment horizontal="center"/>
    </xf>
    <xf numFmtId="0" fontId="15" fillId="2" borderId="9" xfId="4" applyFont="1" applyFill="1" applyBorder="1" applyAlignment="1">
      <alignment horizontal="center"/>
    </xf>
    <xf numFmtId="2" fontId="7" fillId="2" borderId="0" xfId="4" applyNumberFormat="1" applyFont="1" applyFill="1" applyAlignment="1">
      <alignment horizontal="right"/>
    </xf>
    <xf numFmtId="2" fontId="7" fillId="2" borderId="0" xfId="4" applyNumberFormat="1" applyFont="1" applyFill="1"/>
    <xf numFmtId="176" fontId="7" fillId="2" borderId="0" xfId="4" applyNumberFormat="1" applyFont="1" applyFill="1" applyAlignment="1">
      <alignment horizontal="center"/>
    </xf>
    <xf numFmtId="176" fontId="7" fillId="2" borderId="3" xfId="4" applyNumberFormat="1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15" fillId="0" borderId="0" xfId="4" applyFont="1" applyAlignment="1">
      <alignment horizontal="center"/>
    </xf>
    <xf numFmtId="180" fontId="7" fillId="0" borderId="0" xfId="4" applyNumberFormat="1" applyFont="1" applyAlignment="1">
      <alignment horizontal="right"/>
    </xf>
    <xf numFmtId="180" fontId="7" fillId="0" borderId="1" xfId="4" applyNumberFormat="1" applyFont="1" applyBorder="1" applyAlignment="1">
      <alignment horizontal="right"/>
    </xf>
    <xf numFmtId="0" fontId="8" fillId="0" borderId="0" xfId="4" applyFont="1" applyAlignment="1">
      <alignment horizontal="right"/>
    </xf>
    <xf numFmtId="0" fontId="7" fillId="2" borderId="0" xfId="4" applyFont="1" applyFill="1" applyAlignment="1">
      <alignment horizontal="right"/>
    </xf>
    <xf numFmtId="0" fontId="7" fillId="0" borderId="2" xfId="4" applyFont="1" applyBorder="1" applyAlignment="1">
      <alignment horizontal="right"/>
    </xf>
    <xf numFmtId="180" fontId="7" fillId="0" borderId="0" xfId="4" applyNumberFormat="1" applyFont="1" applyAlignment="1">
      <alignment horizontal="center"/>
    </xf>
    <xf numFmtId="0" fontId="10" fillId="0" borderId="0" xfId="4" applyFont="1"/>
    <xf numFmtId="0" fontId="7" fillId="0" borderId="0" xfId="4" applyFont="1" applyAlignment="1">
      <alignment vertical="center"/>
    </xf>
    <xf numFmtId="0" fontId="9" fillId="0" borderId="0" xfId="6" applyFont="1" applyAlignment="1">
      <alignment horizontal="center" vertical="center"/>
    </xf>
    <xf numFmtId="176" fontId="9" fillId="0" borderId="0" xfId="6" applyNumberFormat="1" applyFont="1" applyAlignment="1">
      <alignment horizontal="center" vertical="center"/>
    </xf>
    <xf numFmtId="180" fontId="9" fillId="0" borderId="0" xfId="6" applyNumberFormat="1" applyFont="1" applyAlignment="1">
      <alignment horizontal="center" vertical="center"/>
    </xf>
    <xf numFmtId="180" fontId="7" fillId="0" borderId="0" xfId="4" applyNumberFormat="1" applyFont="1" applyAlignment="1">
      <alignment horizontal="center" vertical="center"/>
    </xf>
    <xf numFmtId="2" fontId="7" fillId="0" borderId="0" xfId="4" applyNumberFormat="1" applyFont="1" applyAlignment="1">
      <alignment horizontal="center" vertical="center"/>
    </xf>
    <xf numFmtId="180" fontId="7" fillId="0" borderId="0" xfId="5" applyNumberFormat="1" applyFont="1" applyAlignment="1">
      <alignment horizontal="center" vertical="center"/>
    </xf>
    <xf numFmtId="176" fontId="7" fillId="0" borderId="0" xfId="5" applyNumberFormat="1" applyFont="1" applyAlignment="1">
      <alignment horizontal="center" vertical="center"/>
    </xf>
    <xf numFmtId="177" fontId="7" fillId="0" borderId="0" xfId="4" applyNumberFormat="1" applyFont="1"/>
    <xf numFmtId="0" fontId="9" fillId="0" borderId="3" xfId="3" applyFont="1" applyBorder="1" applyAlignment="1">
      <alignment horizontal="center" vertical="center" wrapText="1"/>
    </xf>
    <xf numFmtId="179" fontId="7" fillId="0" borderId="0" xfId="4" applyNumberFormat="1" applyFont="1"/>
    <xf numFmtId="179" fontId="7" fillId="0" borderId="0" xfId="4" applyNumberFormat="1" applyFont="1" applyAlignment="1">
      <alignment horizontal="left"/>
    </xf>
    <xf numFmtId="0" fontId="9" fillId="0" borderId="0" xfId="3" applyFont="1" applyAlignment="1">
      <alignment horizontal="center" vertical="center" wrapText="1"/>
    </xf>
    <xf numFmtId="0" fontId="10" fillId="0" borderId="0" xfId="4" applyFont="1" applyAlignment="1">
      <alignment horizontal="left"/>
    </xf>
    <xf numFmtId="0" fontId="7" fillId="0" borderId="3" xfId="4" applyFont="1" applyBorder="1" applyAlignment="1">
      <alignment horizontal="center" vertical="center"/>
    </xf>
    <xf numFmtId="176" fontId="10" fillId="0" borderId="0" xfId="1" applyNumberFormat="1" applyFont="1" applyAlignment="1">
      <alignment vertical="center" wrapText="1"/>
    </xf>
    <xf numFmtId="176" fontId="14" fillId="0" borderId="0" xfId="1" applyNumberFormat="1" applyFont="1" applyAlignment="1">
      <alignment vertical="center" wrapText="1"/>
    </xf>
    <xf numFmtId="0" fontId="11" fillId="0" borderId="0" xfId="4" applyFont="1" applyAlignment="1">
      <alignment horizontal="center" vertical="center"/>
    </xf>
    <xf numFmtId="176" fontId="11" fillId="0" borderId="0" xfId="2" applyNumberFormat="1" applyFont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2" fontId="10" fillId="0" borderId="0" xfId="1" applyNumberFormat="1" applyFont="1" applyAlignment="1">
      <alignment horizontal="center" vertical="center"/>
    </xf>
    <xf numFmtId="184" fontId="7" fillId="0" borderId="0" xfId="4" applyNumberFormat="1" applyFont="1"/>
    <xf numFmtId="185" fontId="7" fillId="0" borderId="0" xfId="4" applyNumberFormat="1" applyFont="1" applyAlignment="1">
      <alignment horizontal="center"/>
    </xf>
    <xf numFmtId="186" fontId="7" fillId="0" borderId="0" xfId="4" applyNumberFormat="1" applyFont="1" applyAlignment="1">
      <alignment horizontal="right"/>
    </xf>
    <xf numFmtId="0" fontId="8" fillId="0" borderId="0" xfId="0" applyFont="1">
      <alignment vertical="center"/>
    </xf>
    <xf numFmtId="187" fontId="8" fillId="0" borderId="0" xfId="0" applyNumberFormat="1" applyFont="1">
      <alignment vertical="center"/>
    </xf>
    <xf numFmtId="1" fontId="8" fillId="0" borderId="0" xfId="0" applyNumberFormat="1" applyFont="1">
      <alignment vertical="center"/>
    </xf>
    <xf numFmtId="176" fontId="8" fillId="0" borderId="0" xfId="0" applyNumberFormat="1" applyFont="1">
      <alignment vertical="center"/>
    </xf>
    <xf numFmtId="11" fontId="8" fillId="0" borderId="0" xfId="0" applyNumberFormat="1" applyFont="1">
      <alignment vertical="center"/>
    </xf>
    <xf numFmtId="2" fontId="8" fillId="0" borderId="0" xfId="0" applyNumberFormat="1" applyFont="1">
      <alignment vertical="center"/>
    </xf>
    <xf numFmtId="1" fontId="8" fillId="0" borderId="0" xfId="0" applyNumberFormat="1" applyFont="1" applyAlignment="1">
      <alignment horizontal="right" vertical="center"/>
    </xf>
    <xf numFmtId="179" fontId="8" fillId="0" borderId="0" xfId="0" applyNumberFormat="1" applyFont="1">
      <alignment vertical="center"/>
    </xf>
    <xf numFmtId="188" fontId="7" fillId="0" borderId="0" xfId="0" applyNumberFormat="1" applyFont="1">
      <alignment vertical="center"/>
    </xf>
    <xf numFmtId="0" fontId="7" fillId="0" borderId="0" xfId="4" applyFont="1" applyAlignment="1">
      <alignment horizontal="center" vertical="center"/>
    </xf>
    <xf numFmtId="176" fontId="7" fillId="0" borderId="0" xfId="4" applyNumberFormat="1" applyFont="1"/>
    <xf numFmtId="0" fontId="9" fillId="0" borderId="2" xfId="3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179" fontId="8" fillId="0" borderId="0" xfId="3" applyNumberFormat="1" applyFont="1" applyAlignment="1">
      <alignment vertical="center"/>
    </xf>
    <xf numFmtId="179" fontId="14" fillId="0" borderId="0" xfId="3" applyNumberFormat="1" applyFont="1" applyAlignment="1">
      <alignment vertical="center"/>
    </xf>
    <xf numFmtId="0" fontId="8" fillId="0" borderId="2" xfId="1" applyFont="1" applyBorder="1" applyAlignment="1">
      <alignment vertical="center"/>
    </xf>
    <xf numFmtId="179" fontId="8" fillId="0" borderId="1" xfId="1" applyNumberFormat="1" applyFont="1" applyBorder="1" applyAlignment="1">
      <alignment vertical="center"/>
    </xf>
    <xf numFmtId="0" fontId="4" fillId="0" borderId="0" xfId="1" applyFont="1"/>
    <xf numFmtId="0" fontId="8" fillId="0" borderId="0" xfId="1" applyFont="1"/>
    <xf numFmtId="179" fontId="4" fillId="0" borderId="0" xfId="1" applyNumberFormat="1" applyFont="1"/>
    <xf numFmtId="176" fontId="4" fillId="0" borderId="0" xfId="1" applyNumberFormat="1" applyFont="1"/>
    <xf numFmtId="177" fontId="8" fillId="0" borderId="0" xfId="1" applyNumberFormat="1" applyFont="1" applyAlignment="1">
      <alignment vertical="center"/>
    </xf>
    <xf numFmtId="176" fontId="8" fillId="0" borderId="0" xfId="1" applyNumberFormat="1" applyFont="1" applyAlignment="1">
      <alignment horizontal="center" vertical="center"/>
    </xf>
    <xf numFmtId="178" fontId="8" fillId="0" borderId="0" xfId="1" applyNumberFormat="1" applyFont="1" applyAlignment="1">
      <alignment vertical="center"/>
    </xf>
    <xf numFmtId="2" fontId="8" fillId="0" borderId="0" xfId="1" applyNumberFormat="1" applyFont="1" applyAlignment="1">
      <alignment vertical="center"/>
    </xf>
    <xf numFmtId="181" fontId="8" fillId="0" borderId="0" xfId="1" applyNumberFormat="1" applyFont="1" applyAlignment="1">
      <alignment vertical="center"/>
    </xf>
    <xf numFmtId="182" fontId="8" fillId="0" borderId="0" xfId="1" applyNumberFormat="1" applyFont="1" applyAlignment="1">
      <alignment vertical="center"/>
    </xf>
    <xf numFmtId="180" fontId="8" fillId="0" borderId="0" xfId="1" applyNumberFormat="1" applyFont="1" applyAlignment="1">
      <alignment vertical="center"/>
    </xf>
    <xf numFmtId="0" fontId="26" fillId="0" borderId="2" xfId="1" applyFont="1" applyBorder="1" applyAlignment="1">
      <alignment vertical="center"/>
    </xf>
    <xf numFmtId="179" fontId="8" fillId="0" borderId="2" xfId="1" applyNumberFormat="1" applyFont="1" applyBorder="1" applyAlignment="1">
      <alignment vertical="center"/>
    </xf>
    <xf numFmtId="0" fontId="8" fillId="0" borderId="0" xfId="1" applyFont="1" applyAlignment="1">
      <alignment horizontal="right" vertical="center"/>
    </xf>
    <xf numFmtId="0" fontId="14" fillId="0" borderId="0" xfId="1" applyFont="1" applyAlignment="1">
      <alignment vertical="center"/>
    </xf>
    <xf numFmtId="0" fontId="8" fillId="0" borderId="1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180" fontId="8" fillId="0" borderId="1" xfId="1" applyNumberFormat="1" applyFont="1" applyBorder="1" applyAlignment="1">
      <alignment vertical="center"/>
    </xf>
    <xf numFmtId="176" fontId="8" fillId="0" borderId="1" xfId="1" applyNumberFormat="1" applyFont="1" applyBorder="1" applyAlignment="1">
      <alignment vertical="center"/>
    </xf>
    <xf numFmtId="179" fontId="14" fillId="0" borderId="0" xfId="1" applyNumberFormat="1" applyFont="1" applyAlignment="1">
      <alignment vertical="center"/>
    </xf>
    <xf numFmtId="180" fontId="14" fillId="0" borderId="0" xfId="1" applyNumberFormat="1" applyFont="1" applyAlignment="1">
      <alignment vertical="center"/>
    </xf>
    <xf numFmtId="177" fontId="14" fillId="0" borderId="0" xfId="1" applyNumberFormat="1" applyFont="1" applyAlignment="1">
      <alignment vertical="center"/>
    </xf>
    <xf numFmtId="2" fontId="14" fillId="0" borderId="0" xfId="1" applyNumberFormat="1" applyFont="1" applyAlignment="1">
      <alignment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176" fontId="8" fillId="0" borderId="0" xfId="1" applyNumberFormat="1" applyFont="1"/>
    <xf numFmtId="0" fontId="8" fillId="0" borderId="0" xfId="1" applyFont="1" applyAlignment="1">
      <alignment horizontal="center"/>
    </xf>
    <xf numFmtId="176" fontId="8" fillId="0" borderId="0" xfId="1" applyNumberFormat="1" applyFont="1" applyAlignment="1">
      <alignment horizontal="center"/>
    </xf>
    <xf numFmtId="2" fontId="8" fillId="0" borderId="0" xfId="1" applyNumberFormat="1" applyFont="1"/>
    <xf numFmtId="2" fontId="8" fillId="0" borderId="0" xfId="1" applyNumberFormat="1" applyFont="1" applyAlignment="1">
      <alignment horizontal="center" vertical="center"/>
    </xf>
    <xf numFmtId="0" fontId="27" fillId="0" borderId="0" xfId="1" applyFont="1" applyAlignment="1">
      <alignment vertical="center"/>
    </xf>
    <xf numFmtId="2" fontId="14" fillId="0" borderId="0" xfId="1" applyNumberFormat="1" applyFont="1"/>
    <xf numFmtId="180" fontId="14" fillId="0" borderId="0" xfId="1" applyNumberFormat="1" applyFont="1"/>
    <xf numFmtId="177" fontId="4" fillId="0" borderId="0" xfId="1" applyNumberFormat="1" applyFont="1"/>
    <xf numFmtId="180" fontId="4" fillId="0" borderId="0" xfId="1" applyNumberFormat="1" applyFont="1"/>
    <xf numFmtId="0" fontId="29" fillId="0" borderId="0" xfId="1" applyFont="1"/>
    <xf numFmtId="2" fontId="29" fillId="0" borderId="0" xfId="1" applyNumberFormat="1" applyFont="1"/>
    <xf numFmtId="180" fontId="29" fillId="0" borderId="0" xfId="1" applyNumberFormat="1" applyFont="1"/>
    <xf numFmtId="1" fontId="29" fillId="0" borderId="0" xfId="1" applyNumberFormat="1" applyFont="1"/>
    <xf numFmtId="176" fontId="29" fillId="0" borderId="0" xfId="1" applyNumberFormat="1" applyFont="1"/>
    <xf numFmtId="0" fontId="30" fillId="0" borderId="0" xfId="1" applyFont="1"/>
    <xf numFmtId="179" fontId="29" fillId="0" borderId="0" xfId="1" applyNumberFormat="1" applyFont="1"/>
    <xf numFmtId="177" fontId="29" fillId="0" borderId="0" xfId="1" applyNumberFormat="1" applyFont="1"/>
    <xf numFmtId="178" fontId="4" fillId="0" borderId="0" xfId="1" applyNumberFormat="1" applyFont="1"/>
    <xf numFmtId="2" fontId="4" fillId="0" borderId="0" xfId="1" applyNumberFormat="1" applyFont="1"/>
    <xf numFmtId="178" fontId="29" fillId="0" borderId="0" xfId="1" applyNumberFormat="1" applyFont="1"/>
    <xf numFmtId="0" fontId="32" fillId="0" borderId="0" xfId="0" applyFont="1">
      <alignment vertical="center"/>
    </xf>
    <xf numFmtId="0" fontId="8" fillId="0" borderId="1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20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11" fontId="8" fillId="0" borderId="0" xfId="0" applyNumberFormat="1" applyFont="1" applyAlignment="1">
      <alignment horizontal="right" vertical="center"/>
    </xf>
    <xf numFmtId="0" fontId="20" fillId="0" borderId="1" xfId="0" applyFont="1" applyBorder="1">
      <alignment vertical="center"/>
    </xf>
    <xf numFmtId="176" fontId="8" fillId="0" borderId="0" xfId="1" applyNumberFormat="1" applyFont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</cellXfs>
  <cellStyles count="8">
    <cellStyle name="Normal 2" xfId="6" xr:uid="{F0158004-54CA-AB4E-91BD-99EB1308121C}"/>
    <cellStyle name="Normal 3" xfId="5" xr:uid="{C904B52A-FF84-B845-9A3E-6199A9BF1794}"/>
    <cellStyle name="標準" xfId="0" builtinId="0"/>
    <cellStyle name="標準 2" xfId="3" xr:uid="{87955F54-0969-D241-902D-CD552F3B2DC6}"/>
    <cellStyle name="標準 2 2" xfId="7" xr:uid="{D41D56FE-8D10-2E46-AD76-B771FF5E07C7}"/>
    <cellStyle name="標準 2 2 2" xfId="2" xr:uid="{19B11F11-2AFC-BE48-87BD-3766A5F5FA16}"/>
    <cellStyle name="標準 2 3" xfId="1" xr:uid="{8930437D-8E27-E646-B613-749AD166F8D1}"/>
    <cellStyle name="標準 3" xfId="4" xr:uid="{EB2F9AAB-1E52-3040-BC40-069743752F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IODP exp364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initial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DSDP577!#REF!</c:f>
            </c:numRef>
          </c:xVal>
          <c:yVal>
            <c:numRef>
              <c:f>'Data 4'!$J$4:$J$43</c:f>
              <c:numCache>
                <c:formatCode>0.000</c:formatCode>
                <c:ptCount val="40"/>
                <c:pt idx="3">
                  <c:v>0.40163881734584644</c:v>
                </c:pt>
                <c:pt idx="4">
                  <c:v>0.39092517467984755</c:v>
                </c:pt>
                <c:pt idx="5">
                  <c:v>0.43648110507191912</c:v>
                </c:pt>
                <c:pt idx="7">
                  <c:v>0.42238518959903976</c:v>
                </c:pt>
                <c:pt idx="8">
                  <c:v>0.40399759488352643</c:v>
                </c:pt>
                <c:pt idx="10">
                  <c:v>0.40953794011313249</c:v>
                </c:pt>
                <c:pt idx="11">
                  <c:v>0.40657843023000861</c:v>
                </c:pt>
                <c:pt idx="12">
                  <c:v>0.37774132951873324</c:v>
                </c:pt>
                <c:pt idx="13">
                  <c:v>0.36758049892877254</c:v>
                </c:pt>
                <c:pt idx="14">
                  <c:v>0.32800000000000001</c:v>
                </c:pt>
                <c:pt idx="15">
                  <c:v>0.3031570220995044</c:v>
                </c:pt>
                <c:pt idx="16">
                  <c:v>0.27770487707301716</c:v>
                </c:pt>
                <c:pt idx="17">
                  <c:v>0.23908283115175674</c:v>
                </c:pt>
                <c:pt idx="18">
                  <c:v>0.21720209367316687</c:v>
                </c:pt>
                <c:pt idx="19">
                  <c:v>0.1909016115436297</c:v>
                </c:pt>
                <c:pt idx="20">
                  <c:v>0.16469115764938563</c:v>
                </c:pt>
                <c:pt idx="22">
                  <c:v>0.17102013452835985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75C-0B47-8654-4A8FC5AD7611}"/>
            </c:ext>
          </c:extLst>
        </c:ser>
        <c:ser>
          <c:idx val="1"/>
          <c:order val="1"/>
          <c:tx>
            <c:v>present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DSDP577!#REF!</c:f>
            </c:numRef>
          </c:xVal>
          <c:yVal>
            <c:numRef>
              <c:f>'Data 4'!$G$4:$G$43</c:f>
              <c:numCache>
                <c:formatCode>General</c:formatCode>
                <c:ptCount val="40"/>
                <c:pt idx="0">
                  <c:v>0.40600000000000003</c:v>
                </c:pt>
                <c:pt idx="1">
                  <c:v>0.39500000000000002</c:v>
                </c:pt>
                <c:pt idx="3">
                  <c:v>0.41289999999999999</c:v>
                </c:pt>
                <c:pt idx="4">
                  <c:v>0.40110000000000001</c:v>
                </c:pt>
                <c:pt idx="5">
                  <c:v>0.45400000000000001</c:v>
                </c:pt>
                <c:pt idx="7">
                  <c:v>0.44319999999999998</c:v>
                </c:pt>
                <c:pt idx="8">
                  <c:v>0.4143</c:v>
                </c:pt>
                <c:pt idx="10">
                  <c:v>0.41820000000000002</c:v>
                </c:pt>
                <c:pt idx="11">
                  <c:v>0.42380000000000001</c:v>
                </c:pt>
                <c:pt idx="12">
                  <c:v>0.39079999999999998</c:v>
                </c:pt>
                <c:pt idx="13">
                  <c:v>0.37790000000000001</c:v>
                </c:pt>
                <c:pt idx="14">
                  <c:v>0.3342</c:v>
                </c:pt>
                <c:pt idx="15">
                  <c:v>0.30919999999999997</c:v>
                </c:pt>
                <c:pt idx="16">
                  <c:v>0.28320000000000001</c:v>
                </c:pt>
                <c:pt idx="17">
                  <c:v>0.2437</c:v>
                </c:pt>
                <c:pt idx="18">
                  <c:v>0.22159999999999999</c:v>
                </c:pt>
                <c:pt idx="19">
                  <c:v>0.1953</c:v>
                </c:pt>
                <c:pt idx="20">
                  <c:v>0.16919999999999999</c:v>
                </c:pt>
                <c:pt idx="22">
                  <c:v>0.17519999999999999</c:v>
                </c:pt>
                <c:pt idx="24">
                  <c:v>0.25890000000000002</c:v>
                </c:pt>
                <c:pt idx="25">
                  <c:v>0.30520000000000003</c:v>
                </c:pt>
                <c:pt idx="26">
                  <c:v>0.31609999999999999</c:v>
                </c:pt>
                <c:pt idx="27">
                  <c:v>0.34320000000000001</c:v>
                </c:pt>
                <c:pt idx="28">
                  <c:v>0.33810000000000001</c:v>
                </c:pt>
                <c:pt idx="29">
                  <c:v>0.34989999999999999</c:v>
                </c:pt>
                <c:pt idx="30">
                  <c:v>0.38379999999999997</c:v>
                </c:pt>
                <c:pt idx="31">
                  <c:v>0.41220000000000001</c:v>
                </c:pt>
                <c:pt idx="32">
                  <c:v>0.41639999999999999</c:v>
                </c:pt>
                <c:pt idx="33">
                  <c:v>0.41439999999999999</c:v>
                </c:pt>
                <c:pt idx="34">
                  <c:v>0.43230000000000002</c:v>
                </c:pt>
                <c:pt idx="35">
                  <c:v>0.44740000000000002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75C-0B47-8654-4A8FC5AD7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979408"/>
        <c:axId val="1558981056"/>
      </c:scatterChart>
      <c:valAx>
        <c:axId val="1558979408"/>
        <c:scaling>
          <c:orientation val="maxMin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Age (Ma)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81056"/>
        <c:crosses val="autoZero"/>
        <c:crossBetween val="midCat"/>
      </c:valAx>
      <c:valAx>
        <c:axId val="155898105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187Os/188Os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794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IODP exp364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initial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'Data 4'!$B$4:$B$43</c:f>
              <c:numCache>
                <c:formatCode>General</c:formatCode>
                <c:ptCount val="40"/>
                <c:pt idx="0">
                  <c:v>214.35</c:v>
                </c:pt>
                <c:pt idx="1">
                  <c:v>214.52</c:v>
                </c:pt>
                <c:pt idx="2">
                  <c:v>214.58</c:v>
                </c:pt>
                <c:pt idx="3">
                  <c:v>214.68</c:v>
                </c:pt>
                <c:pt idx="4">
                  <c:v>214.81</c:v>
                </c:pt>
                <c:pt idx="5">
                  <c:v>214.96</c:v>
                </c:pt>
                <c:pt idx="6" formatCode="0.00">
                  <c:v>215</c:v>
                </c:pt>
                <c:pt idx="7">
                  <c:v>215.11</c:v>
                </c:pt>
                <c:pt idx="8">
                  <c:v>215.26</c:v>
                </c:pt>
                <c:pt idx="10">
                  <c:v>215.41</c:v>
                </c:pt>
                <c:pt idx="11">
                  <c:v>215.56</c:v>
                </c:pt>
                <c:pt idx="12">
                  <c:v>215.71</c:v>
                </c:pt>
                <c:pt idx="13">
                  <c:v>215.86</c:v>
                </c:pt>
                <c:pt idx="14">
                  <c:v>216.01</c:v>
                </c:pt>
                <c:pt idx="15">
                  <c:v>216.16</c:v>
                </c:pt>
                <c:pt idx="16">
                  <c:v>216.26</c:v>
                </c:pt>
                <c:pt idx="17">
                  <c:v>216.36</c:v>
                </c:pt>
                <c:pt idx="18">
                  <c:v>216.41</c:v>
                </c:pt>
                <c:pt idx="19">
                  <c:v>216.45</c:v>
                </c:pt>
                <c:pt idx="20">
                  <c:v>216.49</c:v>
                </c:pt>
                <c:pt idx="21">
                  <c:v>216.5</c:v>
                </c:pt>
                <c:pt idx="22">
                  <c:v>216.51</c:v>
                </c:pt>
                <c:pt idx="23">
                  <c:v>216.52</c:v>
                </c:pt>
                <c:pt idx="24">
                  <c:v>216.55</c:v>
                </c:pt>
                <c:pt idx="25">
                  <c:v>216.59</c:v>
                </c:pt>
                <c:pt idx="26">
                  <c:v>216.64</c:v>
                </c:pt>
                <c:pt idx="27">
                  <c:v>216.71</c:v>
                </c:pt>
                <c:pt idx="28">
                  <c:v>216.76</c:v>
                </c:pt>
                <c:pt idx="29">
                  <c:v>216.81</c:v>
                </c:pt>
                <c:pt idx="30">
                  <c:v>216.91</c:v>
                </c:pt>
                <c:pt idx="31">
                  <c:v>217.01</c:v>
                </c:pt>
                <c:pt idx="32">
                  <c:v>217.16</c:v>
                </c:pt>
                <c:pt idx="33">
                  <c:v>217.31</c:v>
                </c:pt>
                <c:pt idx="34">
                  <c:v>217.46</c:v>
                </c:pt>
                <c:pt idx="35">
                  <c:v>217.71</c:v>
                </c:pt>
              </c:numCache>
            </c:numRef>
          </c:xVal>
          <c:yVal>
            <c:numRef>
              <c:f>'Data 4'!$J$4:$J$43</c:f>
              <c:numCache>
                <c:formatCode>0.000</c:formatCode>
                <c:ptCount val="40"/>
                <c:pt idx="3">
                  <c:v>0.40163881734584644</c:v>
                </c:pt>
                <c:pt idx="4">
                  <c:v>0.39092517467984755</c:v>
                </c:pt>
                <c:pt idx="5">
                  <c:v>0.43648110507191912</c:v>
                </c:pt>
                <c:pt idx="7">
                  <c:v>0.42238518959903976</c:v>
                </c:pt>
                <c:pt idx="8">
                  <c:v>0.40399759488352643</c:v>
                </c:pt>
                <c:pt idx="10">
                  <c:v>0.40953794011313249</c:v>
                </c:pt>
                <c:pt idx="11">
                  <c:v>0.40657843023000861</c:v>
                </c:pt>
                <c:pt idx="12">
                  <c:v>0.37774132951873324</c:v>
                </c:pt>
                <c:pt idx="13">
                  <c:v>0.36758049892877254</c:v>
                </c:pt>
                <c:pt idx="14">
                  <c:v>0.32800000000000001</c:v>
                </c:pt>
                <c:pt idx="15">
                  <c:v>0.3031570220995044</c:v>
                </c:pt>
                <c:pt idx="16">
                  <c:v>0.27770487707301716</c:v>
                </c:pt>
                <c:pt idx="17">
                  <c:v>0.23908283115175674</c:v>
                </c:pt>
                <c:pt idx="18">
                  <c:v>0.21720209367316687</c:v>
                </c:pt>
                <c:pt idx="19">
                  <c:v>0.1909016115436297</c:v>
                </c:pt>
                <c:pt idx="20">
                  <c:v>0.16469115764938563</c:v>
                </c:pt>
                <c:pt idx="22">
                  <c:v>0.17102013452835985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17F-5D42-9635-D60DDA574B51}"/>
            </c:ext>
          </c:extLst>
        </c:ser>
        <c:ser>
          <c:idx val="1"/>
          <c:order val="1"/>
          <c:tx>
            <c:v>present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'Data 4'!$B$4:$B$43</c:f>
              <c:numCache>
                <c:formatCode>General</c:formatCode>
                <c:ptCount val="40"/>
                <c:pt idx="0">
                  <c:v>214.35</c:v>
                </c:pt>
                <c:pt idx="1">
                  <c:v>214.52</c:v>
                </c:pt>
                <c:pt idx="2">
                  <c:v>214.58</c:v>
                </c:pt>
                <c:pt idx="3">
                  <c:v>214.68</c:v>
                </c:pt>
                <c:pt idx="4">
                  <c:v>214.81</c:v>
                </c:pt>
                <c:pt idx="5">
                  <c:v>214.96</c:v>
                </c:pt>
                <c:pt idx="6" formatCode="0.00">
                  <c:v>215</c:v>
                </c:pt>
                <c:pt idx="7">
                  <c:v>215.11</c:v>
                </c:pt>
                <c:pt idx="8">
                  <c:v>215.26</c:v>
                </c:pt>
                <c:pt idx="10">
                  <c:v>215.41</c:v>
                </c:pt>
                <c:pt idx="11">
                  <c:v>215.56</c:v>
                </c:pt>
                <c:pt idx="12">
                  <c:v>215.71</c:v>
                </c:pt>
                <c:pt idx="13">
                  <c:v>215.86</c:v>
                </c:pt>
                <c:pt idx="14">
                  <c:v>216.01</c:v>
                </c:pt>
                <c:pt idx="15">
                  <c:v>216.16</c:v>
                </c:pt>
                <c:pt idx="16">
                  <c:v>216.26</c:v>
                </c:pt>
                <c:pt idx="17">
                  <c:v>216.36</c:v>
                </c:pt>
                <c:pt idx="18">
                  <c:v>216.41</c:v>
                </c:pt>
                <c:pt idx="19">
                  <c:v>216.45</c:v>
                </c:pt>
                <c:pt idx="20">
                  <c:v>216.49</c:v>
                </c:pt>
                <c:pt idx="21">
                  <c:v>216.5</c:v>
                </c:pt>
                <c:pt idx="22">
                  <c:v>216.51</c:v>
                </c:pt>
                <c:pt idx="23">
                  <c:v>216.52</c:v>
                </c:pt>
                <c:pt idx="24">
                  <c:v>216.55</c:v>
                </c:pt>
                <c:pt idx="25">
                  <c:v>216.59</c:v>
                </c:pt>
                <c:pt idx="26">
                  <c:v>216.64</c:v>
                </c:pt>
                <c:pt idx="27">
                  <c:v>216.71</c:v>
                </c:pt>
                <c:pt idx="28">
                  <c:v>216.76</c:v>
                </c:pt>
                <c:pt idx="29">
                  <c:v>216.81</c:v>
                </c:pt>
                <c:pt idx="30">
                  <c:v>216.91</c:v>
                </c:pt>
                <c:pt idx="31">
                  <c:v>217.01</c:v>
                </c:pt>
                <c:pt idx="32">
                  <c:v>217.16</c:v>
                </c:pt>
                <c:pt idx="33">
                  <c:v>217.31</c:v>
                </c:pt>
                <c:pt idx="34">
                  <c:v>217.46</c:v>
                </c:pt>
                <c:pt idx="35">
                  <c:v>217.71</c:v>
                </c:pt>
              </c:numCache>
            </c:numRef>
          </c:xVal>
          <c:yVal>
            <c:numRef>
              <c:f>'Data 4'!$G$4:$G$43</c:f>
              <c:numCache>
                <c:formatCode>General</c:formatCode>
                <c:ptCount val="40"/>
                <c:pt idx="0">
                  <c:v>0.40600000000000003</c:v>
                </c:pt>
                <c:pt idx="1">
                  <c:v>0.39500000000000002</c:v>
                </c:pt>
                <c:pt idx="3">
                  <c:v>0.41289999999999999</c:v>
                </c:pt>
                <c:pt idx="4">
                  <c:v>0.40110000000000001</c:v>
                </c:pt>
                <c:pt idx="5">
                  <c:v>0.45400000000000001</c:v>
                </c:pt>
                <c:pt idx="7">
                  <c:v>0.44319999999999998</c:v>
                </c:pt>
                <c:pt idx="8">
                  <c:v>0.4143</c:v>
                </c:pt>
                <c:pt idx="10">
                  <c:v>0.41820000000000002</c:v>
                </c:pt>
                <c:pt idx="11">
                  <c:v>0.42380000000000001</c:v>
                </c:pt>
                <c:pt idx="12">
                  <c:v>0.39079999999999998</c:v>
                </c:pt>
                <c:pt idx="13">
                  <c:v>0.37790000000000001</c:v>
                </c:pt>
                <c:pt idx="14">
                  <c:v>0.3342</c:v>
                </c:pt>
                <c:pt idx="15">
                  <c:v>0.30919999999999997</c:v>
                </c:pt>
                <c:pt idx="16">
                  <c:v>0.28320000000000001</c:v>
                </c:pt>
                <c:pt idx="17">
                  <c:v>0.2437</c:v>
                </c:pt>
                <c:pt idx="18">
                  <c:v>0.22159999999999999</c:v>
                </c:pt>
                <c:pt idx="19">
                  <c:v>0.1953</c:v>
                </c:pt>
                <c:pt idx="20">
                  <c:v>0.16919999999999999</c:v>
                </c:pt>
                <c:pt idx="22">
                  <c:v>0.17519999999999999</c:v>
                </c:pt>
                <c:pt idx="24">
                  <c:v>0.25890000000000002</c:v>
                </c:pt>
                <c:pt idx="25">
                  <c:v>0.30520000000000003</c:v>
                </c:pt>
                <c:pt idx="26">
                  <c:v>0.31609999999999999</c:v>
                </c:pt>
                <c:pt idx="27">
                  <c:v>0.34320000000000001</c:v>
                </c:pt>
                <c:pt idx="28">
                  <c:v>0.33810000000000001</c:v>
                </c:pt>
                <c:pt idx="29">
                  <c:v>0.34989999999999999</c:v>
                </c:pt>
                <c:pt idx="30">
                  <c:v>0.38379999999999997</c:v>
                </c:pt>
                <c:pt idx="31">
                  <c:v>0.41220000000000001</c:v>
                </c:pt>
                <c:pt idx="32">
                  <c:v>0.41639999999999999</c:v>
                </c:pt>
                <c:pt idx="33">
                  <c:v>0.41439999999999999</c:v>
                </c:pt>
                <c:pt idx="34">
                  <c:v>0.43230000000000002</c:v>
                </c:pt>
                <c:pt idx="35">
                  <c:v>0.44740000000000002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17F-5D42-9635-D60DDA574B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979408"/>
        <c:axId val="1558981056"/>
      </c:scatterChart>
      <c:valAx>
        <c:axId val="1558979408"/>
        <c:scaling>
          <c:orientation val="maxMin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depth</a:t>
                </a:r>
                <a:r>
                  <a:rPr lang="en-US" altLang="ja-JP" baseline="0"/>
                  <a:t> (mbsf)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81056"/>
        <c:crosses val="autoZero"/>
        <c:crossBetween val="midCat"/>
      </c:valAx>
      <c:valAx>
        <c:axId val="155898105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187Os/188Os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794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IODP exp364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initial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DSDP577!#REF!</c:f>
            </c:numRef>
          </c:xVal>
          <c:yVal>
            <c:numRef>
              <c:f>'Data 4'!$J$4:$J$43</c:f>
              <c:numCache>
                <c:formatCode>0.000</c:formatCode>
                <c:ptCount val="40"/>
                <c:pt idx="3">
                  <c:v>0.40163881734584644</c:v>
                </c:pt>
                <c:pt idx="4">
                  <c:v>0.39092517467984755</c:v>
                </c:pt>
                <c:pt idx="5">
                  <c:v>0.43648110507191912</c:v>
                </c:pt>
                <c:pt idx="7">
                  <c:v>0.42238518959903976</c:v>
                </c:pt>
                <c:pt idx="8">
                  <c:v>0.40399759488352643</c:v>
                </c:pt>
                <c:pt idx="10">
                  <c:v>0.40953794011313249</c:v>
                </c:pt>
                <c:pt idx="11">
                  <c:v>0.40657843023000861</c:v>
                </c:pt>
                <c:pt idx="12">
                  <c:v>0.37774132951873324</c:v>
                </c:pt>
                <c:pt idx="13">
                  <c:v>0.36758049892877254</c:v>
                </c:pt>
                <c:pt idx="14">
                  <c:v>0.32800000000000001</c:v>
                </c:pt>
                <c:pt idx="15">
                  <c:v>0.3031570220995044</c:v>
                </c:pt>
                <c:pt idx="16">
                  <c:v>0.27770487707301716</c:v>
                </c:pt>
                <c:pt idx="17">
                  <c:v>0.23908283115175674</c:v>
                </c:pt>
                <c:pt idx="18">
                  <c:v>0.21720209367316687</c:v>
                </c:pt>
                <c:pt idx="19">
                  <c:v>0.1909016115436297</c:v>
                </c:pt>
                <c:pt idx="20">
                  <c:v>0.16469115764938563</c:v>
                </c:pt>
                <c:pt idx="22">
                  <c:v>0.17102013452835985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645-BC4F-8825-8B4546041ADD}"/>
            </c:ext>
          </c:extLst>
        </c:ser>
        <c:ser>
          <c:idx val="1"/>
          <c:order val="1"/>
          <c:tx>
            <c:v>present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DSDP577!#REF!</c:f>
            </c:numRef>
          </c:xVal>
          <c:yVal>
            <c:numRef>
              <c:f>'Data 4'!$G$4:$G$43</c:f>
              <c:numCache>
                <c:formatCode>General</c:formatCode>
                <c:ptCount val="40"/>
                <c:pt idx="0">
                  <c:v>0.40600000000000003</c:v>
                </c:pt>
                <c:pt idx="1">
                  <c:v>0.39500000000000002</c:v>
                </c:pt>
                <c:pt idx="3">
                  <c:v>0.41289999999999999</c:v>
                </c:pt>
                <c:pt idx="4">
                  <c:v>0.40110000000000001</c:v>
                </c:pt>
                <c:pt idx="5">
                  <c:v>0.45400000000000001</c:v>
                </c:pt>
                <c:pt idx="7">
                  <c:v>0.44319999999999998</c:v>
                </c:pt>
                <c:pt idx="8">
                  <c:v>0.4143</c:v>
                </c:pt>
                <c:pt idx="10">
                  <c:v>0.41820000000000002</c:v>
                </c:pt>
                <c:pt idx="11">
                  <c:v>0.42380000000000001</c:v>
                </c:pt>
                <c:pt idx="12">
                  <c:v>0.39079999999999998</c:v>
                </c:pt>
                <c:pt idx="13">
                  <c:v>0.37790000000000001</c:v>
                </c:pt>
                <c:pt idx="14">
                  <c:v>0.3342</c:v>
                </c:pt>
                <c:pt idx="15">
                  <c:v>0.30919999999999997</c:v>
                </c:pt>
                <c:pt idx="16">
                  <c:v>0.28320000000000001</c:v>
                </c:pt>
                <c:pt idx="17">
                  <c:v>0.2437</c:v>
                </c:pt>
                <c:pt idx="18">
                  <c:v>0.22159999999999999</c:v>
                </c:pt>
                <c:pt idx="19">
                  <c:v>0.1953</c:v>
                </c:pt>
                <c:pt idx="20">
                  <c:v>0.16919999999999999</c:v>
                </c:pt>
                <c:pt idx="22">
                  <c:v>0.17519999999999999</c:v>
                </c:pt>
                <c:pt idx="24">
                  <c:v>0.25890000000000002</c:v>
                </c:pt>
                <c:pt idx="25">
                  <c:v>0.30520000000000003</c:v>
                </c:pt>
                <c:pt idx="26">
                  <c:v>0.31609999999999999</c:v>
                </c:pt>
                <c:pt idx="27">
                  <c:v>0.34320000000000001</c:v>
                </c:pt>
                <c:pt idx="28">
                  <c:v>0.33810000000000001</c:v>
                </c:pt>
                <c:pt idx="29">
                  <c:v>0.34989999999999999</c:v>
                </c:pt>
                <c:pt idx="30">
                  <c:v>0.38379999999999997</c:v>
                </c:pt>
                <c:pt idx="31">
                  <c:v>0.41220000000000001</c:v>
                </c:pt>
                <c:pt idx="32">
                  <c:v>0.41639999999999999</c:v>
                </c:pt>
                <c:pt idx="33">
                  <c:v>0.41439999999999999</c:v>
                </c:pt>
                <c:pt idx="34">
                  <c:v>0.43230000000000002</c:v>
                </c:pt>
                <c:pt idx="35">
                  <c:v>0.44740000000000002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645-BC4F-8825-8B4546041ADD}"/>
            </c:ext>
          </c:extLst>
        </c:ser>
        <c:ser>
          <c:idx val="2"/>
          <c:order val="2"/>
          <c:tx>
            <c:v>t=40kyr, E=6</c:v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ODP1262B!#REF!</c:f>
            </c:numRef>
          </c:xVal>
          <c:yVal>
            <c:numRef>
              <c:f>'Data 4'!$G$138:$G$388</c:f>
              <c:numCache>
                <c:formatCode>0.0000</c:formatCode>
                <c:ptCount val="25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645-BC4F-8825-8B4546041ADD}"/>
            </c:ext>
          </c:extLst>
        </c:ser>
        <c:ser>
          <c:idx val="3"/>
          <c:order val="3"/>
          <c:tx>
            <c:v>t=40kyr, E=11</c:v>
          </c:tx>
          <c:spPr>
            <a:ln w="1270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xVal>
            <c:numRef>
              <c:f>ODP1262B!#REF!</c:f>
            </c:numRef>
          </c:xVal>
          <c:yVal>
            <c:numRef>
              <c:f>'Data 4'!$J$138:$J$388</c:f>
              <c:numCache>
                <c:formatCode>0.0000</c:formatCode>
                <c:ptCount val="25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645-BC4F-8825-8B4546041ADD}"/>
            </c:ext>
          </c:extLst>
        </c:ser>
        <c:ser>
          <c:idx val="4"/>
          <c:order val="4"/>
          <c:tx>
            <c:v>t=40kyr, E=4.5 (exp364)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ODP1262B!#REF!</c:f>
            </c:numRef>
          </c:xVal>
          <c:yVal>
            <c:numRef>
              <c:f>ODP1262B!#REF!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645-BC4F-8825-8B4546041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979408"/>
        <c:axId val="1558981056"/>
      </c:scatterChart>
      <c:valAx>
        <c:axId val="1558979408"/>
        <c:scaling>
          <c:orientation val="maxMin"/>
          <c:max val="66"/>
          <c:min val="64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Age (Ma)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0.000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81056"/>
        <c:crosses val="autoZero"/>
        <c:crossBetween val="midCat"/>
        <c:majorUnit val="0.5"/>
      </c:valAx>
      <c:valAx>
        <c:axId val="155898105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187Os/188Os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794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IODP exp364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initial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DSDP577!#REF!</c:f>
            </c:numRef>
          </c:xVal>
          <c:yVal>
            <c:numRef>
              <c:f>'Data 4'!$J$4:$J$43</c:f>
              <c:numCache>
                <c:formatCode>0.000</c:formatCode>
                <c:ptCount val="40"/>
                <c:pt idx="3">
                  <c:v>0.40163881734584644</c:v>
                </c:pt>
                <c:pt idx="4">
                  <c:v>0.39092517467984755</c:v>
                </c:pt>
                <c:pt idx="5">
                  <c:v>0.43648110507191912</c:v>
                </c:pt>
                <c:pt idx="7">
                  <c:v>0.42238518959903976</c:v>
                </c:pt>
                <c:pt idx="8">
                  <c:v>0.40399759488352643</c:v>
                </c:pt>
                <c:pt idx="10">
                  <c:v>0.40953794011313249</c:v>
                </c:pt>
                <c:pt idx="11">
                  <c:v>0.40657843023000861</c:v>
                </c:pt>
                <c:pt idx="12">
                  <c:v>0.37774132951873324</c:v>
                </c:pt>
                <c:pt idx="13">
                  <c:v>0.36758049892877254</c:v>
                </c:pt>
                <c:pt idx="14">
                  <c:v>0.32800000000000001</c:v>
                </c:pt>
                <c:pt idx="15">
                  <c:v>0.3031570220995044</c:v>
                </c:pt>
                <c:pt idx="16">
                  <c:v>0.27770487707301716</c:v>
                </c:pt>
                <c:pt idx="17">
                  <c:v>0.23908283115175674</c:v>
                </c:pt>
                <c:pt idx="18">
                  <c:v>0.21720209367316687</c:v>
                </c:pt>
                <c:pt idx="19">
                  <c:v>0.1909016115436297</c:v>
                </c:pt>
                <c:pt idx="20">
                  <c:v>0.16469115764938563</c:v>
                </c:pt>
                <c:pt idx="22">
                  <c:v>0.17102013452835985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2E2-D244-B750-42C14E17A0CF}"/>
            </c:ext>
          </c:extLst>
        </c:ser>
        <c:ser>
          <c:idx val="1"/>
          <c:order val="1"/>
          <c:tx>
            <c:v>present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DSDP577!#REF!</c:f>
            </c:numRef>
          </c:xVal>
          <c:yVal>
            <c:numRef>
              <c:f>'Data 4'!$G$4:$G$43</c:f>
              <c:numCache>
                <c:formatCode>General</c:formatCode>
                <c:ptCount val="40"/>
                <c:pt idx="0">
                  <c:v>0.40600000000000003</c:v>
                </c:pt>
                <c:pt idx="1">
                  <c:v>0.39500000000000002</c:v>
                </c:pt>
                <c:pt idx="3">
                  <c:v>0.41289999999999999</c:v>
                </c:pt>
                <c:pt idx="4">
                  <c:v>0.40110000000000001</c:v>
                </c:pt>
                <c:pt idx="5">
                  <c:v>0.45400000000000001</c:v>
                </c:pt>
                <c:pt idx="7">
                  <c:v>0.44319999999999998</c:v>
                </c:pt>
                <c:pt idx="8">
                  <c:v>0.4143</c:v>
                </c:pt>
                <c:pt idx="10">
                  <c:v>0.41820000000000002</c:v>
                </c:pt>
                <c:pt idx="11">
                  <c:v>0.42380000000000001</c:v>
                </c:pt>
                <c:pt idx="12">
                  <c:v>0.39079999999999998</c:v>
                </c:pt>
                <c:pt idx="13">
                  <c:v>0.37790000000000001</c:v>
                </c:pt>
                <c:pt idx="14">
                  <c:v>0.3342</c:v>
                </c:pt>
                <c:pt idx="15">
                  <c:v>0.30919999999999997</c:v>
                </c:pt>
                <c:pt idx="16">
                  <c:v>0.28320000000000001</c:v>
                </c:pt>
                <c:pt idx="17">
                  <c:v>0.2437</c:v>
                </c:pt>
                <c:pt idx="18">
                  <c:v>0.22159999999999999</c:v>
                </c:pt>
                <c:pt idx="19">
                  <c:v>0.1953</c:v>
                </c:pt>
                <c:pt idx="20">
                  <c:v>0.16919999999999999</c:v>
                </c:pt>
                <c:pt idx="22">
                  <c:v>0.17519999999999999</c:v>
                </c:pt>
                <c:pt idx="24">
                  <c:v>0.25890000000000002</c:v>
                </c:pt>
                <c:pt idx="25">
                  <c:v>0.30520000000000003</c:v>
                </c:pt>
                <c:pt idx="26">
                  <c:v>0.31609999999999999</c:v>
                </c:pt>
                <c:pt idx="27">
                  <c:v>0.34320000000000001</c:v>
                </c:pt>
                <c:pt idx="28">
                  <c:v>0.33810000000000001</c:v>
                </c:pt>
                <c:pt idx="29">
                  <c:v>0.34989999999999999</c:v>
                </c:pt>
                <c:pt idx="30">
                  <c:v>0.38379999999999997</c:v>
                </c:pt>
                <c:pt idx="31">
                  <c:v>0.41220000000000001</c:v>
                </c:pt>
                <c:pt idx="32">
                  <c:v>0.41639999999999999</c:v>
                </c:pt>
                <c:pt idx="33">
                  <c:v>0.41439999999999999</c:v>
                </c:pt>
                <c:pt idx="34">
                  <c:v>0.43230000000000002</c:v>
                </c:pt>
                <c:pt idx="35">
                  <c:v>0.44740000000000002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2E2-D244-B750-42C14E17A0CF}"/>
            </c:ext>
          </c:extLst>
        </c:ser>
        <c:ser>
          <c:idx val="2"/>
          <c:order val="2"/>
          <c:tx>
            <c:strRef>
              <c:f>ODP1262B!#REF!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DSDP577!#REF!</c:f>
            </c:numRef>
          </c:xVal>
          <c:yVal>
            <c:numRef>
              <c:f>ODP1262B!#REF!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2E2-D244-B750-42C14E17A0CF}"/>
            </c:ext>
          </c:extLst>
        </c:ser>
        <c:ser>
          <c:idx val="3"/>
          <c:order val="3"/>
          <c:tx>
            <c:strRef>
              <c:f>'Data 4'!$D$2</c:f>
              <c:strCache>
                <c:ptCount val="1"/>
                <c:pt idx="0">
                  <c:v>Os ppb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DSDP577!#REF!</c:f>
            </c:numRef>
          </c:xVal>
          <c:yVal>
            <c:numRef>
              <c:f>'Data 4'!$D$4:$D$43</c:f>
              <c:numCache>
                <c:formatCode>0.000</c:formatCode>
                <c:ptCount val="40"/>
                <c:pt idx="0" formatCode="General">
                  <c:v>5.16E-2</c:v>
                </c:pt>
                <c:pt idx="1">
                  <c:v>5.1499999999999997E-2</c:v>
                </c:pt>
                <c:pt idx="3">
                  <c:v>5.0700000000000002E-2</c:v>
                </c:pt>
                <c:pt idx="4">
                  <c:v>6.54E-2</c:v>
                </c:pt>
                <c:pt idx="5">
                  <c:v>3.39E-2</c:v>
                </c:pt>
                <c:pt idx="7">
                  <c:v>3.39E-2</c:v>
                </c:pt>
                <c:pt idx="8">
                  <c:v>5.9900000000000002E-2</c:v>
                </c:pt>
                <c:pt idx="10">
                  <c:v>5.7799999999999997E-2</c:v>
                </c:pt>
                <c:pt idx="11">
                  <c:v>3.8299999999999994E-2</c:v>
                </c:pt>
                <c:pt idx="12">
                  <c:v>4.7700000000000006E-2</c:v>
                </c:pt>
                <c:pt idx="13">
                  <c:v>6.0999999999999999E-2</c:v>
                </c:pt>
                <c:pt idx="14">
                  <c:v>6.1700000000000005E-2</c:v>
                </c:pt>
                <c:pt idx="15">
                  <c:v>7.2700000000000001E-2</c:v>
                </c:pt>
                <c:pt idx="16">
                  <c:v>9.2700000000000005E-2</c:v>
                </c:pt>
                <c:pt idx="17">
                  <c:v>0.1215</c:v>
                </c:pt>
                <c:pt idx="18">
                  <c:v>0.15940000000000001</c:v>
                </c:pt>
                <c:pt idx="19">
                  <c:v>0.2261</c:v>
                </c:pt>
                <c:pt idx="20">
                  <c:v>0.43630000000000002</c:v>
                </c:pt>
                <c:pt idx="22">
                  <c:v>0.62220000000000009</c:v>
                </c:pt>
                <c:pt idx="24">
                  <c:v>0.8619</c:v>
                </c:pt>
                <c:pt idx="25">
                  <c:v>0.2596</c:v>
                </c:pt>
                <c:pt idx="26">
                  <c:v>0.19650000000000001</c:v>
                </c:pt>
                <c:pt idx="27">
                  <c:v>7.22E-2</c:v>
                </c:pt>
                <c:pt idx="28">
                  <c:v>6.7099999999999993E-2</c:v>
                </c:pt>
                <c:pt idx="29">
                  <c:v>4.1799999999999997E-2</c:v>
                </c:pt>
                <c:pt idx="30">
                  <c:v>3.5700000000000003E-2</c:v>
                </c:pt>
                <c:pt idx="31">
                  <c:v>3.2199999999999999E-2</c:v>
                </c:pt>
                <c:pt idx="32">
                  <c:v>3.2100000000000004E-2</c:v>
                </c:pt>
                <c:pt idx="33">
                  <c:v>0.03</c:v>
                </c:pt>
                <c:pt idx="34">
                  <c:v>3.0499999999999999E-2</c:v>
                </c:pt>
                <c:pt idx="35">
                  <c:v>3.6799999999999999E-2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2E2-D244-B750-42C14E17A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979408"/>
        <c:axId val="1558981056"/>
      </c:scatterChart>
      <c:valAx>
        <c:axId val="1558979408"/>
        <c:scaling>
          <c:orientation val="maxMin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Age (Ma)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81056"/>
        <c:crosses val="autoZero"/>
        <c:crossBetween val="midCat"/>
      </c:valAx>
      <c:valAx>
        <c:axId val="155898105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187Os/188Os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794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IODP exp364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initial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'Data 4'!$B$4:$B$43</c:f>
              <c:numCache>
                <c:formatCode>General</c:formatCode>
                <c:ptCount val="40"/>
                <c:pt idx="0">
                  <c:v>214.35</c:v>
                </c:pt>
                <c:pt idx="1">
                  <c:v>214.52</c:v>
                </c:pt>
                <c:pt idx="2">
                  <c:v>214.58</c:v>
                </c:pt>
                <c:pt idx="3">
                  <c:v>214.68</c:v>
                </c:pt>
                <c:pt idx="4">
                  <c:v>214.81</c:v>
                </c:pt>
                <c:pt idx="5">
                  <c:v>214.96</c:v>
                </c:pt>
                <c:pt idx="6" formatCode="0.00">
                  <c:v>215</c:v>
                </c:pt>
                <c:pt idx="7">
                  <c:v>215.11</c:v>
                </c:pt>
                <c:pt idx="8">
                  <c:v>215.26</c:v>
                </c:pt>
                <c:pt idx="10">
                  <c:v>215.41</c:v>
                </c:pt>
                <c:pt idx="11">
                  <c:v>215.56</c:v>
                </c:pt>
                <c:pt idx="12">
                  <c:v>215.71</c:v>
                </c:pt>
                <c:pt idx="13">
                  <c:v>215.86</c:v>
                </c:pt>
                <c:pt idx="14">
                  <c:v>216.01</c:v>
                </c:pt>
                <c:pt idx="15">
                  <c:v>216.16</c:v>
                </c:pt>
                <c:pt idx="16">
                  <c:v>216.26</c:v>
                </c:pt>
                <c:pt idx="17">
                  <c:v>216.36</c:v>
                </c:pt>
                <c:pt idx="18">
                  <c:v>216.41</c:v>
                </c:pt>
                <c:pt idx="19">
                  <c:v>216.45</c:v>
                </c:pt>
                <c:pt idx="20">
                  <c:v>216.49</c:v>
                </c:pt>
                <c:pt idx="21">
                  <c:v>216.5</c:v>
                </c:pt>
                <c:pt idx="22">
                  <c:v>216.51</c:v>
                </c:pt>
                <c:pt idx="23">
                  <c:v>216.52</c:v>
                </c:pt>
                <c:pt idx="24">
                  <c:v>216.55</c:v>
                </c:pt>
                <c:pt idx="25">
                  <c:v>216.59</c:v>
                </c:pt>
                <c:pt idx="26">
                  <c:v>216.64</c:v>
                </c:pt>
                <c:pt idx="27">
                  <c:v>216.71</c:v>
                </c:pt>
                <c:pt idx="28">
                  <c:v>216.76</c:v>
                </c:pt>
                <c:pt idx="29">
                  <c:v>216.81</c:v>
                </c:pt>
                <c:pt idx="30">
                  <c:v>216.91</c:v>
                </c:pt>
                <c:pt idx="31">
                  <c:v>217.01</c:v>
                </c:pt>
                <c:pt idx="32">
                  <c:v>217.16</c:v>
                </c:pt>
                <c:pt idx="33">
                  <c:v>217.31</c:v>
                </c:pt>
                <c:pt idx="34">
                  <c:v>217.46</c:v>
                </c:pt>
                <c:pt idx="35">
                  <c:v>217.71</c:v>
                </c:pt>
              </c:numCache>
            </c:numRef>
          </c:xVal>
          <c:yVal>
            <c:numRef>
              <c:f>'Data 4'!$J$4:$J$43</c:f>
              <c:numCache>
                <c:formatCode>0.000</c:formatCode>
                <c:ptCount val="40"/>
                <c:pt idx="3">
                  <c:v>0.40163881734584644</c:v>
                </c:pt>
                <c:pt idx="4">
                  <c:v>0.39092517467984755</c:v>
                </c:pt>
                <c:pt idx="5">
                  <c:v>0.43648110507191912</c:v>
                </c:pt>
                <c:pt idx="7">
                  <c:v>0.42238518959903976</c:v>
                </c:pt>
                <c:pt idx="8">
                  <c:v>0.40399759488352643</c:v>
                </c:pt>
                <c:pt idx="10">
                  <c:v>0.40953794011313249</c:v>
                </c:pt>
                <c:pt idx="11">
                  <c:v>0.40657843023000861</c:v>
                </c:pt>
                <c:pt idx="12">
                  <c:v>0.37774132951873324</c:v>
                </c:pt>
                <c:pt idx="13">
                  <c:v>0.36758049892877254</c:v>
                </c:pt>
                <c:pt idx="14">
                  <c:v>0.32800000000000001</c:v>
                </c:pt>
                <c:pt idx="15">
                  <c:v>0.3031570220995044</c:v>
                </c:pt>
                <c:pt idx="16">
                  <c:v>0.27770487707301716</c:v>
                </c:pt>
                <c:pt idx="17">
                  <c:v>0.23908283115175674</c:v>
                </c:pt>
                <c:pt idx="18">
                  <c:v>0.21720209367316687</c:v>
                </c:pt>
                <c:pt idx="19">
                  <c:v>0.1909016115436297</c:v>
                </c:pt>
                <c:pt idx="20">
                  <c:v>0.16469115764938563</c:v>
                </c:pt>
                <c:pt idx="22">
                  <c:v>0.17102013452835985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FB5-684B-BB65-A6C7E0E88AF5}"/>
            </c:ext>
          </c:extLst>
        </c:ser>
        <c:ser>
          <c:idx val="1"/>
          <c:order val="1"/>
          <c:tx>
            <c:v>present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'Data 4'!$B$4:$B$43</c:f>
              <c:numCache>
                <c:formatCode>General</c:formatCode>
                <c:ptCount val="40"/>
                <c:pt idx="0">
                  <c:v>214.35</c:v>
                </c:pt>
                <c:pt idx="1">
                  <c:v>214.52</c:v>
                </c:pt>
                <c:pt idx="2">
                  <c:v>214.58</c:v>
                </c:pt>
                <c:pt idx="3">
                  <c:v>214.68</c:v>
                </c:pt>
                <c:pt idx="4">
                  <c:v>214.81</c:v>
                </c:pt>
                <c:pt idx="5">
                  <c:v>214.96</c:v>
                </c:pt>
                <c:pt idx="6" formatCode="0.00">
                  <c:v>215</c:v>
                </c:pt>
                <c:pt idx="7">
                  <c:v>215.11</c:v>
                </c:pt>
                <c:pt idx="8">
                  <c:v>215.26</c:v>
                </c:pt>
                <c:pt idx="10">
                  <c:v>215.41</c:v>
                </c:pt>
                <c:pt idx="11">
                  <c:v>215.56</c:v>
                </c:pt>
                <c:pt idx="12">
                  <c:v>215.71</c:v>
                </c:pt>
                <c:pt idx="13">
                  <c:v>215.86</c:v>
                </c:pt>
                <c:pt idx="14">
                  <c:v>216.01</c:v>
                </c:pt>
                <c:pt idx="15">
                  <c:v>216.16</c:v>
                </c:pt>
                <c:pt idx="16">
                  <c:v>216.26</c:v>
                </c:pt>
                <c:pt idx="17">
                  <c:v>216.36</c:v>
                </c:pt>
                <c:pt idx="18">
                  <c:v>216.41</c:v>
                </c:pt>
                <c:pt idx="19">
                  <c:v>216.45</c:v>
                </c:pt>
                <c:pt idx="20">
                  <c:v>216.49</c:v>
                </c:pt>
                <c:pt idx="21">
                  <c:v>216.5</c:v>
                </c:pt>
                <c:pt idx="22">
                  <c:v>216.51</c:v>
                </c:pt>
                <c:pt idx="23">
                  <c:v>216.52</c:v>
                </c:pt>
                <c:pt idx="24">
                  <c:v>216.55</c:v>
                </c:pt>
                <c:pt idx="25">
                  <c:v>216.59</c:v>
                </c:pt>
                <c:pt idx="26">
                  <c:v>216.64</c:v>
                </c:pt>
                <c:pt idx="27">
                  <c:v>216.71</c:v>
                </c:pt>
                <c:pt idx="28">
                  <c:v>216.76</c:v>
                </c:pt>
                <c:pt idx="29">
                  <c:v>216.81</c:v>
                </c:pt>
                <c:pt idx="30">
                  <c:v>216.91</c:v>
                </c:pt>
                <c:pt idx="31">
                  <c:v>217.01</c:v>
                </c:pt>
                <c:pt idx="32">
                  <c:v>217.16</c:v>
                </c:pt>
                <c:pt idx="33">
                  <c:v>217.31</c:v>
                </c:pt>
                <c:pt idx="34">
                  <c:v>217.46</c:v>
                </c:pt>
                <c:pt idx="35">
                  <c:v>217.71</c:v>
                </c:pt>
              </c:numCache>
            </c:numRef>
          </c:xVal>
          <c:yVal>
            <c:numRef>
              <c:f>'Data 4'!$G$4:$G$43</c:f>
              <c:numCache>
                <c:formatCode>General</c:formatCode>
                <c:ptCount val="40"/>
                <c:pt idx="0">
                  <c:v>0.40600000000000003</c:v>
                </c:pt>
                <c:pt idx="1">
                  <c:v>0.39500000000000002</c:v>
                </c:pt>
                <c:pt idx="3">
                  <c:v>0.41289999999999999</c:v>
                </c:pt>
                <c:pt idx="4">
                  <c:v>0.40110000000000001</c:v>
                </c:pt>
                <c:pt idx="5">
                  <c:v>0.45400000000000001</c:v>
                </c:pt>
                <c:pt idx="7">
                  <c:v>0.44319999999999998</c:v>
                </c:pt>
                <c:pt idx="8">
                  <c:v>0.4143</c:v>
                </c:pt>
                <c:pt idx="10">
                  <c:v>0.41820000000000002</c:v>
                </c:pt>
                <c:pt idx="11">
                  <c:v>0.42380000000000001</c:v>
                </c:pt>
                <c:pt idx="12">
                  <c:v>0.39079999999999998</c:v>
                </c:pt>
                <c:pt idx="13">
                  <c:v>0.37790000000000001</c:v>
                </c:pt>
                <c:pt idx="14">
                  <c:v>0.3342</c:v>
                </c:pt>
                <c:pt idx="15">
                  <c:v>0.30919999999999997</c:v>
                </c:pt>
                <c:pt idx="16">
                  <c:v>0.28320000000000001</c:v>
                </c:pt>
                <c:pt idx="17">
                  <c:v>0.2437</c:v>
                </c:pt>
                <c:pt idx="18">
                  <c:v>0.22159999999999999</c:v>
                </c:pt>
                <c:pt idx="19">
                  <c:v>0.1953</c:v>
                </c:pt>
                <c:pt idx="20">
                  <c:v>0.16919999999999999</c:v>
                </c:pt>
                <c:pt idx="22">
                  <c:v>0.17519999999999999</c:v>
                </c:pt>
                <c:pt idx="24">
                  <c:v>0.25890000000000002</c:v>
                </c:pt>
                <c:pt idx="25">
                  <c:v>0.30520000000000003</c:v>
                </c:pt>
                <c:pt idx="26">
                  <c:v>0.31609999999999999</c:v>
                </c:pt>
                <c:pt idx="27">
                  <c:v>0.34320000000000001</c:v>
                </c:pt>
                <c:pt idx="28">
                  <c:v>0.33810000000000001</c:v>
                </c:pt>
                <c:pt idx="29">
                  <c:v>0.34989999999999999</c:v>
                </c:pt>
                <c:pt idx="30">
                  <c:v>0.38379999999999997</c:v>
                </c:pt>
                <c:pt idx="31">
                  <c:v>0.41220000000000001</c:v>
                </c:pt>
                <c:pt idx="32">
                  <c:v>0.41639999999999999</c:v>
                </c:pt>
                <c:pt idx="33">
                  <c:v>0.41439999999999999</c:v>
                </c:pt>
                <c:pt idx="34">
                  <c:v>0.43230000000000002</c:v>
                </c:pt>
                <c:pt idx="35">
                  <c:v>0.44740000000000002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FB5-684B-BB65-A6C7E0E88AF5}"/>
            </c:ext>
          </c:extLst>
        </c:ser>
        <c:ser>
          <c:idx val="2"/>
          <c:order val="2"/>
          <c:tx>
            <c:strRef>
              <c:f>ODP1262B!#REF!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'Data 4'!$B$4:$B$43</c:f>
              <c:numCache>
                <c:formatCode>General</c:formatCode>
                <c:ptCount val="40"/>
                <c:pt idx="0">
                  <c:v>214.35</c:v>
                </c:pt>
                <c:pt idx="1">
                  <c:v>214.52</c:v>
                </c:pt>
                <c:pt idx="2">
                  <c:v>214.58</c:v>
                </c:pt>
                <c:pt idx="3">
                  <c:v>214.68</c:v>
                </c:pt>
                <c:pt idx="4">
                  <c:v>214.81</c:v>
                </c:pt>
                <c:pt idx="5">
                  <c:v>214.96</c:v>
                </c:pt>
                <c:pt idx="6" formatCode="0.00">
                  <c:v>215</c:v>
                </c:pt>
                <c:pt idx="7">
                  <c:v>215.11</c:v>
                </c:pt>
                <c:pt idx="8">
                  <c:v>215.26</c:v>
                </c:pt>
                <c:pt idx="10">
                  <c:v>215.41</c:v>
                </c:pt>
                <c:pt idx="11">
                  <c:v>215.56</c:v>
                </c:pt>
                <c:pt idx="12">
                  <c:v>215.71</c:v>
                </c:pt>
                <c:pt idx="13">
                  <c:v>215.86</c:v>
                </c:pt>
                <c:pt idx="14">
                  <c:v>216.01</c:v>
                </c:pt>
                <c:pt idx="15">
                  <c:v>216.16</c:v>
                </c:pt>
                <c:pt idx="16">
                  <c:v>216.26</c:v>
                </c:pt>
                <c:pt idx="17">
                  <c:v>216.36</c:v>
                </c:pt>
                <c:pt idx="18">
                  <c:v>216.41</c:v>
                </c:pt>
                <c:pt idx="19">
                  <c:v>216.45</c:v>
                </c:pt>
                <c:pt idx="20">
                  <c:v>216.49</c:v>
                </c:pt>
                <c:pt idx="21">
                  <c:v>216.5</c:v>
                </c:pt>
                <c:pt idx="22">
                  <c:v>216.51</c:v>
                </c:pt>
                <c:pt idx="23">
                  <c:v>216.52</c:v>
                </c:pt>
                <c:pt idx="24">
                  <c:v>216.55</c:v>
                </c:pt>
                <c:pt idx="25">
                  <c:v>216.59</c:v>
                </c:pt>
                <c:pt idx="26">
                  <c:v>216.64</c:v>
                </c:pt>
                <c:pt idx="27">
                  <c:v>216.71</c:v>
                </c:pt>
                <c:pt idx="28">
                  <c:v>216.76</c:v>
                </c:pt>
                <c:pt idx="29">
                  <c:v>216.81</c:v>
                </c:pt>
                <c:pt idx="30">
                  <c:v>216.91</c:v>
                </c:pt>
                <c:pt idx="31">
                  <c:v>217.01</c:v>
                </c:pt>
                <c:pt idx="32">
                  <c:v>217.16</c:v>
                </c:pt>
                <c:pt idx="33">
                  <c:v>217.31</c:v>
                </c:pt>
                <c:pt idx="34">
                  <c:v>217.46</c:v>
                </c:pt>
                <c:pt idx="35">
                  <c:v>217.71</c:v>
                </c:pt>
              </c:numCache>
            </c:numRef>
          </c:xVal>
          <c:yVal>
            <c:numRef>
              <c:f>ODP1262B!#REF!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FB5-684B-BB65-A6C7E0E88AF5}"/>
            </c:ext>
          </c:extLst>
        </c:ser>
        <c:ser>
          <c:idx val="3"/>
          <c:order val="3"/>
          <c:tx>
            <c:strRef>
              <c:f>'Data 4'!$D$2</c:f>
              <c:strCache>
                <c:ptCount val="1"/>
                <c:pt idx="0">
                  <c:v>Os ppb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'Data 4'!$B$4:$B$43</c:f>
              <c:numCache>
                <c:formatCode>General</c:formatCode>
                <c:ptCount val="40"/>
                <c:pt idx="0">
                  <c:v>214.35</c:v>
                </c:pt>
                <c:pt idx="1">
                  <c:v>214.52</c:v>
                </c:pt>
                <c:pt idx="2">
                  <c:v>214.58</c:v>
                </c:pt>
                <c:pt idx="3">
                  <c:v>214.68</c:v>
                </c:pt>
                <c:pt idx="4">
                  <c:v>214.81</c:v>
                </c:pt>
                <c:pt idx="5">
                  <c:v>214.96</c:v>
                </c:pt>
                <c:pt idx="6" formatCode="0.00">
                  <c:v>215</c:v>
                </c:pt>
                <c:pt idx="7">
                  <c:v>215.11</c:v>
                </c:pt>
                <c:pt idx="8">
                  <c:v>215.26</c:v>
                </c:pt>
                <c:pt idx="10">
                  <c:v>215.41</c:v>
                </c:pt>
                <c:pt idx="11">
                  <c:v>215.56</c:v>
                </c:pt>
                <c:pt idx="12">
                  <c:v>215.71</c:v>
                </c:pt>
                <c:pt idx="13">
                  <c:v>215.86</c:v>
                </c:pt>
                <c:pt idx="14">
                  <c:v>216.01</c:v>
                </c:pt>
                <c:pt idx="15">
                  <c:v>216.16</c:v>
                </c:pt>
                <c:pt idx="16">
                  <c:v>216.26</c:v>
                </c:pt>
                <c:pt idx="17">
                  <c:v>216.36</c:v>
                </c:pt>
                <c:pt idx="18">
                  <c:v>216.41</c:v>
                </c:pt>
                <c:pt idx="19">
                  <c:v>216.45</c:v>
                </c:pt>
                <c:pt idx="20">
                  <c:v>216.49</c:v>
                </c:pt>
                <c:pt idx="21">
                  <c:v>216.5</c:v>
                </c:pt>
                <c:pt idx="22">
                  <c:v>216.51</c:v>
                </c:pt>
                <c:pt idx="23">
                  <c:v>216.52</c:v>
                </c:pt>
                <c:pt idx="24">
                  <c:v>216.55</c:v>
                </c:pt>
                <c:pt idx="25">
                  <c:v>216.59</c:v>
                </c:pt>
                <c:pt idx="26">
                  <c:v>216.64</c:v>
                </c:pt>
                <c:pt idx="27">
                  <c:v>216.71</c:v>
                </c:pt>
                <c:pt idx="28">
                  <c:v>216.76</c:v>
                </c:pt>
                <c:pt idx="29">
                  <c:v>216.81</c:v>
                </c:pt>
                <c:pt idx="30">
                  <c:v>216.91</c:v>
                </c:pt>
                <c:pt idx="31">
                  <c:v>217.01</c:v>
                </c:pt>
                <c:pt idx="32">
                  <c:v>217.16</c:v>
                </c:pt>
                <c:pt idx="33">
                  <c:v>217.31</c:v>
                </c:pt>
                <c:pt idx="34">
                  <c:v>217.46</c:v>
                </c:pt>
                <c:pt idx="35">
                  <c:v>217.71</c:v>
                </c:pt>
              </c:numCache>
            </c:numRef>
          </c:xVal>
          <c:yVal>
            <c:numRef>
              <c:f>'Data 4'!$D$4:$D$43</c:f>
              <c:numCache>
                <c:formatCode>0.000</c:formatCode>
                <c:ptCount val="40"/>
                <c:pt idx="0" formatCode="General">
                  <c:v>5.16E-2</c:v>
                </c:pt>
                <c:pt idx="1">
                  <c:v>5.1499999999999997E-2</c:v>
                </c:pt>
                <c:pt idx="3">
                  <c:v>5.0700000000000002E-2</c:v>
                </c:pt>
                <c:pt idx="4">
                  <c:v>6.54E-2</c:v>
                </c:pt>
                <c:pt idx="5">
                  <c:v>3.39E-2</c:v>
                </c:pt>
                <c:pt idx="7">
                  <c:v>3.39E-2</c:v>
                </c:pt>
                <c:pt idx="8">
                  <c:v>5.9900000000000002E-2</c:v>
                </c:pt>
                <c:pt idx="10">
                  <c:v>5.7799999999999997E-2</c:v>
                </c:pt>
                <c:pt idx="11">
                  <c:v>3.8299999999999994E-2</c:v>
                </c:pt>
                <c:pt idx="12">
                  <c:v>4.7700000000000006E-2</c:v>
                </c:pt>
                <c:pt idx="13">
                  <c:v>6.0999999999999999E-2</c:v>
                </c:pt>
                <c:pt idx="14">
                  <c:v>6.1700000000000005E-2</c:v>
                </c:pt>
                <c:pt idx="15">
                  <c:v>7.2700000000000001E-2</c:v>
                </c:pt>
                <c:pt idx="16">
                  <c:v>9.2700000000000005E-2</c:v>
                </c:pt>
                <c:pt idx="17">
                  <c:v>0.1215</c:v>
                </c:pt>
                <c:pt idx="18">
                  <c:v>0.15940000000000001</c:v>
                </c:pt>
                <c:pt idx="19">
                  <c:v>0.2261</c:v>
                </c:pt>
                <c:pt idx="20">
                  <c:v>0.43630000000000002</c:v>
                </c:pt>
                <c:pt idx="22">
                  <c:v>0.62220000000000009</c:v>
                </c:pt>
                <c:pt idx="24">
                  <c:v>0.8619</c:v>
                </c:pt>
                <c:pt idx="25">
                  <c:v>0.2596</c:v>
                </c:pt>
                <c:pt idx="26">
                  <c:v>0.19650000000000001</c:v>
                </c:pt>
                <c:pt idx="27">
                  <c:v>7.22E-2</c:v>
                </c:pt>
                <c:pt idx="28">
                  <c:v>6.7099999999999993E-2</c:v>
                </c:pt>
                <c:pt idx="29">
                  <c:v>4.1799999999999997E-2</c:v>
                </c:pt>
                <c:pt idx="30">
                  <c:v>3.5700000000000003E-2</c:v>
                </c:pt>
                <c:pt idx="31">
                  <c:v>3.2199999999999999E-2</c:v>
                </c:pt>
                <c:pt idx="32">
                  <c:v>3.2100000000000004E-2</c:v>
                </c:pt>
                <c:pt idx="33">
                  <c:v>0.03</c:v>
                </c:pt>
                <c:pt idx="34">
                  <c:v>3.0499999999999999E-2</c:v>
                </c:pt>
                <c:pt idx="35">
                  <c:v>3.6799999999999999E-2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FB5-684B-BB65-A6C7E0E88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979408"/>
        <c:axId val="1558981056"/>
      </c:scatterChart>
      <c:valAx>
        <c:axId val="1558979408"/>
        <c:scaling>
          <c:orientation val="maxMin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depth</a:t>
                </a:r>
                <a:r>
                  <a:rPr lang="en-US" altLang="ja-JP" baseline="0"/>
                  <a:t> (mbsf)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81056"/>
        <c:crosses val="autoZero"/>
        <c:crossBetween val="midCat"/>
      </c:valAx>
      <c:valAx>
        <c:axId val="155898105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187Os/188Os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794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IODP exp364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'Data 4'!$AJ$2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'Data 4'!$B$4:$B$75</c:f>
              <c:numCache>
                <c:formatCode>General</c:formatCode>
                <c:ptCount val="72"/>
                <c:pt idx="0">
                  <c:v>214.35</c:v>
                </c:pt>
                <c:pt idx="1">
                  <c:v>214.52</c:v>
                </c:pt>
                <c:pt idx="2">
                  <c:v>214.58</c:v>
                </c:pt>
                <c:pt idx="3">
                  <c:v>214.68</c:v>
                </c:pt>
                <c:pt idx="4">
                  <c:v>214.81</c:v>
                </c:pt>
                <c:pt idx="5">
                  <c:v>214.96</c:v>
                </c:pt>
                <c:pt idx="6" formatCode="0.00">
                  <c:v>215</c:v>
                </c:pt>
                <c:pt idx="7">
                  <c:v>215.11</c:v>
                </c:pt>
                <c:pt idx="8">
                  <c:v>215.26</c:v>
                </c:pt>
                <c:pt idx="10">
                  <c:v>215.41</c:v>
                </c:pt>
                <c:pt idx="11">
                  <c:v>215.56</c:v>
                </c:pt>
                <c:pt idx="12">
                  <c:v>215.71</c:v>
                </c:pt>
                <c:pt idx="13">
                  <c:v>215.86</c:v>
                </c:pt>
                <c:pt idx="14">
                  <c:v>216.01</c:v>
                </c:pt>
                <c:pt idx="15">
                  <c:v>216.16</c:v>
                </c:pt>
                <c:pt idx="16">
                  <c:v>216.26</c:v>
                </c:pt>
                <c:pt idx="17">
                  <c:v>216.36</c:v>
                </c:pt>
                <c:pt idx="18">
                  <c:v>216.41</c:v>
                </c:pt>
                <c:pt idx="19">
                  <c:v>216.45</c:v>
                </c:pt>
                <c:pt idx="20">
                  <c:v>216.49</c:v>
                </c:pt>
                <c:pt idx="21">
                  <c:v>216.5</c:v>
                </c:pt>
                <c:pt idx="22">
                  <c:v>216.51</c:v>
                </c:pt>
                <c:pt idx="23">
                  <c:v>216.52</c:v>
                </c:pt>
                <c:pt idx="24">
                  <c:v>216.55</c:v>
                </c:pt>
                <c:pt idx="25">
                  <c:v>216.59</c:v>
                </c:pt>
                <c:pt idx="26">
                  <c:v>216.64</c:v>
                </c:pt>
                <c:pt idx="27">
                  <c:v>216.71</c:v>
                </c:pt>
                <c:pt idx="28">
                  <c:v>216.76</c:v>
                </c:pt>
                <c:pt idx="29">
                  <c:v>216.81</c:v>
                </c:pt>
                <c:pt idx="30">
                  <c:v>216.91</c:v>
                </c:pt>
                <c:pt idx="31">
                  <c:v>217.01</c:v>
                </c:pt>
                <c:pt idx="32">
                  <c:v>217.16</c:v>
                </c:pt>
                <c:pt idx="33">
                  <c:v>217.31</c:v>
                </c:pt>
                <c:pt idx="34">
                  <c:v>217.46</c:v>
                </c:pt>
                <c:pt idx="35">
                  <c:v>217.71</c:v>
                </c:pt>
              </c:numCache>
            </c:numRef>
          </c:xVal>
          <c:yVal>
            <c:numRef>
              <c:f>'Data 4'!$AJ$4:$AJ$75</c:f>
              <c:numCache>
                <c:formatCode>General</c:formatCode>
                <c:ptCount val="72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470-F84E-85EF-824A6F499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979408"/>
        <c:axId val="1558981056"/>
      </c:scatterChart>
      <c:valAx>
        <c:axId val="1558979408"/>
        <c:scaling>
          <c:orientation val="maxMin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depth</a:t>
                </a:r>
                <a:r>
                  <a:rPr lang="en-US" altLang="ja-JP" baseline="0"/>
                  <a:t> (mbsf)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81056"/>
        <c:crosses val="autoZero"/>
        <c:crossBetween val="midCat"/>
      </c:valAx>
      <c:valAx>
        <c:axId val="1558981056"/>
        <c:scaling>
          <c:orientation val="minMax"/>
          <c:max val="10"/>
          <c:min val="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79408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IODP exp364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'Data 4'!$AJ$2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ODP1262B!#REF!</c:f>
            </c:numRef>
          </c:xVal>
          <c:yVal>
            <c:numRef>
              <c:f>'Data 4'!$AJ$4:$AJ$75</c:f>
              <c:numCache>
                <c:formatCode>General</c:formatCode>
                <c:ptCount val="72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DFE-7641-8F8F-D3F678CA0C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979408"/>
        <c:axId val="1558981056"/>
      </c:scatterChart>
      <c:valAx>
        <c:axId val="1558979408"/>
        <c:scaling>
          <c:orientation val="maxMin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Age</a:t>
                </a:r>
                <a:r>
                  <a:rPr lang="en-US" altLang="ja-JP" baseline="0"/>
                  <a:t> (Ma)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81056"/>
        <c:crosses val="autoZero"/>
        <c:crossBetween val="midCat"/>
      </c:valAx>
      <c:valAx>
        <c:axId val="1558981056"/>
        <c:scaling>
          <c:orientation val="minMax"/>
          <c:max val="10"/>
          <c:min val="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79408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IODP exp364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initial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ODP690C!#REF!</c:f>
            </c:numRef>
          </c:xVal>
          <c:yVal>
            <c:numRef>
              <c:f>ODP690C!#REF!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0B3-504C-B909-D285659768D7}"/>
            </c:ext>
          </c:extLst>
        </c:ser>
        <c:ser>
          <c:idx val="1"/>
          <c:order val="1"/>
          <c:tx>
            <c:v>present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ODP690C!#REF!</c:f>
            </c:numRef>
          </c:xVal>
          <c:yVal>
            <c:numRef>
              <c:f>'Data 5'!$I$3:$I$39</c:f>
              <c:numCache>
                <c:formatCode>0.0000</c:formatCode>
                <c:ptCount val="37"/>
                <c:pt idx="0" formatCode="General">
                  <c:v>0.4229</c:v>
                </c:pt>
                <c:pt idx="1">
                  <c:v>0.42559999999999998</c:v>
                </c:pt>
                <c:pt idx="2">
                  <c:v>0.4219</c:v>
                </c:pt>
                <c:pt idx="3">
                  <c:v>0.42320000000000002</c:v>
                </c:pt>
                <c:pt idx="4">
                  <c:v>0.42120000000000002</c:v>
                </c:pt>
                <c:pt idx="5">
                  <c:v>0.42930000000000001</c:v>
                </c:pt>
                <c:pt idx="6">
                  <c:v>0.43090000000000001</c:v>
                </c:pt>
                <c:pt idx="7">
                  <c:v>0.4209</c:v>
                </c:pt>
                <c:pt idx="8">
                  <c:v>0.43519999999999998</c:v>
                </c:pt>
                <c:pt idx="9">
                  <c:v>0.43409999999999999</c:v>
                </c:pt>
                <c:pt idx="10">
                  <c:v>0.44109999999999999</c:v>
                </c:pt>
                <c:pt idx="11">
                  <c:v>0.43740000000000001</c:v>
                </c:pt>
                <c:pt idx="12">
                  <c:v>0.45500000000000002</c:v>
                </c:pt>
                <c:pt idx="13">
                  <c:v>0.44840000000000002</c:v>
                </c:pt>
                <c:pt idx="14">
                  <c:v>0.439</c:v>
                </c:pt>
                <c:pt idx="15">
                  <c:v>0.43440000000000001</c:v>
                </c:pt>
                <c:pt idx="16">
                  <c:v>0.42859999999999998</c:v>
                </c:pt>
                <c:pt idx="18">
                  <c:v>0.4007</c:v>
                </c:pt>
                <c:pt idx="19">
                  <c:v>0.39050000000000001</c:v>
                </c:pt>
                <c:pt idx="20">
                  <c:v>0.34589999999999999</c:v>
                </c:pt>
                <c:pt idx="21">
                  <c:v>0.33679999999999999</c:v>
                </c:pt>
                <c:pt idx="22">
                  <c:v>0.28660000000000002</c:v>
                </c:pt>
                <c:pt idx="23">
                  <c:v>0.21060000000000001</c:v>
                </c:pt>
                <c:pt idx="24">
                  <c:v>0.2278</c:v>
                </c:pt>
                <c:pt idx="25">
                  <c:v>0.26910000000000001</c:v>
                </c:pt>
                <c:pt idx="26">
                  <c:v>0.2959</c:v>
                </c:pt>
                <c:pt idx="27">
                  <c:v>0.3095</c:v>
                </c:pt>
                <c:pt idx="28" formatCode="General">
                  <c:v>0.33739999999999998</c:v>
                </c:pt>
                <c:pt idx="29" formatCode="General">
                  <c:v>0.36349999999999999</c:v>
                </c:pt>
                <c:pt idx="30" formatCode="General">
                  <c:v>0.40550000000000003</c:v>
                </c:pt>
                <c:pt idx="31" formatCode="General">
                  <c:v>0.39050000000000001</c:v>
                </c:pt>
                <c:pt idx="32" formatCode="General">
                  <c:v>0.4052</c:v>
                </c:pt>
                <c:pt idx="33" formatCode="General">
                  <c:v>0.42199999999999999</c:v>
                </c:pt>
                <c:pt idx="34" formatCode="General">
                  <c:v>0.43859999999999999</c:v>
                </c:pt>
                <c:pt idx="35" formatCode="General">
                  <c:v>0.4234</c:v>
                </c:pt>
                <c:pt idx="36" formatCode="General">
                  <c:v>0.60219999999999996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0B3-504C-B909-D28565976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979408"/>
        <c:axId val="1558981056"/>
      </c:scatterChart>
      <c:valAx>
        <c:axId val="1558979408"/>
        <c:scaling>
          <c:orientation val="maxMin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Age (Ma)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81056"/>
        <c:crosses val="autoZero"/>
        <c:crossBetween val="midCat"/>
      </c:valAx>
      <c:valAx>
        <c:axId val="155898105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187Os/188Os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794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IODP exp364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initial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'Data 5'!$B$3:$B$39</c:f>
              <c:numCache>
                <c:formatCode>0.00</c:formatCode>
                <c:ptCount val="37"/>
                <c:pt idx="0" formatCode="General">
                  <c:v>245.94</c:v>
                </c:pt>
                <c:pt idx="1">
                  <c:v>246.04</c:v>
                </c:pt>
                <c:pt idx="2">
                  <c:v>246.14</c:v>
                </c:pt>
                <c:pt idx="3">
                  <c:v>246.21</c:v>
                </c:pt>
                <c:pt idx="4">
                  <c:v>246.34</c:v>
                </c:pt>
                <c:pt idx="5">
                  <c:v>246.44</c:v>
                </c:pt>
                <c:pt idx="6">
                  <c:v>246.54</c:v>
                </c:pt>
                <c:pt idx="7">
                  <c:v>246.64</c:v>
                </c:pt>
                <c:pt idx="8">
                  <c:v>246.74</c:v>
                </c:pt>
                <c:pt idx="9">
                  <c:v>246.84</c:v>
                </c:pt>
                <c:pt idx="10">
                  <c:v>246.94</c:v>
                </c:pt>
                <c:pt idx="11">
                  <c:v>247.04</c:v>
                </c:pt>
                <c:pt idx="12">
                  <c:v>247.14</c:v>
                </c:pt>
                <c:pt idx="13">
                  <c:v>247.24</c:v>
                </c:pt>
                <c:pt idx="14">
                  <c:v>247.34</c:v>
                </c:pt>
                <c:pt idx="15">
                  <c:v>247.41</c:v>
                </c:pt>
                <c:pt idx="16">
                  <c:v>247.49</c:v>
                </c:pt>
                <c:pt idx="17">
                  <c:v>247.55</c:v>
                </c:pt>
                <c:pt idx="18">
                  <c:v>247.57</c:v>
                </c:pt>
                <c:pt idx="19">
                  <c:v>247.65</c:v>
                </c:pt>
                <c:pt idx="20">
                  <c:v>247.7</c:v>
                </c:pt>
                <c:pt idx="21">
                  <c:v>247.72</c:v>
                </c:pt>
                <c:pt idx="22">
                  <c:v>247.74</c:v>
                </c:pt>
                <c:pt idx="23">
                  <c:v>247.76</c:v>
                </c:pt>
                <c:pt idx="24">
                  <c:v>247.78</c:v>
                </c:pt>
                <c:pt idx="25">
                  <c:v>247.82</c:v>
                </c:pt>
                <c:pt idx="26">
                  <c:v>247.86</c:v>
                </c:pt>
                <c:pt idx="27">
                  <c:v>247.9</c:v>
                </c:pt>
                <c:pt idx="28" formatCode="General">
                  <c:v>248</c:v>
                </c:pt>
                <c:pt idx="29" formatCode="General">
                  <c:v>248.23</c:v>
                </c:pt>
                <c:pt idx="30" formatCode="General">
                  <c:v>248.4</c:v>
                </c:pt>
                <c:pt idx="31" formatCode="General">
                  <c:v>248.4</c:v>
                </c:pt>
                <c:pt idx="32" formatCode="General">
                  <c:v>248.6</c:v>
                </c:pt>
                <c:pt idx="33" formatCode="General">
                  <c:v>248.8</c:v>
                </c:pt>
                <c:pt idx="34" formatCode="General">
                  <c:v>249.05</c:v>
                </c:pt>
                <c:pt idx="35" formatCode="General">
                  <c:v>249.54</c:v>
                </c:pt>
                <c:pt idx="36" formatCode="General">
                  <c:v>249.9</c:v>
                </c:pt>
              </c:numCache>
            </c:numRef>
          </c:xVal>
          <c:yVal>
            <c:numRef>
              <c:f>ODP690C!#REF!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5AF-0A40-A77C-00813745436D}"/>
            </c:ext>
          </c:extLst>
        </c:ser>
        <c:ser>
          <c:idx val="1"/>
          <c:order val="1"/>
          <c:tx>
            <c:v>present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'Data 5'!$B$3:$B$39</c:f>
              <c:numCache>
                <c:formatCode>0.00</c:formatCode>
                <c:ptCount val="37"/>
                <c:pt idx="0" formatCode="General">
                  <c:v>245.94</c:v>
                </c:pt>
                <c:pt idx="1">
                  <c:v>246.04</c:v>
                </c:pt>
                <c:pt idx="2">
                  <c:v>246.14</c:v>
                </c:pt>
                <c:pt idx="3">
                  <c:v>246.21</c:v>
                </c:pt>
                <c:pt idx="4">
                  <c:v>246.34</c:v>
                </c:pt>
                <c:pt idx="5">
                  <c:v>246.44</c:v>
                </c:pt>
                <c:pt idx="6">
                  <c:v>246.54</c:v>
                </c:pt>
                <c:pt idx="7">
                  <c:v>246.64</c:v>
                </c:pt>
                <c:pt idx="8">
                  <c:v>246.74</c:v>
                </c:pt>
                <c:pt idx="9">
                  <c:v>246.84</c:v>
                </c:pt>
                <c:pt idx="10">
                  <c:v>246.94</c:v>
                </c:pt>
                <c:pt idx="11">
                  <c:v>247.04</c:v>
                </c:pt>
                <c:pt idx="12">
                  <c:v>247.14</c:v>
                </c:pt>
                <c:pt idx="13">
                  <c:v>247.24</c:v>
                </c:pt>
                <c:pt idx="14">
                  <c:v>247.34</c:v>
                </c:pt>
                <c:pt idx="15">
                  <c:v>247.41</c:v>
                </c:pt>
                <c:pt idx="16">
                  <c:v>247.49</c:v>
                </c:pt>
                <c:pt idx="17">
                  <c:v>247.55</c:v>
                </c:pt>
                <c:pt idx="18">
                  <c:v>247.57</c:v>
                </c:pt>
                <c:pt idx="19">
                  <c:v>247.65</c:v>
                </c:pt>
                <c:pt idx="20">
                  <c:v>247.7</c:v>
                </c:pt>
                <c:pt idx="21">
                  <c:v>247.72</c:v>
                </c:pt>
                <c:pt idx="22">
                  <c:v>247.74</c:v>
                </c:pt>
                <c:pt idx="23">
                  <c:v>247.76</c:v>
                </c:pt>
                <c:pt idx="24">
                  <c:v>247.78</c:v>
                </c:pt>
                <c:pt idx="25">
                  <c:v>247.82</c:v>
                </c:pt>
                <c:pt idx="26">
                  <c:v>247.86</c:v>
                </c:pt>
                <c:pt idx="27">
                  <c:v>247.9</c:v>
                </c:pt>
                <c:pt idx="28" formatCode="General">
                  <c:v>248</c:v>
                </c:pt>
                <c:pt idx="29" formatCode="General">
                  <c:v>248.23</c:v>
                </c:pt>
                <c:pt idx="30" formatCode="General">
                  <c:v>248.4</c:v>
                </c:pt>
                <c:pt idx="31" formatCode="General">
                  <c:v>248.4</c:v>
                </c:pt>
                <c:pt idx="32" formatCode="General">
                  <c:v>248.6</c:v>
                </c:pt>
                <c:pt idx="33" formatCode="General">
                  <c:v>248.8</c:v>
                </c:pt>
                <c:pt idx="34" formatCode="General">
                  <c:v>249.05</c:v>
                </c:pt>
                <c:pt idx="35" formatCode="General">
                  <c:v>249.54</c:v>
                </c:pt>
                <c:pt idx="36" formatCode="General">
                  <c:v>249.9</c:v>
                </c:pt>
              </c:numCache>
            </c:numRef>
          </c:xVal>
          <c:yVal>
            <c:numRef>
              <c:f>'Data 5'!$I$3:$I$39</c:f>
              <c:numCache>
                <c:formatCode>0.0000</c:formatCode>
                <c:ptCount val="37"/>
                <c:pt idx="0" formatCode="General">
                  <c:v>0.4229</c:v>
                </c:pt>
                <c:pt idx="1">
                  <c:v>0.42559999999999998</c:v>
                </c:pt>
                <c:pt idx="2">
                  <c:v>0.4219</c:v>
                </c:pt>
                <c:pt idx="3">
                  <c:v>0.42320000000000002</c:v>
                </c:pt>
                <c:pt idx="4">
                  <c:v>0.42120000000000002</c:v>
                </c:pt>
                <c:pt idx="5">
                  <c:v>0.42930000000000001</c:v>
                </c:pt>
                <c:pt idx="6">
                  <c:v>0.43090000000000001</c:v>
                </c:pt>
                <c:pt idx="7">
                  <c:v>0.4209</c:v>
                </c:pt>
                <c:pt idx="8">
                  <c:v>0.43519999999999998</c:v>
                </c:pt>
                <c:pt idx="9">
                  <c:v>0.43409999999999999</c:v>
                </c:pt>
                <c:pt idx="10">
                  <c:v>0.44109999999999999</c:v>
                </c:pt>
                <c:pt idx="11">
                  <c:v>0.43740000000000001</c:v>
                </c:pt>
                <c:pt idx="12">
                  <c:v>0.45500000000000002</c:v>
                </c:pt>
                <c:pt idx="13">
                  <c:v>0.44840000000000002</c:v>
                </c:pt>
                <c:pt idx="14">
                  <c:v>0.439</c:v>
                </c:pt>
                <c:pt idx="15">
                  <c:v>0.43440000000000001</c:v>
                </c:pt>
                <c:pt idx="16">
                  <c:v>0.42859999999999998</c:v>
                </c:pt>
                <c:pt idx="18">
                  <c:v>0.4007</c:v>
                </c:pt>
                <c:pt idx="19">
                  <c:v>0.39050000000000001</c:v>
                </c:pt>
                <c:pt idx="20">
                  <c:v>0.34589999999999999</c:v>
                </c:pt>
                <c:pt idx="21">
                  <c:v>0.33679999999999999</c:v>
                </c:pt>
                <c:pt idx="22">
                  <c:v>0.28660000000000002</c:v>
                </c:pt>
                <c:pt idx="23">
                  <c:v>0.21060000000000001</c:v>
                </c:pt>
                <c:pt idx="24">
                  <c:v>0.2278</c:v>
                </c:pt>
                <c:pt idx="25">
                  <c:v>0.26910000000000001</c:v>
                </c:pt>
                <c:pt idx="26">
                  <c:v>0.2959</c:v>
                </c:pt>
                <c:pt idx="27">
                  <c:v>0.3095</c:v>
                </c:pt>
                <c:pt idx="28" formatCode="General">
                  <c:v>0.33739999999999998</c:v>
                </c:pt>
                <c:pt idx="29" formatCode="General">
                  <c:v>0.36349999999999999</c:v>
                </c:pt>
                <c:pt idx="30" formatCode="General">
                  <c:v>0.40550000000000003</c:v>
                </c:pt>
                <c:pt idx="31" formatCode="General">
                  <c:v>0.39050000000000001</c:v>
                </c:pt>
                <c:pt idx="32" formatCode="General">
                  <c:v>0.4052</c:v>
                </c:pt>
                <c:pt idx="33" formatCode="General">
                  <c:v>0.42199999999999999</c:v>
                </c:pt>
                <c:pt idx="34" formatCode="General">
                  <c:v>0.43859999999999999</c:v>
                </c:pt>
                <c:pt idx="35" formatCode="General">
                  <c:v>0.4234</c:v>
                </c:pt>
                <c:pt idx="36" formatCode="General">
                  <c:v>0.60219999999999996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5AF-0A40-A77C-008137454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979408"/>
        <c:axId val="1558981056"/>
      </c:scatterChart>
      <c:valAx>
        <c:axId val="1558979408"/>
        <c:scaling>
          <c:orientation val="maxMin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depth</a:t>
                </a:r>
                <a:r>
                  <a:rPr lang="en-US" altLang="ja-JP" baseline="0"/>
                  <a:t> (mbsf)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81056"/>
        <c:crosses val="autoZero"/>
        <c:crossBetween val="midCat"/>
      </c:valAx>
      <c:valAx>
        <c:axId val="155898105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187Os/188Os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794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IODP exp364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initial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ODP690C!#REF!</c:f>
            </c:numRef>
          </c:xVal>
          <c:yVal>
            <c:numRef>
              <c:f>ODP690C!#REF!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EAE-1C4F-9367-ADD3028FC3B9}"/>
            </c:ext>
          </c:extLst>
        </c:ser>
        <c:ser>
          <c:idx val="1"/>
          <c:order val="1"/>
          <c:tx>
            <c:v>present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ODP690C!#REF!</c:f>
            </c:numRef>
          </c:xVal>
          <c:yVal>
            <c:numRef>
              <c:f>'Data 5'!$I$3:$I$39</c:f>
              <c:numCache>
                <c:formatCode>0.0000</c:formatCode>
                <c:ptCount val="37"/>
                <c:pt idx="0" formatCode="General">
                  <c:v>0.4229</c:v>
                </c:pt>
                <c:pt idx="1">
                  <c:v>0.42559999999999998</c:v>
                </c:pt>
                <c:pt idx="2">
                  <c:v>0.4219</c:v>
                </c:pt>
                <c:pt idx="3">
                  <c:v>0.42320000000000002</c:v>
                </c:pt>
                <c:pt idx="4">
                  <c:v>0.42120000000000002</c:v>
                </c:pt>
                <c:pt idx="5">
                  <c:v>0.42930000000000001</c:v>
                </c:pt>
                <c:pt idx="6">
                  <c:v>0.43090000000000001</c:v>
                </c:pt>
                <c:pt idx="7">
                  <c:v>0.4209</c:v>
                </c:pt>
                <c:pt idx="8">
                  <c:v>0.43519999999999998</c:v>
                </c:pt>
                <c:pt idx="9">
                  <c:v>0.43409999999999999</c:v>
                </c:pt>
                <c:pt idx="10">
                  <c:v>0.44109999999999999</c:v>
                </c:pt>
                <c:pt idx="11">
                  <c:v>0.43740000000000001</c:v>
                </c:pt>
                <c:pt idx="12">
                  <c:v>0.45500000000000002</c:v>
                </c:pt>
                <c:pt idx="13">
                  <c:v>0.44840000000000002</c:v>
                </c:pt>
                <c:pt idx="14">
                  <c:v>0.439</c:v>
                </c:pt>
                <c:pt idx="15">
                  <c:v>0.43440000000000001</c:v>
                </c:pt>
                <c:pt idx="16">
                  <c:v>0.42859999999999998</c:v>
                </c:pt>
                <c:pt idx="18">
                  <c:v>0.4007</c:v>
                </c:pt>
                <c:pt idx="19">
                  <c:v>0.39050000000000001</c:v>
                </c:pt>
                <c:pt idx="20">
                  <c:v>0.34589999999999999</c:v>
                </c:pt>
                <c:pt idx="21">
                  <c:v>0.33679999999999999</c:v>
                </c:pt>
                <c:pt idx="22">
                  <c:v>0.28660000000000002</c:v>
                </c:pt>
                <c:pt idx="23">
                  <c:v>0.21060000000000001</c:v>
                </c:pt>
                <c:pt idx="24">
                  <c:v>0.2278</c:v>
                </c:pt>
                <c:pt idx="25">
                  <c:v>0.26910000000000001</c:v>
                </c:pt>
                <c:pt idx="26">
                  <c:v>0.2959</c:v>
                </c:pt>
                <c:pt idx="27">
                  <c:v>0.3095</c:v>
                </c:pt>
                <c:pt idx="28" formatCode="General">
                  <c:v>0.33739999999999998</c:v>
                </c:pt>
                <c:pt idx="29" formatCode="General">
                  <c:v>0.36349999999999999</c:v>
                </c:pt>
                <c:pt idx="30" formatCode="General">
                  <c:v>0.40550000000000003</c:v>
                </c:pt>
                <c:pt idx="31" formatCode="General">
                  <c:v>0.39050000000000001</c:v>
                </c:pt>
                <c:pt idx="32" formatCode="General">
                  <c:v>0.4052</c:v>
                </c:pt>
                <c:pt idx="33" formatCode="General">
                  <c:v>0.42199999999999999</c:v>
                </c:pt>
                <c:pt idx="34" formatCode="General">
                  <c:v>0.43859999999999999</c:v>
                </c:pt>
                <c:pt idx="35" formatCode="General">
                  <c:v>0.4234</c:v>
                </c:pt>
                <c:pt idx="36" formatCode="General">
                  <c:v>0.60219999999999996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EAE-1C4F-9367-ADD3028FC3B9}"/>
            </c:ext>
          </c:extLst>
        </c:ser>
        <c:ser>
          <c:idx val="2"/>
          <c:order val="2"/>
          <c:tx>
            <c:v>t=40kyr, E=6</c:v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ODP690C!#REF!</c:f>
            </c:numRef>
          </c:xVal>
          <c:yVal>
            <c:numRef>
              <c:f>'Data 5'!$I$133:$I$383</c:f>
              <c:numCache>
                <c:formatCode>0.0000</c:formatCode>
                <c:ptCount val="25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EAE-1C4F-9367-ADD3028FC3B9}"/>
            </c:ext>
          </c:extLst>
        </c:ser>
        <c:ser>
          <c:idx val="3"/>
          <c:order val="3"/>
          <c:tx>
            <c:v>t=40kyr, E=11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ODP690C!#REF!</c:f>
            </c:numRef>
          </c:xVal>
          <c:yVal>
            <c:numRef>
              <c:f>ODP690C!#REF!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EAE-1C4F-9367-ADD3028FC3B9}"/>
            </c:ext>
          </c:extLst>
        </c:ser>
        <c:ser>
          <c:idx val="4"/>
          <c:order val="4"/>
          <c:tx>
            <c:v>t=40kyr, E=4.5 (exp364)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ODP690C!#REF!</c:f>
            </c:numRef>
          </c:xVal>
          <c:yVal>
            <c:numRef>
              <c:f>ODP690C!#REF!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8EAE-1C4F-9367-ADD3028FC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979408"/>
        <c:axId val="1558981056"/>
      </c:scatterChart>
      <c:valAx>
        <c:axId val="1558979408"/>
        <c:scaling>
          <c:orientation val="maxMin"/>
          <c:max val="66"/>
          <c:min val="64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Age (Ma)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0.000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81056"/>
        <c:crosses val="autoZero"/>
        <c:crossBetween val="midCat"/>
        <c:majorUnit val="0.5"/>
      </c:valAx>
      <c:valAx>
        <c:axId val="155898105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187Os/188Os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794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IODP exp364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initial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ODP690C!#REF!</c:f>
            </c:numRef>
          </c:xVal>
          <c:yVal>
            <c:numRef>
              <c:f>ODP690C!#REF!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DF4-E24C-8593-902FB6079496}"/>
            </c:ext>
          </c:extLst>
        </c:ser>
        <c:ser>
          <c:idx val="1"/>
          <c:order val="1"/>
          <c:tx>
            <c:v>present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ODP690C!#REF!</c:f>
            </c:numRef>
          </c:xVal>
          <c:yVal>
            <c:numRef>
              <c:f>'Data 5'!$I$3:$I$39</c:f>
              <c:numCache>
                <c:formatCode>0.0000</c:formatCode>
                <c:ptCount val="37"/>
                <c:pt idx="0" formatCode="General">
                  <c:v>0.4229</c:v>
                </c:pt>
                <c:pt idx="1">
                  <c:v>0.42559999999999998</c:v>
                </c:pt>
                <c:pt idx="2">
                  <c:v>0.4219</c:v>
                </c:pt>
                <c:pt idx="3">
                  <c:v>0.42320000000000002</c:v>
                </c:pt>
                <c:pt idx="4">
                  <c:v>0.42120000000000002</c:v>
                </c:pt>
                <c:pt idx="5">
                  <c:v>0.42930000000000001</c:v>
                </c:pt>
                <c:pt idx="6">
                  <c:v>0.43090000000000001</c:v>
                </c:pt>
                <c:pt idx="7">
                  <c:v>0.4209</c:v>
                </c:pt>
                <c:pt idx="8">
                  <c:v>0.43519999999999998</c:v>
                </c:pt>
                <c:pt idx="9">
                  <c:v>0.43409999999999999</c:v>
                </c:pt>
                <c:pt idx="10">
                  <c:v>0.44109999999999999</c:v>
                </c:pt>
                <c:pt idx="11">
                  <c:v>0.43740000000000001</c:v>
                </c:pt>
                <c:pt idx="12">
                  <c:v>0.45500000000000002</c:v>
                </c:pt>
                <c:pt idx="13">
                  <c:v>0.44840000000000002</c:v>
                </c:pt>
                <c:pt idx="14">
                  <c:v>0.439</c:v>
                </c:pt>
                <c:pt idx="15">
                  <c:v>0.43440000000000001</c:v>
                </c:pt>
                <c:pt idx="16">
                  <c:v>0.42859999999999998</c:v>
                </c:pt>
                <c:pt idx="18">
                  <c:v>0.4007</c:v>
                </c:pt>
                <c:pt idx="19">
                  <c:v>0.39050000000000001</c:v>
                </c:pt>
                <c:pt idx="20">
                  <c:v>0.34589999999999999</c:v>
                </c:pt>
                <c:pt idx="21">
                  <c:v>0.33679999999999999</c:v>
                </c:pt>
                <c:pt idx="22">
                  <c:v>0.28660000000000002</c:v>
                </c:pt>
                <c:pt idx="23">
                  <c:v>0.21060000000000001</c:v>
                </c:pt>
                <c:pt idx="24">
                  <c:v>0.2278</c:v>
                </c:pt>
                <c:pt idx="25">
                  <c:v>0.26910000000000001</c:v>
                </c:pt>
                <c:pt idx="26">
                  <c:v>0.2959</c:v>
                </c:pt>
                <c:pt idx="27">
                  <c:v>0.3095</c:v>
                </c:pt>
                <c:pt idx="28" formatCode="General">
                  <c:v>0.33739999999999998</c:v>
                </c:pt>
                <c:pt idx="29" formatCode="General">
                  <c:v>0.36349999999999999</c:v>
                </c:pt>
                <c:pt idx="30" formatCode="General">
                  <c:v>0.40550000000000003</c:v>
                </c:pt>
                <c:pt idx="31" formatCode="General">
                  <c:v>0.39050000000000001</c:v>
                </c:pt>
                <c:pt idx="32" formatCode="General">
                  <c:v>0.4052</c:v>
                </c:pt>
                <c:pt idx="33" formatCode="General">
                  <c:v>0.42199999999999999</c:v>
                </c:pt>
                <c:pt idx="34" formatCode="General">
                  <c:v>0.43859999999999999</c:v>
                </c:pt>
                <c:pt idx="35" formatCode="General">
                  <c:v>0.4234</c:v>
                </c:pt>
                <c:pt idx="36" formatCode="General">
                  <c:v>0.60219999999999996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DF4-E24C-8593-902FB6079496}"/>
            </c:ext>
          </c:extLst>
        </c:ser>
        <c:ser>
          <c:idx val="2"/>
          <c:order val="2"/>
          <c:tx>
            <c:strRef>
              <c:f>'Data 5'!$E$2</c:f>
              <c:strCache>
                <c:ptCount val="1"/>
                <c:pt idx="0">
                  <c:v>Ir ppb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ODP690C!#REF!</c:f>
            </c:numRef>
          </c:xVal>
          <c:yVal>
            <c:numRef>
              <c:f>'Data 5'!$E$3:$E$39</c:f>
              <c:numCache>
                <c:formatCode>0.000</c:formatCode>
                <c:ptCount val="37"/>
                <c:pt idx="28" formatCode="General">
                  <c:v>0.11799999999999999</c:v>
                </c:pt>
                <c:pt idx="29" formatCode="General">
                  <c:v>9.8000000000000004E-2</c:v>
                </c:pt>
                <c:pt idx="30" formatCode="General">
                  <c:v>3.5000000000000003E-2</c:v>
                </c:pt>
                <c:pt idx="31" formatCode="General">
                  <c:v>3.4000000000000002E-2</c:v>
                </c:pt>
                <c:pt idx="32" formatCode="General">
                  <c:v>3.1E-2</c:v>
                </c:pt>
                <c:pt idx="33" formatCode="General">
                  <c:v>3.5999999999999997E-2</c:v>
                </c:pt>
                <c:pt idx="34" formatCode="General">
                  <c:v>2.8000000000000001E-2</c:v>
                </c:pt>
                <c:pt idx="35" formatCode="General">
                  <c:v>0.02</c:v>
                </c:pt>
                <c:pt idx="36" formatCode="General">
                  <c:v>1.4999999999999999E-2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DF4-E24C-8593-902FB6079496}"/>
            </c:ext>
          </c:extLst>
        </c:ser>
        <c:ser>
          <c:idx val="3"/>
          <c:order val="3"/>
          <c:tx>
            <c:strRef>
              <c:f>'Data 5'!$D$2</c:f>
              <c:strCache>
                <c:ptCount val="1"/>
                <c:pt idx="0">
                  <c:v>Os ppb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ODP690C!#REF!</c:f>
            </c:numRef>
          </c:xVal>
          <c:yVal>
            <c:numRef>
              <c:f>'Data 5'!$D$3:$D$39</c:f>
              <c:numCache>
                <c:formatCode>0.000</c:formatCode>
                <c:ptCount val="37"/>
                <c:pt idx="0" formatCode="General">
                  <c:v>4.3999999999999997E-2</c:v>
                </c:pt>
                <c:pt idx="1">
                  <c:v>3.3000000000000002E-2</c:v>
                </c:pt>
                <c:pt idx="2">
                  <c:v>3.3600000000000005E-2</c:v>
                </c:pt>
                <c:pt idx="3">
                  <c:v>3.7600000000000001E-2</c:v>
                </c:pt>
                <c:pt idx="4">
                  <c:v>4.2799999999999998E-2</c:v>
                </c:pt>
                <c:pt idx="5">
                  <c:v>3.8200000000000005E-2</c:v>
                </c:pt>
                <c:pt idx="6">
                  <c:v>3.6200000000000003E-2</c:v>
                </c:pt>
                <c:pt idx="7">
                  <c:v>3.6499999999999998E-2</c:v>
                </c:pt>
                <c:pt idx="8">
                  <c:v>3.6899999999999995E-2</c:v>
                </c:pt>
                <c:pt idx="9">
                  <c:v>3.7200000000000004E-2</c:v>
                </c:pt>
                <c:pt idx="10">
                  <c:v>3.7700000000000004E-2</c:v>
                </c:pt>
                <c:pt idx="11">
                  <c:v>4.65E-2</c:v>
                </c:pt>
                <c:pt idx="12">
                  <c:v>3.7999999999999999E-2</c:v>
                </c:pt>
                <c:pt idx="13">
                  <c:v>3.8899999999999997E-2</c:v>
                </c:pt>
                <c:pt idx="14">
                  <c:v>4.2000000000000003E-2</c:v>
                </c:pt>
                <c:pt idx="15">
                  <c:v>4.1599999999999998E-2</c:v>
                </c:pt>
                <c:pt idx="16">
                  <c:v>3.9700000000000006E-2</c:v>
                </c:pt>
                <c:pt idx="18">
                  <c:v>4.3400000000000001E-2</c:v>
                </c:pt>
                <c:pt idx="19">
                  <c:v>4.2099999999999999E-2</c:v>
                </c:pt>
                <c:pt idx="20">
                  <c:v>4.8299999999999996E-2</c:v>
                </c:pt>
                <c:pt idx="21">
                  <c:v>5.2600000000000001E-2</c:v>
                </c:pt>
                <c:pt idx="22">
                  <c:v>7.2099999999999997E-2</c:v>
                </c:pt>
                <c:pt idx="23">
                  <c:v>0.13830000000000001</c:v>
                </c:pt>
                <c:pt idx="24">
                  <c:v>0.11550000000000001</c:v>
                </c:pt>
                <c:pt idx="25">
                  <c:v>7.0199999999999999E-2</c:v>
                </c:pt>
                <c:pt idx="26">
                  <c:v>6.8599999999999994E-2</c:v>
                </c:pt>
                <c:pt idx="27">
                  <c:v>6.08E-2</c:v>
                </c:pt>
                <c:pt idx="28">
                  <c:v>4.99E-2</c:v>
                </c:pt>
                <c:pt idx="29">
                  <c:v>4.2999999999999997E-2</c:v>
                </c:pt>
                <c:pt idx="30">
                  <c:v>4.0299999999999996E-2</c:v>
                </c:pt>
                <c:pt idx="31">
                  <c:v>4.1100000000000005E-2</c:v>
                </c:pt>
                <c:pt idx="32">
                  <c:v>3.49E-2</c:v>
                </c:pt>
                <c:pt idx="33">
                  <c:v>3.1100000000000003E-2</c:v>
                </c:pt>
                <c:pt idx="34">
                  <c:v>3.0699999999999998E-2</c:v>
                </c:pt>
                <c:pt idx="35">
                  <c:v>3.0600000000000002E-2</c:v>
                </c:pt>
                <c:pt idx="36">
                  <c:v>3.1100000000000003E-2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DF4-E24C-8593-902FB6079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979408"/>
        <c:axId val="1558981056"/>
      </c:scatterChart>
      <c:valAx>
        <c:axId val="1558979408"/>
        <c:scaling>
          <c:orientation val="maxMin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Age (Ma)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81056"/>
        <c:crosses val="autoZero"/>
        <c:crossBetween val="midCat"/>
      </c:valAx>
      <c:valAx>
        <c:axId val="155898105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187Os/188Os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794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IODP exp364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initial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'Data 5'!$B$3:$B$39</c:f>
              <c:numCache>
                <c:formatCode>0.00</c:formatCode>
                <c:ptCount val="37"/>
                <c:pt idx="0" formatCode="General">
                  <c:v>245.94</c:v>
                </c:pt>
                <c:pt idx="1">
                  <c:v>246.04</c:v>
                </c:pt>
                <c:pt idx="2">
                  <c:v>246.14</c:v>
                </c:pt>
                <c:pt idx="3">
                  <c:v>246.21</c:v>
                </c:pt>
                <c:pt idx="4">
                  <c:v>246.34</c:v>
                </c:pt>
                <c:pt idx="5">
                  <c:v>246.44</c:v>
                </c:pt>
                <c:pt idx="6">
                  <c:v>246.54</c:v>
                </c:pt>
                <c:pt idx="7">
                  <c:v>246.64</c:v>
                </c:pt>
                <c:pt idx="8">
                  <c:v>246.74</c:v>
                </c:pt>
                <c:pt idx="9">
                  <c:v>246.84</c:v>
                </c:pt>
                <c:pt idx="10">
                  <c:v>246.94</c:v>
                </c:pt>
                <c:pt idx="11">
                  <c:v>247.04</c:v>
                </c:pt>
                <c:pt idx="12">
                  <c:v>247.14</c:v>
                </c:pt>
                <c:pt idx="13">
                  <c:v>247.24</c:v>
                </c:pt>
                <c:pt idx="14">
                  <c:v>247.34</c:v>
                </c:pt>
                <c:pt idx="15">
                  <c:v>247.41</c:v>
                </c:pt>
                <c:pt idx="16">
                  <c:v>247.49</c:v>
                </c:pt>
                <c:pt idx="17">
                  <c:v>247.55</c:v>
                </c:pt>
                <c:pt idx="18">
                  <c:v>247.57</c:v>
                </c:pt>
                <c:pt idx="19">
                  <c:v>247.65</c:v>
                </c:pt>
                <c:pt idx="20">
                  <c:v>247.7</c:v>
                </c:pt>
                <c:pt idx="21">
                  <c:v>247.72</c:v>
                </c:pt>
                <c:pt idx="22">
                  <c:v>247.74</c:v>
                </c:pt>
                <c:pt idx="23">
                  <c:v>247.76</c:v>
                </c:pt>
                <c:pt idx="24">
                  <c:v>247.78</c:v>
                </c:pt>
                <c:pt idx="25">
                  <c:v>247.82</c:v>
                </c:pt>
                <c:pt idx="26">
                  <c:v>247.86</c:v>
                </c:pt>
                <c:pt idx="27">
                  <c:v>247.9</c:v>
                </c:pt>
                <c:pt idx="28" formatCode="General">
                  <c:v>248</c:v>
                </c:pt>
                <c:pt idx="29" formatCode="General">
                  <c:v>248.23</c:v>
                </c:pt>
                <c:pt idx="30" formatCode="General">
                  <c:v>248.4</c:v>
                </c:pt>
                <c:pt idx="31" formatCode="General">
                  <c:v>248.4</c:v>
                </c:pt>
                <c:pt idx="32" formatCode="General">
                  <c:v>248.6</c:v>
                </c:pt>
                <c:pt idx="33" formatCode="General">
                  <c:v>248.8</c:v>
                </c:pt>
                <c:pt idx="34" formatCode="General">
                  <c:v>249.05</c:v>
                </c:pt>
                <c:pt idx="35" formatCode="General">
                  <c:v>249.54</c:v>
                </c:pt>
                <c:pt idx="36" formatCode="General">
                  <c:v>249.9</c:v>
                </c:pt>
              </c:numCache>
            </c:numRef>
          </c:xVal>
          <c:yVal>
            <c:numRef>
              <c:f>ODP690C!#REF!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B47-E04E-8C3B-ED1067D48105}"/>
            </c:ext>
          </c:extLst>
        </c:ser>
        <c:ser>
          <c:idx val="1"/>
          <c:order val="1"/>
          <c:tx>
            <c:v>present 187Os/188Os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'Data 5'!$B$3:$B$39</c:f>
              <c:numCache>
                <c:formatCode>0.00</c:formatCode>
                <c:ptCount val="37"/>
                <c:pt idx="0" formatCode="General">
                  <c:v>245.94</c:v>
                </c:pt>
                <c:pt idx="1">
                  <c:v>246.04</c:v>
                </c:pt>
                <c:pt idx="2">
                  <c:v>246.14</c:v>
                </c:pt>
                <c:pt idx="3">
                  <c:v>246.21</c:v>
                </c:pt>
                <c:pt idx="4">
                  <c:v>246.34</c:v>
                </c:pt>
                <c:pt idx="5">
                  <c:v>246.44</c:v>
                </c:pt>
                <c:pt idx="6">
                  <c:v>246.54</c:v>
                </c:pt>
                <c:pt idx="7">
                  <c:v>246.64</c:v>
                </c:pt>
                <c:pt idx="8">
                  <c:v>246.74</c:v>
                </c:pt>
                <c:pt idx="9">
                  <c:v>246.84</c:v>
                </c:pt>
                <c:pt idx="10">
                  <c:v>246.94</c:v>
                </c:pt>
                <c:pt idx="11">
                  <c:v>247.04</c:v>
                </c:pt>
                <c:pt idx="12">
                  <c:v>247.14</c:v>
                </c:pt>
                <c:pt idx="13">
                  <c:v>247.24</c:v>
                </c:pt>
                <c:pt idx="14">
                  <c:v>247.34</c:v>
                </c:pt>
                <c:pt idx="15">
                  <c:v>247.41</c:v>
                </c:pt>
                <c:pt idx="16">
                  <c:v>247.49</c:v>
                </c:pt>
                <c:pt idx="17">
                  <c:v>247.55</c:v>
                </c:pt>
                <c:pt idx="18">
                  <c:v>247.57</c:v>
                </c:pt>
                <c:pt idx="19">
                  <c:v>247.65</c:v>
                </c:pt>
                <c:pt idx="20">
                  <c:v>247.7</c:v>
                </c:pt>
                <c:pt idx="21">
                  <c:v>247.72</c:v>
                </c:pt>
                <c:pt idx="22">
                  <c:v>247.74</c:v>
                </c:pt>
                <c:pt idx="23">
                  <c:v>247.76</c:v>
                </c:pt>
                <c:pt idx="24">
                  <c:v>247.78</c:v>
                </c:pt>
                <c:pt idx="25">
                  <c:v>247.82</c:v>
                </c:pt>
                <c:pt idx="26">
                  <c:v>247.86</c:v>
                </c:pt>
                <c:pt idx="27">
                  <c:v>247.9</c:v>
                </c:pt>
                <c:pt idx="28" formatCode="General">
                  <c:v>248</c:v>
                </c:pt>
                <c:pt idx="29" formatCode="General">
                  <c:v>248.23</c:v>
                </c:pt>
                <c:pt idx="30" formatCode="General">
                  <c:v>248.4</c:v>
                </c:pt>
                <c:pt idx="31" formatCode="General">
                  <c:v>248.4</c:v>
                </c:pt>
                <c:pt idx="32" formatCode="General">
                  <c:v>248.6</c:v>
                </c:pt>
                <c:pt idx="33" formatCode="General">
                  <c:v>248.8</c:v>
                </c:pt>
                <c:pt idx="34" formatCode="General">
                  <c:v>249.05</c:v>
                </c:pt>
                <c:pt idx="35" formatCode="General">
                  <c:v>249.54</c:v>
                </c:pt>
                <c:pt idx="36" formatCode="General">
                  <c:v>249.9</c:v>
                </c:pt>
              </c:numCache>
            </c:numRef>
          </c:xVal>
          <c:yVal>
            <c:numRef>
              <c:f>'Data 5'!$I$3:$I$39</c:f>
              <c:numCache>
                <c:formatCode>0.0000</c:formatCode>
                <c:ptCount val="37"/>
                <c:pt idx="0" formatCode="General">
                  <c:v>0.4229</c:v>
                </c:pt>
                <c:pt idx="1">
                  <c:v>0.42559999999999998</c:v>
                </c:pt>
                <c:pt idx="2">
                  <c:v>0.4219</c:v>
                </c:pt>
                <c:pt idx="3">
                  <c:v>0.42320000000000002</c:v>
                </c:pt>
                <c:pt idx="4">
                  <c:v>0.42120000000000002</c:v>
                </c:pt>
                <c:pt idx="5">
                  <c:v>0.42930000000000001</c:v>
                </c:pt>
                <c:pt idx="6">
                  <c:v>0.43090000000000001</c:v>
                </c:pt>
                <c:pt idx="7">
                  <c:v>0.4209</c:v>
                </c:pt>
                <c:pt idx="8">
                  <c:v>0.43519999999999998</c:v>
                </c:pt>
                <c:pt idx="9">
                  <c:v>0.43409999999999999</c:v>
                </c:pt>
                <c:pt idx="10">
                  <c:v>0.44109999999999999</c:v>
                </c:pt>
                <c:pt idx="11">
                  <c:v>0.43740000000000001</c:v>
                </c:pt>
                <c:pt idx="12">
                  <c:v>0.45500000000000002</c:v>
                </c:pt>
                <c:pt idx="13">
                  <c:v>0.44840000000000002</c:v>
                </c:pt>
                <c:pt idx="14">
                  <c:v>0.439</c:v>
                </c:pt>
                <c:pt idx="15">
                  <c:v>0.43440000000000001</c:v>
                </c:pt>
                <c:pt idx="16">
                  <c:v>0.42859999999999998</c:v>
                </c:pt>
                <c:pt idx="18">
                  <c:v>0.4007</c:v>
                </c:pt>
                <c:pt idx="19">
                  <c:v>0.39050000000000001</c:v>
                </c:pt>
                <c:pt idx="20">
                  <c:v>0.34589999999999999</c:v>
                </c:pt>
                <c:pt idx="21">
                  <c:v>0.33679999999999999</c:v>
                </c:pt>
                <c:pt idx="22">
                  <c:v>0.28660000000000002</c:v>
                </c:pt>
                <c:pt idx="23">
                  <c:v>0.21060000000000001</c:v>
                </c:pt>
                <c:pt idx="24">
                  <c:v>0.2278</c:v>
                </c:pt>
                <c:pt idx="25">
                  <c:v>0.26910000000000001</c:v>
                </c:pt>
                <c:pt idx="26">
                  <c:v>0.2959</c:v>
                </c:pt>
                <c:pt idx="27">
                  <c:v>0.3095</c:v>
                </c:pt>
                <c:pt idx="28" formatCode="General">
                  <c:v>0.33739999999999998</c:v>
                </c:pt>
                <c:pt idx="29" formatCode="General">
                  <c:v>0.36349999999999999</c:v>
                </c:pt>
                <c:pt idx="30" formatCode="General">
                  <c:v>0.40550000000000003</c:v>
                </c:pt>
                <c:pt idx="31" formatCode="General">
                  <c:v>0.39050000000000001</c:v>
                </c:pt>
                <c:pt idx="32" formatCode="General">
                  <c:v>0.4052</c:v>
                </c:pt>
                <c:pt idx="33" formatCode="General">
                  <c:v>0.42199999999999999</c:v>
                </c:pt>
                <c:pt idx="34" formatCode="General">
                  <c:v>0.43859999999999999</c:v>
                </c:pt>
                <c:pt idx="35" formatCode="General">
                  <c:v>0.4234</c:v>
                </c:pt>
                <c:pt idx="36" formatCode="General">
                  <c:v>0.60219999999999996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B47-E04E-8C3B-ED1067D48105}"/>
            </c:ext>
          </c:extLst>
        </c:ser>
        <c:ser>
          <c:idx val="2"/>
          <c:order val="2"/>
          <c:tx>
            <c:strRef>
              <c:f>'Data 5'!$E$2</c:f>
              <c:strCache>
                <c:ptCount val="1"/>
                <c:pt idx="0">
                  <c:v>Ir ppb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'Data 5'!$B$3:$B$39</c:f>
              <c:numCache>
                <c:formatCode>0.00</c:formatCode>
                <c:ptCount val="37"/>
                <c:pt idx="0" formatCode="General">
                  <c:v>245.94</c:v>
                </c:pt>
                <c:pt idx="1">
                  <c:v>246.04</c:v>
                </c:pt>
                <c:pt idx="2">
                  <c:v>246.14</c:v>
                </c:pt>
                <c:pt idx="3">
                  <c:v>246.21</c:v>
                </c:pt>
                <c:pt idx="4">
                  <c:v>246.34</c:v>
                </c:pt>
                <c:pt idx="5">
                  <c:v>246.44</c:v>
                </c:pt>
                <c:pt idx="6">
                  <c:v>246.54</c:v>
                </c:pt>
                <c:pt idx="7">
                  <c:v>246.64</c:v>
                </c:pt>
                <c:pt idx="8">
                  <c:v>246.74</c:v>
                </c:pt>
                <c:pt idx="9">
                  <c:v>246.84</c:v>
                </c:pt>
                <c:pt idx="10">
                  <c:v>246.94</c:v>
                </c:pt>
                <c:pt idx="11">
                  <c:v>247.04</c:v>
                </c:pt>
                <c:pt idx="12">
                  <c:v>247.14</c:v>
                </c:pt>
                <c:pt idx="13">
                  <c:v>247.24</c:v>
                </c:pt>
                <c:pt idx="14">
                  <c:v>247.34</c:v>
                </c:pt>
                <c:pt idx="15">
                  <c:v>247.41</c:v>
                </c:pt>
                <c:pt idx="16">
                  <c:v>247.49</c:v>
                </c:pt>
                <c:pt idx="17">
                  <c:v>247.55</c:v>
                </c:pt>
                <c:pt idx="18">
                  <c:v>247.57</c:v>
                </c:pt>
                <c:pt idx="19">
                  <c:v>247.65</c:v>
                </c:pt>
                <c:pt idx="20">
                  <c:v>247.7</c:v>
                </c:pt>
                <c:pt idx="21">
                  <c:v>247.72</c:v>
                </c:pt>
                <c:pt idx="22">
                  <c:v>247.74</c:v>
                </c:pt>
                <c:pt idx="23">
                  <c:v>247.76</c:v>
                </c:pt>
                <c:pt idx="24">
                  <c:v>247.78</c:v>
                </c:pt>
                <c:pt idx="25">
                  <c:v>247.82</c:v>
                </c:pt>
                <c:pt idx="26">
                  <c:v>247.86</c:v>
                </c:pt>
                <c:pt idx="27">
                  <c:v>247.9</c:v>
                </c:pt>
                <c:pt idx="28" formatCode="General">
                  <c:v>248</c:v>
                </c:pt>
                <c:pt idx="29" formatCode="General">
                  <c:v>248.23</c:v>
                </c:pt>
                <c:pt idx="30" formatCode="General">
                  <c:v>248.4</c:v>
                </c:pt>
                <c:pt idx="31" formatCode="General">
                  <c:v>248.4</c:v>
                </c:pt>
                <c:pt idx="32" formatCode="General">
                  <c:v>248.6</c:v>
                </c:pt>
                <c:pt idx="33" formatCode="General">
                  <c:v>248.8</c:v>
                </c:pt>
                <c:pt idx="34" formatCode="General">
                  <c:v>249.05</c:v>
                </c:pt>
                <c:pt idx="35" formatCode="General">
                  <c:v>249.54</c:v>
                </c:pt>
                <c:pt idx="36" formatCode="General">
                  <c:v>249.9</c:v>
                </c:pt>
              </c:numCache>
            </c:numRef>
          </c:xVal>
          <c:yVal>
            <c:numRef>
              <c:f>'Data 5'!$E$3:$E$39</c:f>
              <c:numCache>
                <c:formatCode>0.000</c:formatCode>
                <c:ptCount val="37"/>
                <c:pt idx="28" formatCode="General">
                  <c:v>0.11799999999999999</c:v>
                </c:pt>
                <c:pt idx="29" formatCode="General">
                  <c:v>9.8000000000000004E-2</c:v>
                </c:pt>
                <c:pt idx="30" formatCode="General">
                  <c:v>3.5000000000000003E-2</c:v>
                </c:pt>
                <c:pt idx="31" formatCode="General">
                  <c:v>3.4000000000000002E-2</c:v>
                </c:pt>
                <c:pt idx="32" formatCode="General">
                  <c:v>3.1E-2</c:v>
                </c:pt>
                <c:pt idx="33" formatCode="General">
                  <c:v>3.5999999999999997E-2</c:v>
                </c:pt>
                <c:pt idx="34" formatCode="General">
                  <c:v>2.8000000000000001E-2</c:v>
                </c:pt>
                <c:pt idx="35" formatCode="General">
                  <c:v>0.02</c:v>
                </c:pt>
                <c:pt idx="36" formatCode="General">
                  <c:v>1.4999999999999999E-2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B47-E04E-8C3B-ED1067D48105}"/>
            </c:ext>
          </c:extLst>
        </c:ser>
        <c:ser>
          <c:idx val="3"/>
          <c:order val="3"/>
          <c:tx>
            <c:strRef>
              <c:f>'Data 5'!$D$2</c:f>
              <c:strCache>
                <c:ptCount val="1"/>
                <c:pt idx="0">
                  <c:v>Os ppb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'Data 5'!$B$3:$B$39</c:f>
              <c:numCache>
                <c:formatCode>0.00</c:formatCode>
                <c:ptCount val="37"/>
                <c:pt idx="0" formatCode="General">
                  <c:v>245.94</c:v>
                </c:pt>
                <c:pt idx="1">
                  <c:v>246.04</c:v>
                </c:pt>
                <c:pt idx="2">
                  <c:v>246.14</c:v>
                </c:pt>
                <c:pt idx="3">
                  <c:v>246.21</c:v>
                </c:pt>
                <c:pt idx="4">
                  <c:v>246.34</c:v>
                </c:pt>
                <c:pt idx="5">
                  <c:v>246.44</c:v>
                </c:pt>
                <c:pt idx="6">
                  <c:v>246.54</c:v>
                </c:pt>
                <c:pt idx="7">
                  <c:v>246.64</c:v>
                </c:pt>
                <c:pt idx="8">
                  <c:v>246.74</c:v>
                </c:pt>
                <c:pt idx="9">
                  <c:v>246.84</c:v>
                </c:pt>
                <c:pt idx="10">
                  <c:v>246.94</c:v>
                </c:pt>
                <c:pt idx="11">
                  <c:v>247.04</c:v>
                </c:pt>
                <c:pt idx="12">
                  <c:v>247.14</c:v>
                </c:pt>
                <c:pt idx="13">
                  <c:v>247.24</c:v>
                </c:pt>
                <c:pt idx="14">
                  <c:v>247.34</c:v>
                </c:pt>
                <c:pt idx="15">
                  <c:v>247.41</c:v>
                </c:pt>
                <c:pt idx="16">
                  <c:v>247.49</c:v>
                </c:pt>
                <c:pt idx="17">
                  <c:v>247.55</c:v>
                </c:pt>
                <c:pt idx="18">
                  <c:v>247.57</c:v>
                </c:pt>
                <c:pt idx="19">
                  <c:v>247.65</c:v>
                </c:pt>
                <c:pt idx="20">
                  <c:v>247.7</c:v>
                </c:pt>
                <c:pt idx="21">
                  <c:v>247.72</c:v>
                </c:pt>
                <c:pt idx="22">
                  <c:v>247.74</c:v>
                </c:pt>
                <c:pt idx="23">
                  <c:v>247.76</c:v>
                </c:pt>
                <c:pt idx="24">
                  <c:v>247.78</c:v>
                </c:pt>
                <c:pt idx="25">
                  <c:v>247.82</c:v>
                </c:pt>
                <c:pt idx="26">
                  <c:v>247.86</c:v>
                </c:pt>
                <c:pt idx="27">
                  <c:v>247.9</c:v>
                </c:pt>
                <c:pt idx="28" formatCode="General">
                  <c:v>248</c:v>
                </c:pt>
                <c:pt idx="29" formatCode="General">
                  <c:v>248.23</c:v>
                </c:pt>
                <c:pt idx="30" formatCode="General">
                  <c:v>248.4</c:v>
                </c:pt>
                <c:pt idx="31" formatCode="General">
                  <c:v>248.4</c:v>
                </c:pt>
                <c:pt idx="32" formatCode="General">
                  <c:v>248.6</c:v>
                </c:pt>
                <c:pt idx="33" formatCode="General">
                  <c:v>248.8</c:v>
                </c:pt>
                <c:pt idx="34" formatCode="General">
                  <c:v>249.05</c:v>
                </c:pt>
                <c:pt idx="35" formatCode="General">
                  <c:v>249.54</c:v>
                </c:pt>
                <c:pt idx="36" formatCode="General">
                  <c:v>249.9</c:v>
                </c:pt>
              </c:numCache>
            </c:numRef>
          </c:xVal>
          <c:yVal>
            <c:numRef>
              <c:f>'Data 5'!$D$3:$D$39</c:f>
              <c:numCache>
                <c:formatCode>0.000</c:formatCode>
                <c:ptCount val="37"/>
                <c:pt idx="0" formatCode="General">
                  <c:v>4.3999999999999997E-2</c:v>
                </c:pt>
                <c:pt idx="1">
                  <c:v>3.3000000000000002E-2</c:v>
                </c:pt>
                <c:pt idx="2">
                  <c:v>3.3600000000000005E-2</c:v>
                </c:pt>
                <c:pt idx="3">
                  <c:v>3.7600000000000001E-2</c:v>
                </c:pt>
                <c:pt idx="4">
                  <c:v>4.2799999999999998E-2</c:v>
                </c:pt>
                <c:pt idx="5">
                  <c:v>3.8200000000000005E-2</c:v>
                </c:pt>
                <c:pt idx="6">
                  <c:v>3.6200000000000003E-2</c:v>
                </c:pt>
                <c:pt idx="7">
                  <c:v>3.6499999999999998E-2</c:v>
                </c:pt>
                <c:pt idx="8">
                  <c:v>3.6899999999999995E-2</c:v>
                </c:pt>
                <c:pt idx="9">
                  <c:v>3.7200000000000004E-2</c:v>
                </c:pt>
                <c:pt idx="10">
                  <c:v>3.7700000000000004E-2</c:v>
                </c:pt>
                <c:pt idx="11">
                  <c:v>4.65E-2</c:v>
                </c:pt>
                <c:pt idx="12">
                  <c:v>3.7999999999999999E-2</c:v>
                </c:pt>
                <c:pt idx="13">
                  <c:v>3.8899999999999997E-2</c:v>
                </c:pt>
                <c:pt idx="14">
                  <c:v>4.2000000000000003E-2</c:v>
                </c:pt>
                <c:pt idx="15">
                  <c:v>4.1599999999999998E-2</c:v>
                </c:pt>
                <c:pt idx="16">
                  <c:v>3.9700000000000006E-2</c:v>
                </c:pt>
                <c:pt idx="18">
                  <c:v>4.3400000000000001E-2</c:v>
                </c:pt>
                <c:pt idx="19">
                  <c:v>4.2099999999999999E-2</c:v>
                </c:pt>
                <c:pt idx="20">
                  <c:v>4.8299999999999996E-2</c:v>
                </c:pt>
                <c:pt idx="21">
                  <c:v>5.2600000000000001E-2</c:v>
                </c:pt>
                <c:pt idx="22">
                  <c:v>7.2099999999999997E-2</c:v>
                </c:pt>
                <c:pt idx="23">
                  <c:v>0.13830000000000001</c:v>
                </c:pt>
                <c:pt idx="24">
                  <c:v>0.11550000000000001</c:v>
                </c:pt>
                <c:pt idx="25">
                  <c:v>7.0199999999999999E-2</c:v>
                </c:pt>
                <c:pt idx="26">
                  <c:v>6.8599999999999994E-2</c:v>
                </c:pt>
                <c:pt idx="27">
                  <c:v>6.08E-2</c:v>
                </c:pt>
                <c:pt idx="28">
                  <c:v>4.99E-2</c:v>
                </c:pt>
                <c:pt idx="29">
                  <c:v>4.2999999999999997E-2</c:v>
                </c:pt>
                <c:pt idx="30">
                  <c:v>4.0299999999999996E-2</c:v>
                </c:pt>
                <c:pt idx="31">
                  <c:v>4.1100000000000005E-2</c:v>
                </c:pt>
                <c:pt idx="32">
                  <c:v>3.49E-2</c:v>
                </c:pt>
                <c:pt idx="33">
                  <c:v>3.1100000000000003E-2</c:v>
                </c:pt>
                <c:pt idx="34">
                  <c:v>3.0699999999999998E-2</c:v>
                </c:pt>
                <c:pt idx="35">
                  <c:v>3.0600000000000002E-2</c:v>
                </c:pt>
                <c:pt idx="36">
                  <c:v>3.1100000000000003E-2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B47-E04E-8C3B-ED1067D48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979408"/>
        <c:axId val="1558981056"/>
      </c:scatterChart>
      <c:valAx>
        <c:axId val="1558979408"/>
        <c:scaling>
          <c:orientation val="maxMin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depth</a:t>
                </a:r>
                <a:r>
                  <a:rPr lang="en-US" altLang="ja-JP" baseline="0"/>
                  <a:t> (mbsf)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81056"/>
        <c:crosses val="autoZero"/>
        <c:crossBetween val="midCat"/>
      </c:valAx>
      <c:valAx>
        <c:axId val="155898105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187Os/188Os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794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IODP exp364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'Data 5'!$AI$2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'Data 5'!$B$3:$B$72</c:f>
              <c:numCache>
                <c:formatCode>0.00</c:formatCode>
                <c:ptCount val="70"/>
                <c:pt idx="0" formatCode="General">
                  <c:v>245.94</c:v>
                </c:pt>
                <c:pt idx="1">
                  <c:v>246.04</c:v>
                </c:pt>
                <c:pt idx="2">
                  <c:v>246.14</c:v>
                </c:pt>
                <c:pt idx="3">
                  <c:v>246.21</c:v>
                </c:pt>
                <c:pt idx="4">
                  <c:v>246.34</c:v>
                </c:pt>
                <c:pt idx="5">
                  <c:v>246.44</c:v>
                </c:pt>
                <c:pt idx="6">
                  <c:v>246.54</c:v>
                </c:pt>
                <c:pt idx="7">
                  <c:v>246.64</c:v>
                </c:pt>
                <c:pt idx="8">
                  <c:v>246.74</c:v>
                </c:pt>
                <c:pt idx="9">
                  <c:v>246.84</c:v>
                </c:pt>
                <c:pt idx="10">
                  <c:v>246.94</c:v>
                </c:pt>
                <c:pt idx="11">
                  <c:v>247.04</c:v>
                </c:pt>
                <c:pt idx="12">
                  <c:v>247.14</c:v>
                </c:pt>
                <c:pt idx="13">
                  <c:v>247.24</c:v>
                </c:pt>
                <c:pt idx="14">
                  <c:v>247.34</c:v>
                </c:pt>
                <c:pt idx="15">
                  <c:v>247.41</c:v>
                </c:pt>
                <c:pt idx="16">
                  <c:v>247.49</c:v>
                </c:pt>
                <c:pt idx="17">
                  <c:v>247.55</c:v>
                </c:pt>
                <c:pt idx="18">
                  <c:v>247.57</c:v>
                </c:pt>
                <c:pt idx="19">
                  <c:v>247.65</c:v>
                </c:pt>
                <c:pt idx="20">
                  <c:v>247.7</c:v>
                </c:pt>
                <c:pt idx="21">
                  <c:v>247.72</c:v>
                </c:pt>
                <c:pt idx="22">
                  <c:v>247.74</c:v>
                </c:pt>
                <c:pt idx="23">
                  <c:v>247.76</c:v>
                </c:pt>
                <c:pt idx="24">
                  <c:v>247.78</c:v>
                </c:pt>
                <c:pt idx="25">
                  <c:v>247.82</c:v>
                </c:pt>
                <c:pt idx="26">
                  <c:v>247.86</c:v>
                </c:pt>
                <c:pt idx="27">
                  <c:v>247.9</c:v>
                </c:pt>
                <c:pt idx="28" formatCode="General">
                  <c:v>248</c:v>
                </c:pt>
                <c:pt idx="29" formatCode="General">
                  <c:v>248.23</c:v>
                </c:pt>
                <c:pt idx="30" formatCode="General">
                  <c:v>248.4</c:v>
                </c:pt>
                <c:pt idx="31" formatCode="General">
                  <c:v>248.4</c:v>
                </c:pt>
                <c:pt idx="32" formatCode="General">
                  <c:v>248.6</c:v>
                </c:pt>
                <c:pt idx="33" formatCode="General">
                  <c:v>248.8</c:v>
                </c:pt>
                <c:pt idx="34" formatCode="General">
                  <c:v>249.05</c:v>
                </c:pt>
                <c:pt idx="35" formatCode="General">
                  <c:v>249.54</c:v>
                </c:pt>
                <c:pt idx="36" formatCode="General">
                  <c:v>249.9</c:v>
                </c:pt>
                <c:pt idx="37" formatCode="General">
                  <c:v>249.9</c:v>
                </c:pt>
                <c:pt idx="38" formatCode="General">
                  <c:v>250.3</c:v>
                </c:pt>
                <c:pt idx="39" formatCode="General">
                  <c:v>250.55</c:v>
                </c:pt>
                <c:pt idx="40" formatCode="General">
                  <c:v>251.03</c:v>
                </c:pt>
                <c:pt idx="41" formatCode="General">
                  <c:v>251.03</c:v>
                </c:pt>
                <c:pt idx="42" formatCode="General">
                  <c:v>251.42</c:v>
                </c:pt>
                <c:pt idx="43" formatCode="General">
                  <c:v>251.82</c:v>
                </c:pt>
                <c:pt idx="44" formatCode="General">
                  <c:v>251.82</c:v>
                </c:pt>
                <c:pt idx="45" formatCode="General">
                  <c:v>252.12</c:v>
                </c:pt>
                <c:pt idx="46" formatCode="General">
                  <c:v>252.26</c:v>
                </c:pt>
                <c:pt idx="47" formatCode="General">
                  <c:v>252.28</c:v>
                </c:pt>
                <c:pt idx="48" formatCode="General">
                  <c:v>252.65</c:v>
                </c:pt>
                <c:pt idx="49" formatCode="General">
                  <c:v>253.1</c:v>
                </c:pt>
                <c:pt idx="50" formatCode="General">
                  <c:v>253.5</c:v>
                </c:pt>
                <c:pt idx="51" formatCode="General">
                  <c:v>253.5</c:v>
                </c:pt>
                <c:pt idx="52" formatCode="General">
                  <c:v>253.96</c:v>
                </c:pt>
                <c:pt idx="53" formatCode="General">
                  <c:v>254.16</c:v>
                </c:pt>
                <c:pt idx="54" formatCode="General">
                  <c:v>254.6</c:v>
                </c:pt>
                <c:pt idx="55" formatCode="General">
                  <c:v>254.6</c:v>
                </c:pt>
                <c:pt idx="56" formatCode="General">
                  <c:v>255</c:v>
                </c:pt>
                <c:pt idx="57" formatCode="General">
                  <c:v>255.4</c:v>
                </c:pt>
                <c:pt idx="58" formatCode="General">
                  <c:v>255.4</c:v>
                </c:pt>
                <c:pt idx="59" formatCode="General">
                  <c:v>255.65</c:v>
                </c:pt>
                <c:pt idx="60" formatCode="General">
                  <c:v>255.65</c:v>
                </c:pt>
                <c:pt idx="61" formatCode="General">
                  <c:v>256.10000000000002</c:v>
                </c:pt>
                <c:pt idx="62" formatCode="General">
                  <c:v>256.5</c:v>
                </c:pt>
                <c:pt idx="63" formatCode="General">
                  <c:v>256.5</c:v>
                </c:pt>
                <c:pt idx="64" formatCode="General">
                  <c:v>256.94</c:v>
                </c:pt>
                <c:pt idx="65" formatCode="General">
                  <c:v>257.36</c:v>
                </c:pt>
                <c:pt idx="66" formatCode="General">
                  <c:v>257.36</c:v>
                </c:pt>
                <c:pt idx="67" formatCode="General">
                  <c:v>257.8</c:v>
                </c:pt>
                <c:pt idx="68" formatCode="General">
                  <c:v>258.05</c:v>
                </c:pt>
                <c:pt idx="69" formatCode="General">
                  <c:v>258.05</c:v>
                </c:pt>
              </c:numCache>
            </c:numRef>
          </c:xVal>
          <c:yVal>
            <c:numRef>
              <c:f>'Data 5'!$AI$3:$AI$72</c:f>
              <c:numCache>
                <c:formatCode>General</c:formatCode>
                <c:ptCount val="7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E4E-9E42-8E92-F202CAB7B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979408"/>
        <c:axId val="1558981056"/>
      </c:scatterChart>
      <c:valAx>
        <c:axId val="1558979408"/>
        <c:scaling>
          <c:orientation val="maxMin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depth</a:t>
                </a:r>
                <a:r>
                  <a:rPr lang="en-US" altLang="ja-JP" baseline="0"/>
                  <a:t> (mbsf)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81056"/>
        <c:crosses val="autoZero"/>
        <c:crossBetween val="midCat"/>
      </c:valAx>
      <c:valAx>
        <c:axId val="1558981056"/>
        <c:scaling>
          <c:orientation val="minMax"/>
          <c:max val="10"/>
          <c:min val="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79408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IODP exp364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'Data 5'!$AI$2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ODP690C!#REF!</c:f>
            </c:numRef>
          </c:xVal>
          <c:yVal>
            <c:numRef>
              <c:f>'Data 5'!$AI$3:$AI$72</c:f>
              <c:numCache>
                <c:formatCode>General</c:formatCode>
                <c:ptCount val="7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F4B-714E-B533-D7C74C2C6F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979408"/>
        <c:axId val="1558981056"/>
      </c:scatterChart>
      <c:valAx>
        <c:axId val="1558979408"/>
        <c:scaling>
          <c:orientation val="maxMin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ja-JP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Age</a:t>
                </a:r>
                <a:r>
                  <a:rPr lang="en-US" altLang="ja-JP" baseline="0"/>
                  <a:t> (Ma)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ja-JP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81056"/>
        <c:crosses val="autoZero"/>
        <c:crossBetween val="midCat"/>
      </c:valAx>
      <c:valAx>
        <c:axId val="1558981056"/>
        <c:scaling>
          <c:orientation val="minMax"/>
          <c:max val="10"/>
          <c:min val="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58979408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7" Type="http://schemas.openxmlformats.org/officeDocument/2006/relationships/chart" Target="../charts/chart14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139</xdr:row>
      <xdr:rowOff>101600</xdr:rowOff>
    </xdr:from>
    <xdr:to>
      <xdr:col>5</xdr:col>
      <xdr:colOff>520700</xdr:colOff>
      <xdr:row>160</xdr:row>
      <xdr:rowOff>127000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9EB7156-519D-6343-B97A-C88895336F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571500</xdr:colOff>
      <xdr:row>139</xdr:row>
      <xdr:rowOff>88900</xdr:rowOff>
    </xdr:from>
    <xdr:to>
      <xdr:col>16</xdr:col>
      <xdr:colOff>603250</xdr:colOff>
      <xdr:row>160</xdr:row>
      <xdr:rowOff>114300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6066355F-43CB-D541-B6FE-F9E0311FB4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0</xdr:colOff>
      <xdr:row>160</xdr:row>
      <xdr:rowOff>178955</xdr:rowOff>
    </xdr:from>
    <xdr:to>
      <xdr:col>6</xdr:col>
      <xdr:colOff>0</xdr:colOff>
      <xdr:row>182</xdr:row>
      <xdr:rowOff>1155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9C2E1630-DD42-694A-98BF-B4CDBD5525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0</xdr:colOff>
      <xdr:row>182</xdr:row>
      <xdr:rowOff>70428</xdr:rowOff>
    </xdr:from>
    <xdr:to>
      <xdr:col>5</xdr:col>
      <xdr:colOff>560531</xdr:colOff>
      <xdr:row>203</xdr:row>
      <xdr:rowOff>95827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932F8246-D001-3746-AD19-4A35FE0F74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0</xdr:colOff>
      <xdr:row>182</xdr:row>
      <xdr:rowOff>57728</xdr:rowOff>
    </xdr:from>
    <xdr:to>
      <xdr:col>17</xdr:col>
      <xdr:colOff>8081</xdr:colOff>
      <xdr:row>203</xdr:row>
      <xdr:rowOff>83127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131C714C-F9BD-DB46-9EBD-4610896000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80817</xdr:colOff>
      <xdr:row>139</xdr:row>
      <xdr:rowOff>69274</xdr:rowOff>
    </xdr:from>
    <xdr:to>
      <xdr:col>27</xdr:col>
      <xdr:colOff>412749</xdr:colOff>
      <xdr:row>160</xdr:row>
      <xdr:rowOff>94674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F66CD262-5D06-2A44-BA43-2AD229AB0F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80817</xdr:colOff>
      <xdr:row>160</xdr:row>
      <xdr:rowOff>103910</xdr:rowOff>
    </xdr:from>
    <xdr:to>
      <xdr:col>27</xdr:col>
      <xdr:colOff>412749</xdr:colOff>
      <xdr:row>181</xdr:row>
      <xdr:rowOff>129310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867A2525-B0EC-8C4E-8540-F12268E33E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134</xdr:row>
      <xdr:rowOff>101600</xdr:rowOff>
    </xdr:from>
    <xdr:to>
      <xdr:col>7</xdr:col>
      <xdr:colOff>520700</xdr:colOff>
      <xdr:row>155</xdr:row>
      <xdr:rowOff>127000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8178DA9-5189-C946-AED1-A5DD80EE5F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571500</xdr:colOff>
      <xdr:row>134</xdr:row>
      <xdr:rowOff>88900</xdr:rowOff>
    </xdr:from>
    <xdr:to>
      <xdr:col>15</xdr:col>
      <xdr:colOff>603250</xdr:colOff>
      <xdr:row>155</xdr:row>
      <xdr:rowOff>114300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60D86B6C-ACA5-CF4C-B1F2-1637C432D0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0</xdr:colOff>
      <xdr:row>155</xdr:row>
      <xdr:rowOff>178955</xdr:rowOff>
    </xdr:from>
    <xdr:to>
      <xdr:col>8</xdr:col>
      <xdr:colOff>0</xdr:colOff>
      <xdr:row>177</xdr:row>
      <xdr:rowOff>1155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D0E9D033-58C2-B94D-A4C5-511D1CAAC9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0</xdr:colOff>
      <xdr:row>177</xdr:row>
      <xdr:rowOff>70428</xdr:rowOff>
    </xdr:from>
    <xdr:to>
      <xdr:col>7</xdr:col>
      <xdr:colOff>560531</xdr:colOff>
      <xdr:row>198</xdr:row>
      <xdr:rowOff>95827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C19D8AF4-3234-D44F-8B69-67CC050C7A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177</xdr:row>
      <xdr:rowOff>57728</xdr:rowOff>
    </xdr:from>
    <xdr:to>
      <xdr:col>16</xdr:col>
      <xdr:colOff>8081</xdr:colOff>
      <xdr:row>198</xdr:row>
      <xdr:rowOff>83127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F923BBB1-43C5-5E40-83AD-A68EC6B15C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80817</xdr:colOff>
      <xdr:row>134</xdr:row>
      <xdr:rowOff>69274</xdr:rowOff>
    </xdr:from>
    <xdr:to>
      <xdr:col>26</xdr:col>
      <xdr:colOff>412749</xdr:colOff>
      <xdr:row>155</xdr:row>
      <xdr:rowOff>94674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E7A3CF77-D6FB-2248-BED0-46B5819AE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80817</xdr:colOff>
      <xdr:row>155</xdr:row>
      <xdr:rowOff>103910</xdr:rowOff>
    </xdr:from>
    <xdr:to>
      <xdr:col>26</xdr:col>
      <xdr:colOff>412749</xdr:colOff>
      <xdr:row>176</xdr:row>
      <xdr:rowOff>129310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3F064B49-8AC1-AD44-99A6-5B189B9ED9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KR/Documents/Microsoft%20&#12518;&#12540;&#12470;&#12540;%20&#12487;&#12540;&#12479;/Office%202008%20AutoRecovery/TIMS-calc/results%20sheet/TM13-1-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13-1 new SPK value"/>
      <sheetName val="oxide correctio"/>
      <sheetName val="mass disc corre"/>
      <sheetName val="spike check"/>
      <sheetName val="2nd mass disc"/>
      <sheetName val="2nd spk check"/>
      <sheetName val="3rd mass disc c"/>
      <sheetName val="3rd spk check"/>
      <sheetName val="4th mass disc"/>
      <sheetName val="4th spk check"/>
      <sheetName val="isotope ratios"/>
      <sheetName val="Result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22345-AC90-4943-8FEE-1E4B70BC6C39}">
  <sheetPr>
    <pageSetUpPr fitToPage="1"/>
  </sheetPr>
  <dimension ref="A1:DP61"/>
  <sheetViews>
    <sheetView topLeftCell="A19" zoomScale="125" zoomScaleNormal="100" workbookViewId="0">
      <selection activeCell="A2" sqref="A2"/>
    </sheetView>
  </sheetViews>
  <sheetFormatPr baseColWidth="10" defaultColWidth="10.7109375" defaultRowHeight="16"/>
  <cols>
    <col min="1" max="1" width="15.7109375" style="157" customWidth="1"/>
    <col min="2" max="2" width="15.7109375" style="136" customWidth="1"/>
    <col min="3" max="4" width="15.7109375" style="135" customWidth="1"/>
    <col min="5" max="5" width="15.7109375" style="136" customWidth="1"/>
    <col min="6" max="10" width="15.7109375" style="135" customWidth="1"/>
    <col min="11" max="11" width="10.7109375" style="135"/>
    <col min="12" max="12" width="10.7109375" style="135" customWidth="1"/>
    <col min="13" max="16384" width="10.7109375" style="135"/>
  </cols>
  <sheetData>
    <row r="1" spans="1:120" ht="16" customHeight="1">
      <c r="A1" s="138" t="s">
        <v>402</v>
      </c>
    </row>
    <row r="2" spans="1:120" ht="18">
      <c r="A2" s="137" t="s">
        <v>102</v>
      </c>
      <c r="B2" s="137" t="s">
        <v>141</v>
      </c>
      <c r="C2" s="137" t="s">
        <v>172</v>
      </c>
      <c r="D2" s="137" t="s">
        <v>150</v>
      </c>
      <c r="E2" s="137" t="s">
        <v>392</v>
      </c>
      <c r="F2" s="137" t="s">
        <v>151</v>
      </c>
      <c r="G2" s="137" t="s">
        <v>152</v>
      </c>
      <c r="H2" s="138"/>
      <c r="I2" s="138"/>
      <c r="J2" s="136"/>
      <c r="K2" s="139"/>
      <c r="L2" s="140"/>
    </row>
    <row r="3" spans="1:120">
      <c r="B3" s="158">
        <v>611.42999999999995</v>
      </c>
      <c r="C3" s="142">
        <f>(66.001-D3)*1000</f>
        <v>3099.0000000000036</v>
      </c>
      <c r="D3" s="136">
        <v>62.902000000000001</v>
      </c>
      <c r="E3" s="151"/>
      <c r="F3" s="184" t="s">
        <v>174</v>
      </c>
      <c r="G3" s="136" t="s">
        <v>173</v>
      </c>
      <c r="I3" s="141"/>
      <c r="J3" s="142"/>
      <c r="K3" s="143"/>
      <c r="L3" s="144"/>
    </row>
    <row r="4" spans="1:120" s="145" customFormat="1">
      <c r="A4" s="185" t="s">
        <v>186</v>
      </c>
      <c r="B4" s="158">
        <f>613.19+0.19</f>
        <v>613.38000000000011</v>
      </c>
      <c r="C4" s="142">
        <f>(66.001-D4)*1000</f>
        <v>2113.0000000000068</v>
      </c>
      <c r="D4" s="151">
        <v>63.887999999999998</v>
      </c>
      <c r="E4" s="151">
        <v>0.19776876267749</v>
      </c>
      <c r="F4" s="184" t="s">
        <v>168</v>
      </c>
      <c r="G4" s="136" t="s">
        <v>153</v>
      </c>
      <c r="H4" s="135"/>
      <c r="I4" s="135"/>
      <c r="J4" s="135"/>
      <c r="K4" s="139"/>
      <c r="L4" s="144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/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35"/>
      <c r="DP4" s="135"/>
    </row>
    <row r="5" spans="1:120">
      <c r="A5" s="185" t="s">
        <v>187</v>
      </c>
      <c r="B5" s="158">
        <f>613.19+0.33</f>
        <v>613.5200000000001</v>
      </c>
      <c r="C5" s="142">
        <f>(66.001-D5)*1000</f>
        <v>1907.8807339449922</v>
      </c>
      <c r="D5" s="151">
        <v>64.093119266055012</v>
      </c>
      <c r="E5" s="151">
        <v>6.8252974326864807E-2</v>
      </c>
      <c r="F5" s="136" t="s">
        <v>154</v>
      </c>
      <c r="G5" s="136" t="s">
        <v>153</v>
      </c>
      <c r="K5" s="139"/>
      <c r="L5" s="144"/>
    </row>
    <row r="6" spans="1:120">
      <c r="A6" s="185" t="s">
        <v>188</v>
      </c>
      <c r="B6" s="158">
        <f>613.19+0.46</f>
        <v>613.65000000000009</v>
      </c>
      <c r="C6" s="142">
        <f t="shared" ref="C6:C36" si="0">(66.001-D6)*1000</f>
        <v>1717.412844036744</v>
      </c>
      <c r="D6" s="151">
        <v>64.283587155963261</v>
      </c>
      <c r="E6" s="151">
        <v>6.8252974326864807E-2</v>
      </c>
      <c r="F6" s="136" t="s">
        <v>154</v>
      </c>
      <c r="G6" s="136" t="s">
        <v>153</v>
      </c>
      <c r="K6" s="139"/>
      <c r="L6" s="144"/>
    </row>
    <row r="7" spans="1:120">
      <c r="A7" s="157" t="s">
        <v>189</v>
      </c>
      <c r="B7" s="158">
        <f>613.19+0.58</f>
        <v>613.7700000000001</v>
      </c>
      <c r="C7" s="142">
        <f t="shared" si="0"/>
        <v>1541.5963302752687</v>
      </c>
      <c r="D7" s="151">
        <v>64.459403669724736</v>
      </c>
      <c r="E7" s="151">
        <v>6.8252974326864807E-2</v>
      </c>
      <c r="F7" s="136" t="s">
        <v>154</v>
      </c>
      <c r="G7" s="136" t="s">
        <v>153</v>
      </c>
      <c r="K7" s="139"/>
      <c r="L7" s="144"/>
    </row>
    <row r="8" spans="1:120">
      <c r="A8" s="157" t="s">
        <v>190</v>
      </c>
      <c r="B8" s="158">
        <f>613.19+0.74</f>
        <v>613.93000000000006</v>
      </c>
      <c r="C8" s="142">
        <f t="shared" si="0"/>
        <v>1307.1743119267012</v>
      </c>
      <c r="D8" s="151">
        <v>64.693825688073304</v>
      </c>
      <c r="E8" s="151">
        <v>6.8252974326864807E-2</v>
      </c>
      <c r="F8" s="136" t="s">
        <v>154</v>
      </c>
      <c r="G8" s="136" t="s">
        <v>153</v>
      </c>
      <c r="K8" s="139"/>
      <c r="L8" s="144"/>
    </row>
    <row r="9" spans="1:120">
      <c r="A9" s="157" t="s">
        <v>191</v>
      </c>
      <c r="B9" s="158">
        <f>613.19+0.86</f>
        <v>614.05000000000007</v>
      </c>
      <c r="C9" s="142">
        <f t="shared" si="0"/>
        <v>1131.3577981652259</v>
      </c>
      <c r="D9" s="151">
        <v>64.869642201834779</v>
      </c>
      <c r="E9" s="151">
        <v>6.8252974326864807E-2</v>
      </c>
      <c r="F9" s="136" t="s">
        <v>154</v>
      </c>
      <c r="G9" s="136" t="s">
        <v>153</v>
      </c>
      <c r="K9" s="139"/>
      <c r="L9" s="144"/>
    </row>
    <row r="10" spans="1:120" s="145" customFormat="1">
      <c r="A10" s="157" t="s">
        <v>192</v>
      </c>
      <c r="B10" s="158">
        <f>613.19+1</f>
        <v>614.19000000000005</v>
      </c>
      <c r="C10" s="142">
        <f t="shared" si="0"/>
        <v>926.23853211004814</v>
      </c>
      <c r="D10" s="151">
        <v>65.074761467889957</v>
      </c>
      <c r="E10" s="151">
        <v>6.8252974326864807E-2</v>
      </c>
      <c r="F10" s="136" t="s">
        <v>154</v>
      </c>
      <c r="G10" s="136" t="s">
        <v>153</v>
      </c>
      <c r="H10" s="135"/>
      <c r="I10" s="135"/>
      <c r="J10" s="135"/>
      <c r="K10" s="139"/>
      <c r="L10" s="144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135"/>
      <c r="BK10" s="135"/>
      <c r="BL10" s="135"/>
      <c r="BM10" s="135"/>
      <c r="BN10" s="135"/>
      <c r="BO10" s="135"/>
      <c r="BP10" s="135"/>
      <c r="BQ10" s="135"/>
      <c r="BR10" s="135"/>
      <c r="BS10" s="135"/>
      <c r="BT10" s="135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/>
      <c r="CH10" s="135"/>
      <c r="CI10" s="135"/>
      <c r="CJ10" s="135"/>
      <c r="CK10" s="135"/>
      <c r="CL10" s="135"/>
      <c r="CM10" s="135"/>
      <c r="CN10" s="135"/>
      <c r="CO10" s="135"/>
      <c r="CP10" s="135"/>
      <c r="CQ10" s="135"/>
      <c r="CR10" s="135"/>
      <c r="CS10" s="135"/>
      <c r="CT10" s="135"/>
      <c r="CU10" s="135"/>
      <c r="CV10" s="135"/>
      <c r="CW10" s="135"/>
      <c r="CX10" s="135"/>
      <c r="CY10" s="135"/>
      <c r="CZ10" s="135"/>
      <c r="DA10" s="135"/>
      <c r="DB10" s="135"/>
      <c r="DC10" s="135"/>
      <c r="DD10" s="135"/>
      <c r="DE10" s="135"/>
      <c r="DF10" s="135"/>
      <c r="DG10" s="135"/>
      <c r="DH10" s="135"/>
      <c r="DI10" s="135"/>
      <c r="DJ10" s="135"/>
      <c r="DK10" s="135"/>
      <c r="DL10" s="135"/>
      <c r="DM10" s="135"/>
      <c r="DN10" s="135"/>
      <c r="DO10" s="135"/>
      <c r="DP10" s="135"/>
    </row>
    <row r="11" spans="1:120">
      <c r="A11" s="157" t="s">
        <v>193</v>
      </c>
      <c r="B11" s="158">
        <f>613.19+1.14</f>
        <v>614.33000000000004</v>
      </c>
      <c r="C11" s="142">
        <f t="shared" si="0"/>
        <v>721.11926605502674</v>
      </c>
      <c r="D11" s="152">
        <v>65.279880733944978</v>
      </c>
      <c r="E11" s="151">
        <v>6.8252974326864807E-2</v>
      </c>
      <c r="F11" s="141" t="s">
        <v>154</v>
      </c>
      <c r="G11" s="141" t="s">
        <v>153</v>
      </c>
      <c r="K11" s="139"/>
      <c r="L11" s="144"/>
    </row>
    <row r="12" spans="1:120">
      <c r="A12" s="185" t="s">
        <v>194</v>
      </c>
      <c r="B12" s="158">
        <f>613.19+1.18</f>
        <v>614.37</v>
      </c>
      <c r="C12" s="142">
        <f t="shared" si="0"/>
        <v>662.5137614679204</v>
      </c>
      <c r="D12" s="152">
        <v>65.338486238532084</v>
      </c>
      <c r="E12" s="151">
        <v>6.8252974326864807E-2</v>
      </c>
      <c r="F12" s="141" t="s">
        <v>154</v>
      </c>
      <c r="G12" s="141" t="s">
        <v>153</v>
      </c>
      <c r="K12" s="139"/>
      <c r="L12" s="144"/>
    </row>
    <row r="13" spans="1:120">
      <c r="A13" s="186" t="s">
        <v>195</v>
      </c>
      <c r="B13" s="159">
        <f>613.19+1.28</f>
        <v>614.47</v>
      </c>
      <c r="C13" s="146">
        <f>(66.001-D13)*1000</f>
        <v>516.00000000000534</v>
      </c>
      <c r="D13" s="153">
        <v>65.484999999999999</v>
      </c>
      <c r="E13" s="155">
        <v>6.8252974326864807E-2</v>
      </c>
      <c r="F13" s="160" t="s">
        <v>154</v>
      </c>
      <c r="G13" s="160" t="s">
        <v>153</v>
      </c>
      <c r="H13" s="213"/>
      <c r="K13" s="139"/>
      <c r="L13" s="144"/>
    </row>
    <row r="14" spans="1:120" s="145" customFormat="1">
      <c r="A14" s="185" t="s">
        <v>196</v>
      </c>
      <c r="B14" s="158">
        <f>614.56+0.04</f>
        <v>614.59999999999991</v>
      </c>
      <c r="C14" s="142">
        <f t="shared" si="0"/>
        <v>461.4000000000118</v>
      </c>
      <c r="D14" s="152">
        <v>65.539599999999993</v>
      </c>
      <c r="E14" s="152">
        <v>0.25600000000000001</v>
      </c>
      <c r="F14" s="141" t="s">
        <v>155</v>
      </c>
      <c r="G14" s="141" t="s">
        <v>156</v>
      </c>
      <c r="H14" s="135"/>
      <c r="I14" s="135"/>
      <c r="J14" s="135"/>
      <c r="K14" s="139"/>
      <c r="L14" s="144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  <c r="BO14" s="135"/>
      <c r="BP14" s="135"/>
      <c r="BQ14" s="135"/>
      <c r="BR14" s="135"/>
      <c r="BS14" s="135"/>
      <c r="BT14" s="135"/>
      <c r="BU14" s="135"/>
      <c r="BV14" s="135"/>
      <c r="BW14" s="135"/>
      <c r="BX14" s="135"/>
      <c r="BY14" s="135"/>
      <c r="BZ14" s="135"/>
      <c r="CA14" s="135"/>
      <c r="CB14" s="135"/>
      <c r="CC14" s="135"/>
      <c r="CD14" s="135"/>
      <c r="CE14" s="135"/>
      <c r="CF14" s="135"/>
      <c r="CG14" s="135"/>
      <c r="CH14" s="135"/>
      <c r="CI14" s="135"/>
      <c r="CJ14" s="135"/>
      <c r="CK14" s="135"/>
      <c r="CL14" s="135"/>
      <c r="CM14" s="135"/>
      <c r="CN14" s="135"/>
      <c r="CO14" s="135"/>
      <c r="CP14" s="135"/>
      <c r="CQ14" s="135"/>
      <c r="CR14" s="135"/>
      <c r="CS14" s="135"/>
      <c r="CT14" s="135"/>
      <c r="CU14" s="135"/>
      <c r="CV14" s="135"/>
      <c r="CW14" s="135"/>
      <c r="CX14" s="135"/>
      <c r="CY14" s="135"/>
      <c r="CZ14" s="135"/>
      <c r="DA14" s="135"/>
      <c r="DB14" s="135"/>
      <c r="DC14" s="135"/>
      <c r="DD14" s="135"/>
      <c r="DE14" s="135"/>
      <c r="DF14" s="135"/>
      <c r="DG14" s="135"/>
      <c r="DH14" s="135"/>
      <c r="DI14" s="135"/>
      <c r="DJ14" s="135"/>
      <c r="DK14" s="135"/>
      <c r="DL14" s="135"/>
      <c r="DM14" s="135"/>
      <c r="DN14" s="135"/>
      <c r="DO14" s="135"/>
      <c r="DP14" s="135"/>
    </row>
    <row r="15" spans="1:120">
      <c r="A15" s="185" t="s">
        <v>197</v>
      </c>
      <c r="B15" s="158">
        <f>614.56+0.18</f>
        <v>614.7399999999999</v>
      </c>
      <c r="C15" s="142">
        <f t="shared" si="0"/>
        <v>406.80000000000405</v>
      </c>
      <c r="D15" s="152">
        <v>65.594200000000001</v>
      </c>
      <c r="E15" s="152">
        <v>0.25600000000000001</v>
      </c>
      <c r="F15" s="141" t="s">
        <v>155</v>
      </c>
      <c r="G15" s="141" t="s">
        <v>156</v>
      </c>
      <c r="K15" s="139"/>
      <c r="L15" s="144"/>
    </row>
    <row r="16" spans="1:120">
      <c r="A16" s="185" t="s">
        <v>198</v>
      </c>
      <c r="B16" s="158">
        <f>614.56+0.31</f>
        <v>614.86999999999989</v>
      </c>
      <c r="C16" s="142">
        <f t="shared" si="0"/>
        <v>360.00000000001364</v>
      </c>
      <c r="D16" s="152">
        <v>65.640999999999991</v>
      </c>
      <c r="E16" s="152">
        <v>0.25600000000000001</v>
      </c>
      <c r="F16" s="141" t="s">
        <v>155</v>
      </c>
      <c r="G16" s="141" t="s">
        <v>156</v>
      </c>
      <c r="K16" s="139"/>
      <c r="L16" s="144"/>
    </row>
    <row r="17" spans="1:120" s="147" customFormat="1">
      <c r="A17" s="185" t="s">
        <v>199</v>
      </c>
      <c r="B17" s="158">
        <f>614.56+0.44</f>
        <v>615</v>
      </c>
      <c r="C17" s="142">
        <f t="shared" si="0"/>
        <v>309.30000000000746</v>
      </c>
      <c r="D17" s="152">
        <v>65.691699999999997</v>
      </c>
      <c r="E17" s="152">
        <v>0.25600000000000001</v>
      </c>
      <c r="F17" s="141" t="s">
        <v>155</v>
      </c>
      <c r="G17" s="141" t="s">
        <v>156</v>
      </c>
      <c r="H17" s="135"/>
      <c r="I17" s="135"/>
      <c r="J17" s="135"/>
      <c r="K17" s="139"/>
      <c r="L17" s="144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  <c r="BO17" s="135"/>
      <c r="BP17" s="135"/>
      <c r="BQ17" s="135"/>
      <c r="BR17" s="135"/>
      <c r="BS17" s="135"/>
      <c r="BT17" s="135"/>
      <c r="BU17" s="135"/>
      <c r="BV17" s="135"/>
      <c r="BW17" s="135"/>
      <c r="BX17" s="135"/>
      <c r="BY17" s="135"/>
      <c r="BZ17" s="135"/>
      <c r="CA17" s="135"/>
      <c r="CB17" s="135"/>
      <c r="CC17" s="135"/>
      <c r="CD17" s="135"/>
      <c r="CE17" s="135"/>
      <c r="CF17" s="135"/>
      <c r="CG17" s="135"/>
      <c r="CH17" s="135"/>
      <c r="CI17" s="135"/>
      <c r="CJ17" s="135"/>
      <c r="CK17" s="135"/>
      <c r="CL17" s="135"/>
      <c r="CM17" s="135"/>
      <c r="CN17" s="135"/>
      <c r="CO17" s="135"/>
      <c r="CP17" s="135"/>
      <c r="CQ17" s="135"/>
      <c r="CR17" s="135"/>
      <c r="CS17" s="135"/>
      <c r="CT17" s="135"/>
      <c r="CU17" s="135"/>
      <c r="CV17" s="135"/>
      <c r="CW17" s="135"/>
      <c r="CX17" s="135"/>
      <c r="CY17" s="135"/>
      <c r="CZ17" s="135"/>
      <c r="DA17" s="135"/>
      <c r="DB17" s="135"/>
      <c r="DC17" s="135"/>
      <c r="DD17" s="135"/>
      <c r="DE17" s="135"/>
      <c r="DF17" s="135"/>
      <c r="DG17" s="135"/>
      <c r="DH17" s="135"/>
      <c r="DI17" s="135"/>
      <c r="DJ17" s="135"/>
      <c r="DK17" s="135"/>
      <c r="DL17" s="135"/>
      <c r="DM17" s="135"/>
      <c r="DN17" s="135"/>
      <c r="DO17" s="135"/>
      <c r="DP17" s="135"/>
    </row>
    <row r="18" spans="1:120" s="145" customFormat="1">
      <c r="A18" s="185" t="s">
        <v>200</v>
      </c>
      <c r="B18" s="158">
        <f>614.56+0.55</f>
        <v>615.1099999999999</v>
      </c>
      <c r="C18" s="142">
        <f t="shared" si="0"/>
        <v>266.40000000000441</v>
      </c>
      <c r="D18" s="152">
        <v>65.7346</v>
      </c>
      <c r="E18" s="152">
        <v>0.25600000000000001</v>
      </c>
      <c r="F18" s="141" t="s">
        <v>155</v>
      </c>
      <c r="G18" s="141" t="s">
        <v>156</v>
      </c>
      <c r="H18" s="135"/>
      <c r="I18" s="135"/>
      <c r="J18" s="135"/>
      <c r="K18" s="139"/>
      <c r="L18" s="144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  <c r="BO18" s="135"/>
      <c r="BP18" s="135"/>
      <c r="BQ18" s="135"/>
      <c r="BR18" s="135"/>
      <c r="BS18" s="135"/>
      <c r="BT18" s="135"/>
      <c r="BU18" s="135"/>
      <c r="BV18" s="135"/>
      <c r="BW18" s="135"/>
      <c r="BX18" s="135"/>
      <c r="BY18" s="135"/>
      <c r="BZ18" s="135"/>
      <c r="CA18" s="135"/>
      <c r="CB18" s="135"/>
      <c r="CC18" s="135"/>
      <c r="CD18" s="135"/>
      <c r="CE18" s="135"/>
      <c r="CF18" s="135"/>
      <c r="CG18" s="135"/>
      <c r="CH18" s="135"/>
      <c r="CI18" s="135"/>
      <c r="CJ18" s="135"/>
      <c r="CK18" s="135"/>
      <c r="CL18" s="135"/>
      <c r="CM18" s="135"/>
      <c r="CN18" s="135"/>
      <c r="CO18" s="135"/>
      <c r="CP18" s="135"/>
      <c r="CQ18" s="135"/>
      <c r="CR18" s="135"/>
      <c r="CS18" s="135"/>
      <c r="CT18" s="135"/>
      <c r="CU18" s="135"/>
      <c r="CV18" s="135"/>
      <c r="CW18" s="135"/>
      <c r="CX18" s="135"/>
      <c r="CY18" s="135"/>
      <c r="CZ18" s="135"/>
      <c r="DA18" s="135"/>
      <c r="DB18" s="135"/>
      <c r="DC18" s="135"/>
      <c r="DD18" s="135"/>
      <c r="DE18" s="135"/>
      <c r="DF18" s="135"/>
      <c r="DG18" s="135"/>
      <c r="DH18" s="135"/>
      <c r="DI18" s="135"/>
      <c r="DJ18" s="135"/>
      <c r="DK18" s="135"/>
      <c r="DL18" s="135"/>
      <c r="DM18" s="135"/>
      <c r="DN18" s="135"/>
      <c r="DO18" s="135"/>
      <c r="DP18" s="135"/>
    </row>
    <row r="19" spans="1:120">
      <c r="A19" s="185" t="s">
        <v>201</v>
      </c>
      <c r="B19" s="158">
        <f>614.56+0.57</f>
        <v>615.13</v>
      </c>
      <c r="C19" s="142">
        <f t="shared" si="0"/>
        <v>258.60000000000127</v>
      </c>
      <c r="D19" s="152">
        <v>65.742400000000004</v>
      </c>
      <c r="E19" s="152">
        <v>0.25600000000000001</v>
      </c>
      <c r="F19" s="141" t="s">
        <v>155</v>
      </c>
      <c r="G19" s="141" t="s">
        <v>156</v>
      </c>
      <c r="K19" s="139"/>
      <c r="L19" s="144"/>
    </row>
    <row r="20" spans="1:120">
      <c r="A20" s="186" t="s">
        <v>202</v>
      </c>
      <c r="B20" s="159">
        <f>614.56+0.71</f>
        <v>615.27</v>
      </c>
      <c r="C20" s="146">
        <f>(66.001-D20)*1000</f>
        <v>204.00000000000773</v>
      </c>
      <c r="D20" s="153">
        <v>65.796999999999997</v>
      </c>
      <c r="E20" s="153">
        <v>0.25600000000000001</v>
      </c>
      <c r="F20" s="160" t="s">
        <v>155</v>
      </c>
      <c r="G20" s="160" t="s">
        <v>156</v>
      </c>
      <c r="I20" s="136"/>
      <c r="J20" s="142"/>
      <c r="K20" s="139"/>
      <c r="L20" s="144"/>
    </row>
    <row r="21" spans="1:120">
      <c r="A21" s="185" t="s">
        <v>203</v>
      </c>
      <c r="B21" s="158">
        <f>614.56+0.85</f>
        <v>615.41</v>
      </c>
      <c r="C21" s="142">
        <f t="shared" si="0"/>
        <v>183.07692307692491</v>
      </c>
      <c r="D21" s="152">
        <v>65.81792307692308</v>
      </c>
      <c r="E21" s="156">
        <v>0.66911764705875143</v>
      </c>
      <c r="F21" s="141" t="s">
        <v>157</v>
      </c>
      <c r="G21" s="141" t="s">
        <v>158</v>
      </c>
      <c r="K21" s="139"/>
      <c r="L21" s="144"/>
    </row>
    <row r="22" spans="1:120">
      <c r="A22" s="185" t="s">
        <v>204</v>
      </c>
      <c r="B22" s="158">
        <f>614.56+0.98</f>
        <v>615.54</v>
      </c>
      <c r="C22" s="142">
        <f t="shared" si="0"/>
        <v>163.64835164836222</v>
      </c>
      <c r="D22" s="152">
        <v>65.837351648351643</v>
      </c>
      <c r="E22" s="156">
        <v>0.66911764705875143</v>
      </c>
      <c r="F22" s="141" t="s">
        <v>157</v>
      </c>
      <c r="G22" s="141" t="s">
        <v>158</v>
      </c>
      <c r="K22" s="139"/>
      <c r="L22" s="144"/>
    </row>
    <row r="23" spans="1:120">
      <c r="A23" s="187" t="s">
        <v>205</v>
      </c>
      <c r="B23" s="158">
        <f>614.56+1.12</f>
        <v>615.67999999999995</v>
      </c>
      <c r="C23" s="142">
        <f t="shared" si="0"/>
        <v>142.72527472527941</v>
      </c>
      <c r="D23" s="152">
        <v>65.858274725274725</v>
      </c>
      <c r="E23" s="156">
        <v>0.66911764705875143</v>
      </c>
      <c r="F23" s="141" t="s">
        <v>157</v>
      </c>
      <c r="G23" s="141" t="s">
        <v>158</v>
      </c>
      <c r="K23" s="139"/>
      <c r="L23" s="144"/>
    </row>
    <row r="24" spans="1:120">
      <c r="A24" s="185" t="s">
        <v>206</v>
      </c>
      <c r="B24" s="158">
        <f>615.77+0.05</f>
        <v>615.81999999999994</v>
      </c>
      <c r="C24" s="142">
        <f t="shared" si="0"/>
        <v>121.80219780218238</v>
      </c>
      <c r="D24" s="152">
        <v>65.879197802197822</v>
      </c>
      <c r="E24" s="156">
        <v>0.66911764705875143</v>
      </c>
      <c r="F24" s="141" t="s">
        <v>157</v>
      </c>
      <c r="G24" s="141" t="s">
        <v>158</v>
      </c>
      <c r="K24" s="139"/>
      <c r="L24" s="144"/>
    </row>
    <row r="25" spans="1:120">
      <c r="A25" s="185" t="s">
        <v>207</v>
      </c>
      <c r="B25" s="158">
        <f>615.77+0.17</f>
        <v>615.93999999999994</v>
      </c>
      <c r="C25" s="142">
        <f t="shared" si="0"/>
        <v>103.86813186811139</v>
      </c>
      <c r="D25" s="152">
        <v>65.897131868131893</v>
      </c>
      <c r="E25" s="156">
        <v>0.66911764705875143</v>
      </c>
      <c r="F25" s="141" t="s">
        <v>157</v>
      </c>
      <c r="G25" s="141" t="s">
        <v>158</v>
      </c>
      <c r="K25" s="139"/>
      <c r="L25" s="144"/>
    </row>
    <row r="26" spans="1:120">
      <c r="A26" s="157" t="s">
        <v>208</v>
      </c>
      <c r="B26" s="158">
        <f>615.77+0.3</f>
        <v>616.06999999999994</v>
      </c>
      <c r="C26" s="142">
        <f t="shared" si="0"/>
        <v>84.4395604395487</v>
      </c>
      <c r="D26" s="152">
        <v>65.916560439560456</v>
      </c>
      <c r="E26" s="156">
        <v>0.66911764705875143</v>
      </c>
      <c r="F26" s="141" t="s">
        <v>157</v>
      </c>
      <c r="G26" s="141" t="s">
        <v>158</v>
      </c>
      <c r="K26" s="139"/>
      <c r="L26" s="144"/>
    </row>
    <row r="27" spans="1:120">
      <c r="A27" s="162" t="s">
        <v>209</v>
      </c>
      <c r="B27" s="159">
        <f>615.77+0.41</f>
        <v>616.17999999999995</v>
      </c>
      <c r="C27" s="146">
        <f t="shared" si="0"/>
        <v>67.99999999999784</v>
      </c>
      <c r="D27" s="153">
        <v>65.933000000000007</v>
      </c>
      <c r="E27" s="156">
        <v>0.66911764705875143</v>
      </c>
      <c r="F27" s="160" t="s">
        <v>157</v>
      </c>
      <c r="G27" s="160" t="s">
        <v>158</v>
      </c>
      <c r="H27" s="136"/>
      <c r="I27" s="136"/>
      <c r="J27" s="142"/>
      <c r="K27" s="139"/>
      <c r="L27" s="144"/>
    </row>
    <row r="28" spans="1:120">
      <c r="A28" s="188" t="s">
        <v>159</v>
      </c>
      <c r="B28" s="179">
        <v>616.23</v>
      </c>
      <c r="C28" s="180">
        <f t="shared" si="0"/>
        <v>28.000000000005798</v>
      </c>
      <c r="D28" s="181">
        <v>65.972999999999999</v>
      </c>
      <c r="E28" s="182">
        <v>0.125</v>
      </c>
      <c r="F28" s="183" t="s">
        <v>160</v>
      </c>
      <c r="G28" s="183"/>
      <c r="H28" s="136"/>
      <c r="K28" s="139"/>
      <c r="L28" s="144"/>
    </row>
    <row r="29" spans="1:120">
      <c r="A29" s="189" t="s">
        <v>210</v>
      </c>
      <c r="B29" s="161">
        <f>616.24+0.03</f>
        <v>616.27</v>
      </c>
      <c r="C29" s="149">
        <f t="shared" si="0"/>
        <v>26.461538461546752</v>
      </c>
      <c r="D29" s="154">
        <v>65.974538461538458</v>
      </c>
      <c r="E29" s="151">
        <v>2.5999999999985799</v>
      </c>
      <c r="F29" s="150" t="s">
        <v>161</v>
      </c>
      <c r="G29" s="150" t="s">
        <v>171</v>
      </c>
      <c r="K29" s="139"/>
      <c r="L29" s="144"/>
    </row>
    <row r="30" spans="1:120">
      <c r="A30" s="157" t="s">
        <v>211</v>
      </c>
      <c r="B30" s="158">
        <f>616.24+0.09</f>
        <v>616.33000000000004</v>
      </c>
      <c r="C30" s="142">
        <f t="shared" si="0"/>
        <v>24.153846153851077</v>
      </c>
      <c r="D30" s="151">
        <v>65.976846153846154</v>
      </c>
      <c r="E30" s="151">
        <v>2.599999999998579</v>
      </c>
      <c r="F30" s="136" t="s">
        <v>161</v>
      </c>
      <c r="G30" s="136" t="s">
        <v>171</v>
      </c>
      <c r="K30" s="139"/>
      <c r="L30" s="144"/>
    </row>
    <row r="31" spans="1:120">
      <c r="A31" s="157" t="s">
        <v>212</v>
      </c>
      <c r="B31" s="158">
        <f>616.24+0.17</f>
        <v>616.41</v>
      </c>
      <c r="C31" s="142">
        <f t="shared" si="0"/>
        <v>21.076923076932985</v>
      </c>
      <c r="D31" s="151">
        <v>65.979923076923072</v>
      </c>
      <c r="E31" s="151">
        <v>2.599999999998579</v>
      </c>
      <c r="F31" s="136" t="s">
        <v>161</v>
      </c>
      <c r="G31" s="136" t="s">
        <v>171</v>
      </c>
      <c r="K31" s="139"/>
      <c r="L31" s="144"/>
    </row>
    <row r="32" spans="1:120">
      <c r="A32" s="162" t="s">
        <v>213</v>
      </c>
      <c r="B32" s="159">
        <f>616.24+0.25</f>
        <v>616.49</v>
      </c>
      <c r="C32" s="146">
        <f t="shared" si="0"/>
        <v>18.000000000000682</v>
      </c>
      <c r="D32" s="155">
        <v>65.983000000000004</v>
      </c>
      <c r="E32" s="155">
        <v>2.599999999998579</v>
      </c>
      <c r="F32" s="148" t="s">
        <v>161</v>
      </c>
      <c r="G32" s="148" t="s">
        <v>171</v>
      </c>
      <c r="K32" s="139"/>
      <c r="L32" s="144"/>
    </row>
    <row r="33" spans="1:12">
      <c r="A33" s="157" t="s">
        <v>214</v>
      </c>
      <c r="B33" s="158">
        <f>616.24+0.28</f>
        <v>616.52</v>
      </c>
      <c r="C33" s="142">
        <f t="shared" si="0"/>
        <v>13.500000000007617</v>
      </c>
      <c r="D33" s="151">
        <v>65.987499999999997</v>
      </c>
      <c r="E33" s="151">
        <v>0.66666666666698249</v>
      </c>
      <c r="F33" s="136" t="s">
        <v>162</v>
      </c>
      <c r="G33" s="136" t="s">
        <v>171</v>
      </c>
      <c r="K33" s="139"/>
      <c r="L33" s="144"/>
    </row>
    <row r="34" spans="1:12">
      <c r="A34" s="157" t="s">
        <v>215</v>
      </c>
      <c r="B34" s="158">
        <f>616.24+0.29</f>
        <v>616.53</v>
      </c>
      <c r="C34" s="142">
        <f t="shared" si="0"/>
        <v>12.000000000014666</v>
      </c>
      <c r="D34" s="151">
        <v>65.98899999999999</v>
      </c>
      <c r="E34" s="151">
        <v>0.66666666666698249</v>
      </c>
      <c r="F34" s="136" t="s">
        <v>162</v>
      </c>
      <c r="G34" s="136" t="s">
        <v>171</v>
      </c>
      <c r="K34" s="139"/>
      <c r="L34" s="144"/>
    </row>
    <row r="35" spans="1:12">
      <c r="A35" s="157" t="s">
        <v>216</v>
      </c>
      <c r="B35" s="158">
        <f>616.24+0.3</f>
        <v>616.54</v>
      </c>
      <c r="C35" s="142">
        <f t="shared" si="0"/>
        <v>10.500000000007503</v>
      </c>
      <c r="D35" s="151">
        <v>65.990499999999997</v>
      </c>
      <c r="E35" s="151">
        <v>0.66666666666698249</v>
      </c>
      <c r="F35" s="136" t="s">
        <v>162</v>
      </c>
      <c r="G35" s="136" t="s">
        <v>171</v>
      </c>
      <c r="K35" s="139"/>
      <c r="L35" s="144"/>
    </row>
    <row r="36" spans="1:12">
      <c r="A36" s="157" t="s">
        <v>217</v>
      </c>
      <c r="B36" s="158">
        <f>616.24+0.31</f>
        <v>616.54999999999995</v>
      </c>
      <c r="C36" s="142">
        <f t="shared" si="0"/>
        <v>9.0000000000145519</v>
      </c>
      <c r="D36" s="151">
        <v>65.99199999999999</v>
      </c>
      <c r="E36" s="151">
        <v>0.66666666666698249</v>
      </c>
      <c r="F36" s="136" t="s">
        <v>162</v>
      </c>
      <c r="G36" s="136" t="s">
        <v>171</v>
      </c>
      <c r="K36" s="139"/>
      <c r="L36" s="144"/>
    </row>
    <row r="37" spans="1:12">
      <c r="A37" s="157" t="s">
        <v>218</v>
      </c>
      <c r="B37" s="158">
        <f>616.24+0.32</f>
        <v>616.56000000000006</v>
      </c>
      <c r="C37" s="142">
        <f>(66.001-D37)*1000</f>
        <v>7.5000000000216005</v>
      </c>
      <c r="D37" s="151">
        <v>65.993499999999983</v>
      </c>
      <c r="E37" s="151">
        <v>0.66666666666698249</v>
      </c>
      <c r="F37" s="136" t="s">
        <v>162</v>
      </c>
      <c r="G37" s="136" t="s">
        <v>171</v>
      </c>
      <c r="K37" s="139"/>
      <c r="L37" s="144"/>
    </row>
    <row r="38" spans="1:12">
      <c r="A38" s="162" t="s">
        <v>219</v>
      </c>
      <c r="B38" s="159">
        <f>616.24+0.33</f>
        <v>616.57000000000005</v>
      </c>
      <c r="C38" s="146">
        <f>(66.001-D38)*1000</f>
        <v>6.0000000000002274</v>
      </c>
      <c r="D38" s="155">
        <v>65.995000000000005</v>
      </c>
      <c r="E38" s="155">
        <v>0.66666666666698249</v>
      </c>
      <c r="F38" s="148" t="s">
        <v>162</v>
      </c>
      <c r="G38" s="148" t="s">
        <v>171</v>
      </c>
      <c r="I38" s="136"/>
      <c r="K38" s="143"/>
      <c r="L38" s="144"/>
    </row>
    <row r="39" spans="1:12">
      <c r="F39" s="136" t="s">
        <v>163</v>
      </c>
      <c r="G39" s="136" t="s">
        <v>163</v>
      </c>
      <c r="I39" s="136"/>
    </row>
    <row r="40" spans="1:12">
      <c r="A40" s="136" t="s">
        <v>164</v>
      </c>
    </row>
    <row r="41" spans="1:12" ht="17" thickBot="1">
      <c r="A41" s="136" t="s">
        <v>165</v>
      </c>
      <c r="B41" s="136" t="s">
        <v>141</v>
      </c>
      <c r="C41" s="136" t="s">
        <v>166</v>
      </c>
    </row>
    <row r="42" spans="1:12">
      <c r="A42" s="163" t="s">
        <v>167</v>
      </c>
      <c r="B42" s="164">
        <v>611.42999999999995</v>
      </c>
      <c r="C42" s="165">
        <v>62.902000000000001</v>
      </c>
    </row>
    <row r="43" spans="1:12">
      <c r="A43" s="166" t="s">
        <v>168</v>
      </c>
      <c r="B43" s="167">
        <v>613.38</v>
      </c>
      <c r="C43" s="168">
        <v>63.887999999999998</v>
      </c>
    </row>
    <row r="44" spans="1:12">
      <c r="A44" s="169" t="s">
        <v>154</v>
      </c>
      <c r="B44" s="167">
        <v>614.47</v>
      </c>
      <c r="C44" s="168">
        <v>65.484999999999999</v>
      </c>
      <c r="D44" s="3" t="s">
        <v>277</v>
      </c>
    </row>
    <row r="45" spans="1:12">
      <c r="A45" s="169" t="s">
        <v>155</v>
      </c>
      <c r="B45" s="167">
        <v>615.27</v>
      </c>
      <c r="C45" s="170">
        <v>65.796999999999997</v>
      </c>
      <c r="D45" s="3" t="s">
        <v>278</v>
      </c>
    </row>
    <row r="46" spans="1:12">
      <c r="A46" s="169" t="s">
        <v>157</v>
      </c>
      <c r="B46" s="167">
        <v>616.17999999999995</v>
      </c>
      <c r="C46" s="170">
        <v>65.933000000000007</v>
      </c>
      <c r="D46" s="3" t="s">
        <v>279</v>
      </c>
      <c r="E46" s="135"/>
    </row>
    <row r="47" spans="1:12">
      <c r="A47" s="176" t="s">
        <v>169</v>
      </c>
      <c r="B47" s="177">
        <v>616.23</v>
      </c>
      <c r="C47" s="178">
        <v>65.972999999999999</v>
      </c>
      <c r="D47" s="3" t="s">
        <v>280</v>
      </c>
      <c r="E47" s="135"/>
    </row>
    <row r="48" spans="1:12">
      <c r="A48" s="171" t="s">
        <v>170</v>
      </c>
      <c r="B48" s="172">
        <v>616.49</v>
      </c>
      <c r="C48" s="170">
        <v>65.983000000000004</v>
      </c>
      <c r="D48" s="3" t="s">
        <v>281</v>
      </c>
      <c r="E48" s="135"/>
    </row>
    <row r="49" spans="1:5" ht="17" thickBot="1">
      <c r="A49" s="173" t="s">
        <v>162</v>
      </c>
      <c r="B49" s="174">
        <v>616.57000000000005</v>
      </c>
      <c r="C49" s="175">
        <v>65.995000000000005</v>
      </c>
      <c r="D49" s="3" t="s">
        <v>282</v>
      </c>
      <c r="E49" s="135"/>
    </row>
    <row r="50" spans="1:5">
      <c r="A50" s="136"/>
      <c r="C50" s="136"/>
      <c r="E50" s="135"/>
    </row>
    <row r="51" spans="1:5" s="2" customFormat="1">
      <c r="A51" s="2" t="s">
        <v>389</v>
      </c>
    </row>
    <row r="52" spans="1:5">
      <c r="A52" s="135" t="s">
        <v>386</v>
      </c>
      <c r="E52" s="135"/>
    </row>
    <row r="53" spans="1:5">
      <c r="E53" s="135"/>
    </row>
    <row r="54" spans="1:5">
      <c r="E54" s="135"/>
    </row>
    <row r="55" spans="1:5">
      <c r="E55" s="135"/>
    </row>
    <row r="61" spans="1:5">
      <c r="A61" s="215"/>
    </row>
  </sheetData>
  <phoneticPr fontId="2"/>
  <pageMargins left="0.7" right="0.7" top="0.75" bottom="0.75" header="0.3" footer="0.3"/>
  <pageSetup paperSize="9" scale="44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19129-9367-D74C-B656-3A9290E1E8B7}">
  <dimension ref="A1:AU1117"/>
  <sheetViews>
    <sheetView zoomScaleNormal="100" zoomScalePageLayoutView="84" workbookViewId="0">
      <selection activeCell="A2" sqref="A2"/>
    </sheetView>
  </sheetViews>
  <sheetFormatPr baseColWidth="10" defaultColWidth="6.7109375" defaultRowHeight="16"/>
  <cols>
    <col min="1" max="1" width="25.7109375" style="233" customWidth="1"/>
    <col min="2" max="2" width="8.140625" style="233" customWidth="1"/>
    <col min="3" max="3" width="6.7109375" style="233" customWidth="1"/>
    <col min="4" max="4" width="16.85546875" style="233" customWidth="1"/>
    <col min="5" max="5" width="8.7109375" style="233" customWidth="1"/>
    <col min="6" max="6" width="7.28515625" style="233" customWidth="1"/>
    <col min="7" max="7" width="2.140625" style="233" customWidth="1"/>
    <col min="8" max="8" width="7.28515625" style="233" bestFit="1" customWidth="1"/>
    <col min="9" max="9" width="9.140625" style="233" bestFit="1" customWidth="1"/>
    <col min="10" max="10" width="2.140625" style="233" customWidth="1"/>
    <col min="11" max="11" width="7.42578125" style="233" bestFit="1" customWidth="1"/>
    <col min="12" max="12" width="9.140625" style="233" bestFit="1" customWidth="1"/>
    <col min="13" max="13" width="2.140625" style="233" customWidth="1"/>
    <col min="14" max="14" width="7.140625" style="233" bestFit="1" customWidth="1"/>
    <col min="15" max="15" width="9.140625" style="233" bestFit="1" customWidth="1"/>
    <col min="16" max="16" width="2.140625" style="233" customWidth="1"/>
    <col min="17" max="17" width="7.42578125" style="233" bestFit="1" customWidth="1"/>
    <col min="18" max="18" width="9.140625" style="233" bestFit="1" customWidth="1"/>
    <col min="19" max="19" width="2.140625" style="233" customWidth="1"/>
    <col min="20" max="20" width="7.140625" style="233" bestFit="1" customWidth="1"/>
    <col min="21" max="21" width="8.140625" style="233" bestFit="1" customWidth="1"/>
    <col min="22" max="22" width="2.140625" style="233" customWidth="1"/>
    <col min="23" max="23" width="7.28515625" style="233" bestFit="1" customWidth="1"/>
    <col min="24" max="24" width="6.7109375" style="233" customWidth="1"/>
    <col min="25" max="25" width="2.140625" style="233" customWidth="1"/>
    <col min="26" max="26" width="6.85546875" style="233" bestFit="1" customWidth="1"/>
    <col min="27" max="27" width="7" style="233" customWidth="1"/>
    <col min="28" max="28" width="2.140625" style="233" customWidth="1"/>
    <col min="29" max="29" width="7.140625" style="233" bestFit="1" customWidth="1"/>
    <col min="30" max="30" width="8.7109375" style="233" customWidth="1"/>
    <col min="31" max="32" width="6.7109375" style="233"/>
    <col min="33" max="33" width="6.7109375" style="233" customWidth="1"/>
    <col min="34" max="34" width="7.28515625" style="233" bestFit="1" customWidth="1"/>
    <col min="35" max="35" width="9" style="233" bestFit="1" customWidth="1"/>
    <col min="36" max="36" width="7.42578125" style="233" bestFit="1" customWidth="1"/>
    <col min="37" max="38" width="7.28515625" style="233" bestFit="1" customWidth="1"/>
    <col min="39" max="41" width="6.7109375" style="233"/>
    <col min="42" max="43" width="7" style="233" bestFit="1" customWidth="1"/>
    <col min="44" max="44" width="8.85546875" style="233" bestFit="1" customWidth="1"/>
    <col min="45" max="45" width="7" style="233" bestFit="1" customWidth="1"/>
    <col min="46" max="46" width="6.7109375" style="233"/>
    <col min="47" max="47" width="7" style="233" bestFit="1" customWidth="1"/>
    <col min="48" max="48" width="6.7109375" style="233"/>
    <col min="49" max="49" width="7.42578125" style="233" bestFit="1" customWidth="1"/>
    <col min="50" max="16384" width="6.7109375" style="233"/>
  </cols>
  <sheetData>
    <row r="1" spans="1:47">
      <c r="A1" s="228" t="s">
        <v>403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110"/>
      <c r="AF1" s="228"/>
      <c r="AG1" s="228"/>
      <c r="AH1" s="228"/>
      <c r="AI1" s="228"/>
      <c r="AJ1" s="228"/>
      <c r="AK1" s="228"/>
      <c r="AL1" s="228"/>
      <c r="AM1" s="228"/>
      <c r="AN1" s="228"/>
      <c r="AO1" s="234"/>
      <c r="AP1" s="234"/>
      <c r="AQ1" s="234"/>
      <c r="AR1" s="234"/>
      <c r="AS1" s="234"/>
      <c r="AT1" s="234"/>
      <c r="AU1" s="234"/>
    </row>
    <row r="2" spans="1:47" s="258" customFormat="1" ht="35" customHeight="1">
      <c r="A2" s="78" t="s">
        <v>102</v>
      </c>
      <c r="B2" s="78" t="s">
        <v>141</v>
      </c>
      <c r="C2" s="78" t="s">
        <v>266</v>
      </c>
      <c r="D2" s="78" t="s">
        <v>142</v>
      </c>
      <c r="E2" s="81" t="s">
        <v>103</v>
      </c>
      <c r="F2" s="292" t="s">
        <v>0</v>
      </c>
      <c r="G2" s="292"/>
      <c r="H2" s="292"/>
      <c r="I2" s="292" t="s">
        <v>1</v>
      </c>
      <c r="J2" s="292"/>
      <c r="K2" s="292"/>
      <c r="L2" s="292" t="s">
        <v>2</v>
      </c>
      <c r="M2" s="292"/>
      <c r="N2" s="292"/>
      <c r="O2" s="292" t="s">
        <v>3</v>
      </c>
      <c r="P2" s="292"/>
      <c r="Q2" s="292"/>
      <c r="R2" s="292" t="s">
        <v>4</v>
      </c>
      <c r="S2" s="292"/>
      <c r="T2" s="292"/>
      <c r="U2" s="292" t="s">
        <v>5</v>
      </c>
      <c r="V2" s="292"/>
      <c r="W2" s="292"/>
      <c r="X2" s="292" t="s">
        <v>183</v>
      </c>
      <c r="Y2" s="292"/>
      <c r="Z2" s="292"/>
      <c r="AA2" s="292" t="s">
        <v>184</v>
      </c>
      <c r="AB2" s="292"/>
      <c r="AC2" s="292"/>
      <c r="AD2" s="227" t="s">
        <v>185</v>
      </c>
      <c r="AE2" s="256"/>
      <c r="AF2" s="256"/>
      <c r="AG2" s="256"/>
      <c r="AH2" s="76"/>
      <c r="AI2" s="76"/>
      <c r="AJ2" s="76"/>
      <c r="AK2" s="76"/>
      <c r="AL2" s="76"/>
      <c r="AM2" s="76"/>
      <c r="AN2" s="256"/>
      <c r="AO2" s="257"/>
      <c r="AP2" s="76"/>
      <c r="AQ2" s="76"/>
      <c r="AR2" s="76"/>
      <c r="AS2" s="76"/>
      <c r="AT2" s="76"/>
      <c r="AU2" s="76"/>
    </row>
    <row r="3" spans="1:47">
      <c r="A3" s="228" t="s">
        <v>112</v>
      </c>
      <c r="B3" s="221">
        <f>610.14+0.18</f>
        <v>610.31999999999994</v>
      </c>
      <c r="C3" s="219"/>
      <c r="D3" s="228" t="s">
        <v>273</v>
      </c>
      <c r="E3" s="237">
        <v>0.50543000000000005</v>
      </c>
      <c r="F3" s="109">
        <v>4.462283443608412E-2</v>
      </c>
      <c r="G3" s="238" t="s">
        <v>111</v>
      </c>
      <c r="H3" s="110">
        <v>1.9020218474475464E-4</v>
      </c>
      <c r="I3" s="109">
        <v>3.5567313249013438E-2</v>
      </c>
      <c r="J3" s="238" t="s">
        <v>111</v>
      </c>
      <c r="K3" s="110">
        <v>2.2230415046027119E-3</v>
      </c>
      <c r="L3" s="109">
        <v>1.0919400200266764E-2</v>
      </c>
      <c r="M3" s="238" t="s">
        <v>111</v>
      </c>
      <c r="N3" s="110">
        <v>2.6475922872998638E-3</v>
      </c>
      <c r="O3" s="109">
        <v>0.42835740680015699</v>
      </c>
      <c r="P3" s="238" t="s">
        <v>111</v>
      </c>
      <c r="Q3" s="110">
        <v>3.9685520023337119E-2</v>
      </c>
      <c r="R3" s="239">
        <v>1.1966292882962581</v>
      </c>
      <c r="S3" s="238" t="s">
        <v>111</v>
      </c>
      <c r="T3" s="110">
        <v>5.8653826387134608E-2</v>
      </c>
      <c r="U3" s="109">
        <v>3.1649954272097963E-2</v>
      </c>
      <c r="V3" s="238" t="s">
        <v>111</v>
      </c>
      <c r="W3" s="110">
        <v>1.7444446966225792E-3</v>
      </c>
      <c r="X3" s="240">
        <v>3.5644969288478205</v>
      </c>
      <c r="Y3" s="238" t="s">
        <v>111</v>
      </c>
      <c r="Z3" s="240">
        <v>0.19705033499442712</v>
      </c>
      <c r="AA3" s="110">
        <v>0.45802532051244904</v>
      </c>
      <c r="AB3" s="238" t="s">
        <v>111</v>
      </c>
      <c r="AC3" s="110">
        <v>2.0665546977554905E-3</v>
      </c>
      <c r="AD3" s="229"/>
      <c r="AE3" s="109"/>
      <c r="AF3" s="109"/>
      <c r="AG3" s="237"/>
      <c r="AH3" s="237"/>
      <c r="AI3" s="237"/>
      <c r="AJ3" s="237"/>
      <c r="AK3" s="237"/>
      <c r="AL3" s="237"/>
      <c r="AM3" s="243"/>
      <c r="AN3" s="240"/>
      <c r="AO3" s="234"/>
      <c r="AP3" s="259"/>
      <c r="AQ3" s="259"/>
      <c r="AR3" s="259"/>
      <c r="AS3" s="259"/>
      <c r="AT3" s="259"/>
      <c r="AU3" s="259"/>
    </row>
    <row r="4" spans="1:47">
      <c r="A4" s="228" t="s">
        <v>113</v>
      </c>
      <c r="B4" s="221">
        <f>610.14+0.43</f>
        <v>610.56999999999994</v>
      </c>
      <c r="C4" s="219"/>
      <c r="D4" s="228" t="s">
        <v>273</v>
      </c>
      <c r="E4" s="237">
        <v>0.50299000000000005</v>
      </c>
      <c r="F4" s="109">
        <v>5.2566936016501878E-2</v>
      </c>
      <c r="G4" s="238" t="s">
        <v>111</v>
      </c>
      <c r="H4" s="110">
        <v>2.4831882575204154E-4</v>
      </c>
      <c r="I4" s="109">
        <v>4.4173562077985826E-2</v>
      </c>
      <c r="J4" s="238" t="s">
        <v>111</v>
      </c>
      <c r="K4" s="110">
        <v>4.6711400268426313E-3</v>
      </c>
      <c r="L4" s="109">
        <v>1.1495230128592842E-2</v>
      </c>
      <c r="M4" s="238" t="s">
        <v>111</v>
      </c>
      <c r="N4" s="110">
        <v>4.599245275458865E-3</v>
      </c>
      <c r="O4" s="109">
        <v>0.31701179006421959</v>
      </c>
      <c r="P4" s="238" t="s">
        <v>111</v>
      </c>
      <c r="Q4" s="110">
        <v>2.6375849443722881E-2</v>
      </c>
      <c r="R4" s="109">
        <v>0.7752993389829177</v>
      </c>
      <c r="S4" s="238" t="s">
        <v>111</v>
      </c>
      <c r="T4" s="110">
        <v>4.0757045760727507E-2</v>
      </c>
      <c r="U4" s="109">
        <v>0.11005509341713013</v>
      </c>
      <c r="V4" s="238" t="s">
        <v>111</v>
      </c>
      <c r="W4" s="110">
        <v>3.2700102469687595E-3</v>
      </c>
      <c r="X4" s="241">
        <v>10.541136443873652</v>
      </c>
      <c r="Y4" s="238" t="s">
        <v>111</v>
      </c>
      <c r="Z4" s="241">
        <v>0.31713698426723502</v>
      </c>
      <c r="AA4" s="110">
        <v>0.47290872271510742</v>
      </c>
      <c r="AB4" s="238" t="s">
        <v>111</v>
      </c>
      <c r="AC4" s="110">
        <v>2.9830564418483196E-3</v>
      </c>
      <c r="AD4" s="229"/>
      <c r="AE4" s="109"/>
      <c r="AF4" s="109"/>
      <c r="AG4" s="237"/>
      <c r="AH4" s="237"/>
      <c r="AI4" s="237"/>
      <c r="AJ4" s="237"/>
      <c r="AK4" s="237"/>
      <c r="AL4" s="237"/>
      <c r="AM4" s="243"/>
      <c r="AN4" s="240"/>
      <c r="AO4" s="234"/>
      <c r="AP4" s="259"/>
      <c r="AQ4" s="259"/>
      <c r="AR4" s="259"/>
      <c r="AS4" s="259"/>
      <c r="AT4" s="259"/>
      <c r="AU4" s="259"/>
    </row>
    <row r="5" spans="1:47">
      <c r="A5" s="228" t="s">
        <v>114</v>
      </c>
      <c r="B5" s="221">
        <f>610.14+0.7</f>
        <v>610.84</v>
      </c>
      <c r="C5" s="219"/>
      <c r="D5" s="228" t="s">
        <v>273</v>
      </c>
      <c r="E5" s="237">
        <v>0.49989</v>
      </c>
      <c r="F5" s="109">
        <v>8.3870393447774944E-2</v>
      </c>
      <c r="G5" s="238" t="s">
        <v>111</v>
      </c>
      <c r="H5" s="110">
        <v>2.5371313087779827E-4</v>
      </c>
      <c r="I5" s="109">
        <v>5.4050638937119047E-2</v>
      </c>
      <c r="J5" s="238" t="s">
        <v>111</v>
      </c>
      <c r="K5" s="110">
        <v>4.5853175870632203E-3</v>
      </c>
      <c r="L5" s="109">
        <v>2.6092387239757913E-2</v>
      </c>
      <c r="M5" s="238" t="s">
        <v>111</v>
      </c>
      <c r="N5" s="110">
        <v>1.1391712939837689E-2</v>
      </c>
      <c r="O5" s="239">
        <v>1.0974570701150934</v>
      </c>
      <c r="P5" s="238" t="s">
        <v>111</v>
      </c>
      <c r="Q5" s="110">
        <v>8.6249795583213648E-2</v>
      </c>
      <c r="R5" s="239">
        <v>2.6305463030503566</v>
      </c>
      <c r="S5" s="238" t="s">
        <v>111</v>
      </c>
      <c r="T5" s="110">
        <v>0.14991863155603918</v>
      </c>
      <c r="U5" s="109">
        <v>9.232067168094131E-2</v>
      </c>
      <c r="V5" s="238" t="s">
        <v>111</v>
      </c>
      <c r="W5" s="110">
        <v>2.9457162956964397E-3</v>
      </c>
      <c r="X5" s="240">
        <v>5.5326563104675595</v>
      </c>
      <c r="Y5" s="238" t="s">
        <v>111</v>
      </c>
      <c r="Z5" s="240">
        <v>0.17732450282302706</v>
      </c>
      <c r="AA5" s="110">
        <v>0.45915043461303034</v>
      </c>
      <c r="AB5" s="238" t="s">
        <v>111</v>
      </c>
      <c r="AC5" s="110">
        <v>1.8005741731176306E-3</v>
      </c>
      <c r="AD5" s="229"/>
      <c r="AE5" s="109"/>
      <c r="AF5" s="109"/>
      <c r="AG5" s="237"/>
      <c r="AH5" s="237"/>
      <c r="AI5" s="237"/>
      <c r="AJ5" s="237"/>
      <c r="AK5" s="237"/>
      <c r="AL5" s="237"/>
      <c r="AM5" s="243"/>
      <c r="AN5" s="240"/>
      <c r="AO5" s="234"/>
      <c r="AP5" s="259"/>
      <c r="AQ5" s="259"/>
      <c r="AR5" s="259"/>
      <c r="AS5" s="259"/>
      <c r="AT5" s="259"/>
      <c r="AU5" s="259"/>
    </row>
    <row r="6" spans="1:47">
      <c r="A6" s="228" t="s">
        <v>115</v>
      </c>
      <c r="B6" s="221">
        <f>610.14+0.96</f>
        <v>611.1</v>
      </c>
      <c r="C6" s="219"/>
      <c r="D6" s="228" t="s">
        <v>273</v>
      </c>
      <c r="E6" s="237">
        <v>0.50919000000000003</v>
      </c>
      <c r="F6" s="109">
        <v>8.5246788880682822E-2</v>
      </c>
      <c r="G6" s="238" t="s">
        <v>111</v>
      </c>
      <c r="H6" s="110">
        <v>2.6697742385363427E-4</v>
      </c>
      <c r="I6" s="109">
        <v>4.4059442783731299E-2</v>
      </c>
      <c r="J6" s="238" t="s">
        <v>111</v>
      </c>
      <c r="K6" s="110">
        <v>4.0574313910589042E-3</v>
      </c>
      <c r="L6" s="109">
        <v>2.6192965890721096E-2</v>
      </c>
      <c r="M6" s="238" t="s">
        <v>111</v>
      </c>
      <c r="N6" s="110">
        <v>1.1308563267835451E-2</v>
      </c>
      <c r="O6" s="109">
        <v>0.84358773561119083</v>
      </c>
      <c r="P6" s="238" t="s">
        <v>111</v>
      </c>
      <c r="Q6" s="110">
        <v>5.1141494334520574E-2</v>
      </c>
      <c r="R6" s="239">
        <v>2.4126306175268013</v>
      </c>
      <c r="S6" s="238" t="s">
        <v>111</v>
      </c>
      <c r="T6" s="110">
        <v>0.10679322306783889</v>
      </c>
      <c r="U6" s="109">
        <v>7.6255117981491871E-2</v>
      </c>
      <c r="V6" s="238" t="s">
        <v>111</v>
      </c>
      <c r="W6" s="110">
        <v>2.5689501558845648E-3</v>
      </c>
      <c r="X6" s="240">
        <v>4.4985113269843771</v>
      </c>
      <c r="Y6" s="238" t="s">
        <v>111</v>
      </c>
      <c r="Z6" s="240">
        <v>0.15220329210976907</v>
      </c>
      <c r="AA6" s="110">
        <v>0.4634683671924229</v>
      </c>
      <c r="AB6" s="238" t="s">
        <v>111</v>
      </c>
      <c r="AC6" s="110">
        <v>1.5112529100512195E-3</v>
      </c>
      <c r="AD6" s="229"/>
      <c r="AE6" s="109"/>
      <c r="AF6" s="109"/>
      <c r="AG6" s="237"/>
      <c r="AH6" s="237"/>
      <c r="AI6" s="237"/>
      <c r="AJ6" s="237"/>
      <c r="AK6" s="237"/>
      <c r="AL6" s="237"/>
      <c r="AM6" s="243"/>
      <c r="AN6" s="240"/>
      <c r="AO6" s="234"/>
      <c r="AP6" s="259"/>
      <c r="AQ6" s="259"/>
      <c r="AR6" s="259"/>
      <c r="AS6" s="259"/>
      <c r="AT6" s="259"/>
      <c r="AU6" s="259"/>
    </row>
    <row r="7" spans="1:47">
      <c r="A7" s="228" t="s">
        <v>116</v>
      </c>
      <c r="B7" s="221">
        <f>610.14+1.23</f>
        <v>611.37</v>
      </c>
      <c r="C7" s="219"/>
      <c r="D7" s="228" t="s">
        <v>273</v>
      </c>
      <c r="E7" s="237">
        <v>0.50049999999999994</v>
      </c>
      <c r="F7" s="109">
        <v>6.5749667218821833E-2</v>
      </c>
      <c r="G7" s="238" t="s">
        <v>111</v>
      </c>
      <c r="H7" s="110">
        <v>1.9721540284289255E-4</v>
      </c>
      <c r="I7" s="109">
        <v>4.8641803601467901E-2</v>
      </c>
      <c r="J7" s="238" t="s">
        <v>111</v>
      </c>
      <c r="K7" s="110">
        <v>4.2709173556692613E-3</v>
      </c>
      <c r="L7" s="109">
        <v>2.1471954768437752E-2</v>
      </c>
      <c r="M7" s="238" t="s">
        <v>111</v>
      </c>
      <c r="N7" s="110">
        <v>7.9565979543846574E-3</v>
      </c>
      <c r="O7" s="109">
        <v>0.55209165130023952</v>
      </c>
      <c r="P7" s="238" t="s">
        <v>111</v>
      </c>
      <c r="Q7" s="110">
        <v>4.1216310335475126E-2</v>
      </c>
      <c r="R7" s="239">
        <v>1.7432878545692003</v>
      </c>
      <c r="S7" s="238" t="s">
        <v>111</v>
      </c>
      <c r="T7" s="110">
        <v>9.4674776743603029E-2</v>
      </c>
      <c r="U7" s="109">
        <v>9.5689749799433316E-2</v>
      </c>
      <c r="V7" s="238" t="s">
        <v>111</v>
      </c>
      <c r="W7" s="110">
        <v>3.2563697811878235E-3</v>
      </c>
      <c r="X7" s="240">
        <v>7.3102361741877475</v>
      </c>
      <c r="Y7" s="238" t="s">
        <v>111</v>
      </c>
      <c r="Z7" s="240">
        <v>0.2497354383863416</v>
      </c>
      <c r="AA7" s="110">
        <v>0.45392505696613722</v>
      </c>
      <c r="AB7" s="238" t="s">
        <v>111</v>
      </c>
      <c r="AC7" s="110">
        <v>1.4737121831226441E-3</v>
      </c>
      <c r="AD7" s="229"/>
      <c r="AE7" s="109"/>
      <c r="AF7" s="109"/>
      <c r="AG7" s="237"/>
      <c r="AH7" s="237"/>
      <c r="AI7" s="237"/>
      <c r="AJ7" s="237"/>
      <c r="AK7" s="237"/>
      <c r="AL7" s="237"/>
      <c r="AM7" s="243"/>
      <c r="AN7" s="240"/>
      <c r="AO7" s="234"/>
      <c r="AP7" s="259"/>
      <c r="AQ7" s="259"/>
      <c r="AR7" s="259"/>
      <c r="AS7" s="259"/>
      <c r="AT7" s="259"/>
      <c r="AU7" s="259"/>
    </row>
    <row r="8" spans="1:47">
      <c r="A8" s="228" t="s">
        <v>117</v>
      </c>
      <c r="B8" s="221">
        <f>611.6+0.03</f>
        <v>611.63</v>
      </c>
      <c r="C8" s="219">
        <v>63.003128205128228</v>
      </c>
      <c r="D8" s="228" t="s">
        <v>273</v>
      </c>
      <c r="E8" s="237">
        <v>0.50909000000000004</v>
      </c>
      <c r="F8" s="109">
        <v>5.5658003741668176E-2</v>
      </c>
      <c r="G8" s="238" t="s">
        <v>111</v>
      </c>
      <c r="H8" s="110">
        <v>2.0928086708238167E-4</v>
      </c>
      <c r="I8" s="109">
        <v>3.2333530219386335E-2</v>
      </c>
      <c r="J8" s="238" t="s">
        <v>111</v>
      </c>
      <c r="K8" s="110">
        <v>3.1915225511802937E-3</v>
      </c>
      <c r="L8" s="109">
        <v>2.2549926530100836E-2</v>
      </c>
      <c r="M8" s="238" t="s">
        <v>111</v>
      </c>
      <c r="N8" s="110">
        <v>1.2422495963277137E-2</v>
      </c>
      <c r="O8" s="109">
        <v>0.38631360714766505</v>
      </c>
      <c r="P8" s="238" t="s">
        <v>111</v>
      </c>
      <c r="Q8" s="110">
        <v>3.4846194754946158E-2</v>
      </c>
      <c r="R8" s="239">
        <v>1.3918284090246507</v>
      </c>
      <c r="S8" s="238" t="s">
        <v>111</v>
      </c>
      <c r="T8" s="110">
        <v>6.0176805217375361E-2</v>
      </c>
      <c r="U8" s="109">
        <v>7.2077067558778379E-2</v>
      </c>
      <c r="V8" s="238" t="s">
        <v>111</v>
      </c>
      <c r="W8" s="110">
        <v>2.6969007087332335E-3</v>
      </c>
      <c r="X8" s="240">
        <v>6.5111656008256116</v>
      </c>
      <c r="Y8" s="238" t="s">
        <v>111</v>
      </c>
      <c r="Z8" s="240">
        <v>0.2448547359866903</v>
      </c>
      <c r="AA8" s="110">
        <v>0.46183634265211099</v>
      </c>
      <c r="AB8" s="238" t="s">
        <v>111</v>
      </c>
      <c r="AC8" s="110">
        <v>2.1805991425124793E-3</v>
      </c>
      <c r="AD8" s="229">
        <f>AA8-X8*(EXP(1.666*10^-11*C8*10^6)-1)</f>
        <v>0.4549984261049449</v>
      </c>
      <c r="AE8" s="109"/>
      <c r="AF8" s="109"/>
      <c r="AG8" s="237"/>
      <c r="AH8" s="237"/>
      <c r="AI8" s="237"/>
      <c r="AJ8" s="237"/>
      <c r="AK8" s="237"/>
      <c r="AL8" s="237"/>
      <c r="AM8" s="243"/>
      <c r="AN8" s="240"/>
      <c r="AO8" s="234"/>
      <c r="AP8" s="259"/>
      <c r="AQ8" s="259"/>
      <c r="AR8" s="259"/>
      <c r="AS8" s="259"/>
      <c r="AT8" s="259"/>
      <c r="AU8" s="259"/>
    </row>
    <row r="9" spans="1:47">
      <c r="A9" s="228" t="s">
        <v>118</v>
      </c>
      <c r="B9" s="221">
        <f>611.6+0.3</f>
        <v>611.9</v>
      </c>
      <c r="C9" s="219">
        <v>63.13965128205129</v>
      </c>
      <c r="D9" s="228" t="s">
        <v>273</v>
      </c>
      <c r="E9" s="237">
        <v>0.50944</v>
      </c>
      <c r="F9" s="109">
        <v>5.5096392668387388E-2</v>
      </c>
      <c r="G9" s="238" t="s">
        <v>111</v>
      </c>
      <c r="H9" s="110">
        <v>1.7533680582601578E-4</v>
      </c>
      <c r="I9" s="109">
        <v>1.3916186487571954E-2</v>
      </c>
      <c r="J9" s="238" t="s">
        <v>111</v>
      </c>
      <c r="K9" s="110">
        <v>2.0592230396926118E-3</v>
      </c>
      <c r="L9" s="109">
        <v>2.3573131617897865E-2</v>
      </c>
      <c r="M9" s="238" t="s">
        <v>111</v>
      </c>
      <c r="N9" s="110">
        <v>5.9770346256511619E-3</v>
      </c>
      <c r="O9" s="109">
        <v>0.36109185053149839</v>
      </c>
      <c r="P9" s="238" t="s">
        <v>111</v>
      </c>
      <c r="Q9" s="110">
        <v>2.6013331285837792E-2</v>
      </c>
      <c r="R9" s="239">
        <v>1.418076733714853</v>
      </c>
      <c r="S9" s="238" t="s">
        <v>111</v>
      </c>
      <c r="T9" s="110">
        <v>7.6670431557592497E-2</v>
      </c>
      <c r="U9" s="109">
        <v>4.2299425773742613E-2</v>
      </c>
      <c r="V9" s="238" t="s">
        <v>111</v>
      </c>
      <c r="W9" s="110">
        <v>2.2606775130620655E-3</v>
      </c>
      <c r="X9" s="240">
        <v>8.041695641998281</v>
      </c>
      <c r="Y9" s="238" t="s">
        <v>111</v>
      </c>
      <c r="Z9" s="240">
        <v>0.20783249615180457</v>
      </c>
      <c r="AA9" s="110">
        <v>0.45748394765402545</v>
      </c>
      <c r="AB9" s="238" t="s">
        <v>111</v>
      </c>
      <c r="AC9" s="110">
        <v>1.1673783151512629E-3</v>
      </c>
      <c r="AD9" s="229">
        <f t="shared" ref="AD9:AD10" si="0">AA9-X9*(EXP(1.666*10^-11*C9*10^6)-1)</f>
        <v>0.4490203843519549</v>
      </c>
      <c r="AE9" s="109"/>
      <c r="AF9" s="109"/>
      <c r="AG9" s="237"/>
      <c r="AH9" s="237"/>
      <c r="AI9" s="237"/>
      <c r="AJ9" s="237"/>
      <c r="AK9" s="237"/>
      <c r="AL9" s="237"/>
      <c r="AM9" s="243"/>
      <c r="AN9" s="240"/>
      <c r="AO9" s="234"/>
      <c r="AP9" s="259"/>
      <c r="AQ9" s="259"/>
      <c r="AR9" s="259"/>
      <c r="AS9" s="259"/>
      <c r="AT9" s="259"/>
      <c r="AU9" s="259"/>
    </row>
    <row r="10" spans="1:47">
      <c r="A10" s="228" t="s">
        <v>119</v>
      </c>
      <c r="B10" s="221">
        <f>611.6+0.59</f>
        <v>612.19000000000005</v>
      </c>
      <c r="C10" s="219">
        <v>63.286287179487225</v>
      </c>
      <c r="D10" s="228" t="s">
        <v>273</v>
      </c>
      <c r="E10" s="237">
        <v>0.50385999999999997</v>
      </c>
      <c r="F10" s="109">
        <v>4.4546185710830563E-2</v>
      </c>
      <c r="G10" s="238" t="s">
        <v>111</v>
      </c>
      <c r="H10" s="110">
        <v>1.9686421327294403E-4</v>
      </c>
      <c r="I10" s="109">
        <v>3.4250648827782192E-2</v>
      </c>
      <c r="J10" s="238" t="s">
        <v>111</v>
      </c>
      <c r="K10" s="110">
        <v>3.696396485378956E-3</v>
      </c>
      <c r="L10" s="109">
        <v>1.9749793864344931E-2</v>
      </c>
      <c r="M10" s="238" t="s">
        <v>111</v>
      </c>
      <c r="N10" s="110">
        <v>9.2834471530203778E-3</v>
      </c>
      <c r="O10" s="109">
        <v>0.21472205208446155</v>
      </c>
      <c r="P10" s="238" t="s">
        <v>111</v>
      </c>
      <c r="Q10" s="110">
        <v>2.2554166306043875E-2</v>
      </c>
      <c r="R10" s="109">
        <v>0.67476155922067904</v>
      </c>
      <c r="S10" s="238" t="s">
        <v>111</v>
      </c>
      <c r="T10" s="110">
        <v>3.4787640195944651E-2</v>
      </c>
      <c r="U10" s="109">
        <v>5.7076375356403343E-2</v>
      </c>
      <c r="V10" s="238" t="s">
        <v>111</v>
      </c>
      <c r="W10" s="110">
        <v>2.089335114781109E-3</v>
      </c>
      <c r="X10" s="240">
        <v>6.434185929807156</v>
      </c>
      <c r="Y10" s="238" t="s">
        <v>111</v>
      </c>
      <c r="Z10" s="240">
        <v>0.23723972208829958</v>
      </c>
      <c r="AA10" s="110">
        <v>0.45186794913669376</v>
      </c>
      <c r="AB10" s="238" t="s">
        <v>111</v>
      </c>
      <c r="AC10" s="110">
        <v>2.1684690107413862E-3</v>
      </c>
      <c r="AD10" s="229">
        <f t="shared" si="0"/>
        <v>0.44508049058480925</v>
      </c>
      <c r="AE10" s="109"/>
      <c r="AF10" s="109"/>
      <c r="AG10" s="237"/>
      <c r="AH10" s="237"/>
      <c r="AI10" s="237"/>
      <c r="AJ10" s="237"/>
      <c r="AK10" s="237"/>
      <c r="AL10" s="237"/>
      <c r="AM10" s="243"/>
      <c r="AN10" s="240"/>
      <c r="AO10" s="234"/>
      <c r="AP10" s="259"/>
      <c r="AQ10" s="259"/>
      <c r="AR10" s="259"/>
      <c r="AS10" s="259"/>
      <c r="AT10" s="259"/>
      <c r="AU10" s="259"/>
    </row>
    <row r="11" spans="1:47">
      <c r="A11" s="228" t="s">
        <v>120</v>
      </c>
      <c r="B11" s="221">
        <f>611.6+0.88</f>
        <v>612.48</v>
      </c>
      <c r="C11" s="219">
        <v>63.432923076923096</v>
      </c>
      <c r="D11" s="228" t="s">
        <v>273</v>
      </c>
      <c r="E11" s="237">
        <v>0.50714999999999999</v>
      </c>
      <c r="F11" s="109">
        <v>4.0012646421835982E-2</v>
      </c>
      <c r="G11" s="238" t="s">
        <v>111</v>
      </c>
      <c r="H11" s="110">
        <v>1.8712763853592556E-4</v>
      </c>
      <c r="I11" s="109">
        <v>3.2780917124072294E-2</v>
      </c>
      <c r="J11" s="238" t="s">
        <v>111</v>
      </c>
      <c r="K11" s="110">
        <v>2.8930228906438992E-3</v>
      </c>
      <c r="L11" s="109">
        <v>1.5169631817506211E-2</v>
      </c>
      <c r="M11" s="238" t="s">
        <v>111</v>
      </c>
      <c r="N11" s="110">
        <v>3.0919096150919577E-3</v>
      </c>
      <c r="O11" s="109">
        <v>0.28375454654733401</v>
      </c>
      <c r="P11" s="238" t="s">
        <v>111</v>
      </c>
      <c r="Q11" s="110">
        <v>2.229707417122026E-2</v>
      </c>
      <c r="R11" s="109">
        <v>0.72958702703140854</v>
      </c>
      <c r="S11" s="238" t="s">
        <v>111</v>
      </c>
      <c r="T11" s="110">
        <v>3.5871723595789495E-2</v>
      </c>
      <c r="U11" s="109">
        <v>6.2240262419665009E-2</v>
      </c>
      <c r="V11" s="238" t="s">
        <v>111</v>
      </c>
      <c r="W11" s="110">
        <v>2.3545948196753443E-3</v>
      </c>
      <c r="X11" s="240">
        <v>7.804903663489978</v>
      </c>
      <c r="Y11" s="238" t="s">
        <v>111</v>
      </c>
      <c r="Z11" s="240">
        <v>0.29751286252362891</v>
      </c>
      <c r="AA11" s="110">
        <v>0.44535190575402289</v>
      </c>
      <c r="AB11" s="238" t="s">
        <v>111</v>
      </c>
      <c r="AC11" s="110">
        <v>1.944005502007351E-3</v>
      </c>
      <c r="AD11" s="229">
        <f t="shared" ref="AD11:AD21" si="1">AA11-X11*(EXP(1.666*10^-11*C11*10^6)-1)</f>
        <v>0.43709938227682082</v>
      </c>
      <c r="AE11" s="109"/>
      <c r="AF11" s="109"/>
      <c r="AG11" s="237"/>
      <c r="AH11" s="237"/>
      <c r="AI11" s="237"/>
      <c r="AJ11" s="237"/>
      <c r="AK11" s="237"/>
      <c r="AL11" s="237"/>
      <c r="AM11" s="243"/>
      <c r="AN11" s="240"/>
      <c r="AO11" s="234"/>
      <c r="AP11" s="259"/>
      <c r="AQ11" s="259"/>
      <c r="AR11" s="259"/>
      <c r="AS11" s="259"/>
      <c r="AT11" s="259"/>
      <c r="AU11" s="259"/>
    </row>
    <row r="12" spans="1:47">
      <c r="A12" s="228" t="s">
        <v>121</v>
      </c>
      <c r="B12" s="221">
        <f>611.6+1.21</f>
        <v>612.81000000000006</v>
      </c>
      <c r="C12" s="219">
        <v>63.599784615384593</v>
      </c>
      <c r="D12" s="228" t="s">
        <v>273</v>
      </c>
      <c r="E12" s="237">
        <v>0.50704000000000005</v>
      </c>
      <c r="F12" s="109">
        <v>4.305975661967499E-2</v>
      </c>
      <c r="G12" s="238" t="s">
        <v>111</v>
      </c>
      <c r="H12" s="110">
        <v>1.9452610916907879E-4</v>
      </c>
      <c r="I12" s="109">
        <v>3.0153142139929742E-2</v>
      </c>
      <c r="J12" s="238" t="s">
        <v>111</v>
      </c>
      <c r="K12" s="110">
        <v>2.9371460939114917E-3</v>
      </c>
      <c r="L12" s="109">
        <v>1.486358966089466E-2</v>
      </c>
      <c r="M12" s="238" t="s">
        <v>111</v>
      </c>
      <c r="N12" s="110">
        <v>2.5794241887670921E-3</v>
      </c>
      <c r="O12" s="109">
        <v>0.27188925299160477</v>
      </c>
      <c r="P12" s="238" t="s">
        <v>111</v>
      </c>
      <c r="Q12" s="110">
        <v>2.1104501874829231E-2</v>
      </c>
      <c r="R12" s="109">
        <v>0.64392602176159797</v>
      </c>
      <c r="S12" s="238" t="s">
        <v>111</v>
      </c>
      <c r="T12" s="110">
        <v>3.4891502341014721E-2</v>
      </c>
      <c r="U12" s="109">
        <v>6.845468425603897E-2</v>
      </c>
      <c r="V12" s="238" t="s">
        <v>111</v>
      </c>
      <c r="W12" s="110">
        <v>2.4933755335942954E-3</v>
      </c>
      <c r="X12" s="240">
        <v>7.972951306407456</v>
      </c>
      <c r="Y12" s="238" t="s">
        <v>111</v>
      </c>
      <c r="Z12" s="240">
        <v>0.29262983147010635</v>
      </c>
      <c r="AA12" s="110">
        <v>0.44156801155624448</v>
      </c>
      <c r="AB12" s="238" t="s">
        <v>111</v>
      </c>
      <c r="AC12" s="110">
        <v>1.90559322668854E-3</v>
      </c>
      <c r="AD12" s="229">
        <f t="shared" si="1"/>
        <v>0.43311561513996871</v>
      </c>
      <c r="AE12" s="109"/>
      <c r="AF12" s="109"/>
      <c r="AG12" s="237"/>
      <c r="AH12" s="237"/>
      <c r="AI12" s="237"/>
      <c r="AJ12" s="237"/>
      <c r="AK12" s="237"/>
      <c r="AL12" s="237"/>
      <c r="AM12" s="243"/>
      <c r="AN12" s="240"/>
      <c r="AO12" s="234"/>
      <c r="AP12" s="259"/>
      <c r="AQ12" s="259"/>
      <c r="AR12" s="259"/>
      <c r="AS12" s="259"/>
      <c r="AT12" s="259"/>
      <c r="AU12" s="259"/>
    </row>
    <row r="13" spans="1:47">
      <c r="A13" s="228" t="s">
        <v>122</v>
      </c>
      <c r="B13" s="221">
        <f>611.6+1.45</f>
        <v>613.05000000000007</v>
      </c>
      <c r="C13" s="219">
        <v>63.721138461538445</v>
      </c>
      <c r="D13" s="228" t="s">
        <v>273</v>
      </c>
      <c r="E13" s="237">
        <v>0.50607999999999997</v>
      </c>
      <c r="F13" s="109">
        <v>4.8872607102285748E-2</v>
      </c>
      <c r="G13" s="238" t="s">
        <v>111</v>
      </c>
      <c r="H13" s="110">
        <v>1.9230203342752211E-4</v>
      </c>
      <c r="I13" s="109">
        <v>2.4336853513460554E-2</v>
      </c>
      <c r="J13" s="238" t="s">
        <v>111</v>
      </c>
      <c r="K13" s="110">
        <v>2.0030704718576806E-3</v>
      </c>
      <c r="L13" s="109">
        <v>2.5962514705758093E-2</v>
      </c>
      <c r="M13" s="238" t="s">
        <v>111</v>
      </c>
      <c r="N13" s="110">
        <v>3.2275202692210589E-3</v>
      </c>
      <c r="O13" s="109">
        <v>0.47992539115603111</v>
      </c>
      <c r="P13" s="238" t="s">
        <v>111</v>
      </c>
      <c r="Q13" s="110">
        <v>3.1712396582565507E-2</v>
      </c>
      <c r="R13" s="109">
        <v>0.96088177006296738</v>
      </c>
      <c r="S13" s="238" t="s">
        <v>111</v>
      </c>
      <c r="T13" s="110">
        <v>3.4969914654373241E-2</v>
      </c>
      <c r="U13" s="109">
        <v>0.16329570021502193</v>
      </c>
      <c r="V13" s="238" t="s">
        <v>111</v>
      </c>
      <c r="W13" s="110">
        <v>4.8037939157843821E-3</v>
      </c>
      <c r="X13" s="241">
        <v>16.765516193270955</v>
      </c>
      <c r="Y13" s="238" t="s">
        <v>111</v>
      </c>
      <c r="Z13" s="241">
        <v>0.49759617659793048</v>
      </c>
      <c r="AA13" s="110">
        <v>0.44561438362053973</v>
      </c>
      <c r="AB13" s="238" t="s">
        <v>111</v>
      </c>
      <c r="AC13" s="110">
        <v>1.7948317713276096E-3</v>
      </c>
      <c r="AD13" s="229">
        <f t="shared" si="1"/>
        <v>0.42780675886400998</v>
      </c>
      <c r="AE13" s="109"/>
      <c r="AF13" s="109"/>
      <c r="AG13" s="237"/>
      <c r="AH13" s="237"/>
      <c r="AI13" s="237"/>
      <c r="AJ13" s="237"/>
      <c r="AK13" s="237"/>
      <c r="AL13" s="237"/>
      <c r="AM13" s="243"/>
      <c r="AN13" s="240"/>
      <c r="AO13" s="234"/>
      <c r="AP13" s="259"/>
      <c r="AQ13" s="259"/>
      <c r="AR13" s="259"/>
      <c r="AS13" s="259"/>
      <c r="AT13" s="259"/>
      <c r="AU13" s="259"/>
    </row>
    <row r="14" spans="1:47">
      <c r="A14" s="228" t="s">
        <v>123</v>
      </c>
      <c r="B14" s="221">
        <f>613.19+0.03</f>
        <v>613.22</v>
      </c>
      <c r="C14" s="219">
        <v>63.807097435897454</v>
      </c>
      <c r="D14" s="228" t="s">
        <v>273</v>
      </c>
      <c r="E14" s="237">
        <v>0.50670000000000004</v>
      </c>
      <c r="F14" s="109">
        <v>5.5765974588125163E-2</v>
      </c>
      <c r="G14" s="238" t="s">
        <v>111</v>
      </c>
      <c r="H14" s="110">
        <v>2.0302895790815743E-4</v>
      </c>
      <c r="I14" s="109">
        <v>4.0490712973152355E-2</v>
      </c>
      <c r="J14" s="238" t="s">
        <v>111</v>
      </c>
      <c r="K14" s="110">
        <v>5.2621852312976563E-3</v>
      </c>
      <c r="L14" s="109">
        <v>2.4132979917291724E-2</v>
      </c>
      <c r="M14" s="238" t="s">
        <v>111</v>
      </c>
      <c r="N14" s="110">
        <v>1.085827733787958E-2</v>
      </c>
      <c r="O14" s="109">
        <v>0.43429598780527867</v>
      </c>
      <c r="P14" s="238" t="s">
        <v>111</v>
      </c>
      <c r="Q14" s="110">
        <v>3.3130603143574036E-2</v>
      </c>
      <c r="R14" s="239">
        <v>1.2505374940664453</v>
      </c>
      <c r="S14" s="238" t="s">
        <v>111</v>
      </c>
      <c r="T14" s="110">
        <v>5.2280693510756454E-2</v>
      </c>
      <c r="U14" s="109">
        <v>7.1202234633230846E-2</v>
      </c>
      <c r="V14" s="238" t="s">
        <v>111</v>
      </c>
      <c r="W14" s="110">
        <v>2.4493434084764056E-3</v>
      </c>
      <c r="X14" s="240">
        <v>6.3777553243518526</v>
      </c>
      <c r="Y14" s="238" t="s">
        <v>111</v>
      </c>
      <c r="Z14" s="240">
        <v>0.22061889324261341</v>
      </c>
      <c r="AA14" s="110">
        <v>0.40958965738556952</v>
      </c>
      <c r="AB14" s="238" t="s">
        <v>111</v>
      </c>
      <c r="AC14" s="110">
        <v>1.5495223004927394E-3</v>
      </c>
      <c r="AD14" s="229">
        <f t="shared" si="1"/>
        <v>0.40280633131451421</v>
      </c>
      <c r="AE14" s="109"/>
      <c r="AF14" s="109"/>
      <c r="AG14" s="237"/>
      <c r="AH14" s="237"/>
      <c r="AI14" s="237"/>
      <c r="AJ14" s="237"/>
      <c r="AK14" s="237"/>
      <c r="AL14" s="237"/>
      <c r="AM14" s="243"/>
      <c r="AN14" s="240"/>
      <c r="AO14" s="234"/>
      <c r="AP14" s="259"/>
      <c r="AQ14" s="259"/>
      <c r="AR14" s="259"/>
      <c r="AS14" s="259"/>
      <c r="AT14" s="259"/>
      <c r="AU14" s="259"/>
    </row>
    <row r="15" spans="1:47">
      <c r="A15" s="228" t="s">
        <v>124</v>
      </c>
      <c r="B15" s="221">
        <f>613.19+0.32</f>
        <v>613.5100000000001</v>
      </c>
      <c r="C15" s="219">
        <v>64.078467889908239</v>
      </c>
      <c r="D15" s="228" t="s">
        <v>273</v>
      </c>
      <c r="E15" s="237">
        <v>0.50504000000000004</v>
      </c>
      <c r="F15" s="109">
        <v>5.9644948130837087E-2</v>
      </c>
      <c r="G15" s="238" t="s">
        <v>111</v>
      </c>
      <c r="H15" s="110">
        <v>2.0454633479287596E-4</v>
      </c>
      <c r="I15" s="109">
        <v>2.8429374931963205E-2</v>
      </c>
      <c r="J15" s="238" t="s">
        <v>111</v>
      </c>
      <c r="K15" s="110">
        <v>2.6541313373477224E-3</v>
      </c>
      <c r="L15" s="109">
        <v>1.8288617266829371E-2</v>
      </c>
      <c r="M15" s="238" t="s">
        <v>111</v>
      </c>
      <c r="N15" s="110">
        <v>7.8536626516127802E-3</v>
      </c>
      <c r="O15" s="109">
        <v>0.35415371520573546</v>
      </c>
      <c r="P15" s="238" t="s">
        <v>111</v>
      </c>
      <c r="Q15" s="110">
        <v>2.3956851229541189E-2</v>
      </c>
      <c r="R15" s="109">
        <v>0.93145701155877747</v>
      </c>
      <c r="S15" s="238" t="s">
        <v>111</v>
      </c>
      <c r="T15" s="110">
        <v>4.9383207586223353E-2</v>
      </c>
      <c r="U15" s="109">
        <v>6.6942346288988666E-2</v>
      </c>
      <c r="V15" s="238" t="s">
        <v>111</v>
      </c>
      <c r="W15" s="110">
        <v>2.4798613765755705E-3</v>
      </c>
      <c r="X15" s="240">
        <v>5.6119219124271513</v>
      </c>
      <c r="Y15" s="238" t="s">
        <v>111</v>
      </c>
      <c r="Z15" s="240">
        <v>0.20878107366665805</v>
      </c>
      <c r="AA15" s="110">
        <v>0.4176607219591334</v>
      </c>
      <c r="AB15" s="238" t="s">
        <v>111</v>
      </c>
      <c r="AC15" s="110">
        <v>1.4718041264047688E-3</v>
      </c>
      <c r="AD15" s="229">
        <f t="shared" si="1"/>
        <v>0.41166653104193823</v>
      </c>
      <c r="AE15" s="109"/>
      <c r="AF15" s="109"/>
      <c r="AG15" s="237"/>
      <c r="AH15" s="237"/>
      <c r="AI15" s="237"/>
      <c r="AJ15" s="237"/>
      <c r="AK15" s="237"/>
      <c r="AL15" s="237"/>
      <c r="AM15" s="243"/>
      <c r="AN15" s="240"/>
      <c r="AO15" s="234"/>
      <c r="AP15" s="259"/>
      <c r="AQ15" s="259"/>
      <c r="AR15" s="259"/>
      <c r="AS15" s="259"/>
      <c r="AT15" s="259"/>
      <c r="AU15" s="259"/>
    </row>
    <row r="16" spans="1:47">
      <c r="A16" s="228" t="s">
        <v>125</v>
      </c>
      <c r="B16" s="221">
        <f>613.19+0.57</f>
        <v>613.7600000000001</v>
      </c>
      <c r="C16" s="219">
        <v>64.444752293577963</v>
      </c>
      <c r="D16" s="228" t="s">
        <v>273</v>
      </c>
      <c r="E16" s="237">
        <v>0.50329000000000002</v>
      </c>
      <c r="F16" s="109">
        <v>5.0040459153057361E-2</v>
      </c>
      <c r="G16" s="238" t="s">
        <v>111</v>
      </c>
      <c r="H16" s="110">
        <v>5.7797719662134575E-4</v>
      </c>
      <c r="I16" s="109">
        <v>2.2996271790908462E-2</v>
      </c>
      <c r="J16" s="238" t="s">
        <v>111</v>
      </c>
      <c r="K16" s="110">
        <v>2.373486160288625E-3</v>
      </c>
      <c r="L16" s="109">
        <v>1.5482662453236175E-2</v>
      </c>
      <c r="M16" s="238" t="s">
        <v>111</v>
      </c>
      <c r="N16" s="110">
        <v>2.6994590266804794E-3</v>
      </c>
      <c r="O16" s="109">
        <v>0.33981389896257874</v>
      </c>
      <c r="P16" s="238" t="s">
        <v>111</v>
      </c>
      <c r="Q16" s="110">
        <v>2.7977536805375538E-2</v>
      </c>
      <c r="R16" s="109">
        <v>0.66895891474473024</v>
      </c>
      <c r="S16" s="238" t="s">
        <v>111</v>
      </c>
      <c r="T16" s="110">
        <v>3.6994109896749963E-2</v>
      </c>
      <c r="U16" s="109">
        <v>6.6140956115800342E-2</v>
      </c>
      <c r="V16" s="238" t="s">
        <v>111</v>
      </c>
      <c r="W16" s="110">
        <v>2.4806007364150673E-3</v>
      </c>
      <c r="X16" s="240">
        <v>6.7822312593927201</v>
      </c>
      <c r="Y16" s="238" t="s">
        <v>111</v>
      </c>
      <c r="Z16" s="240">
        <v>0.25620825459639646</v>
      </c>
      <c r="AA16" s="110">
        <v>0.4083450268025744</v>
      </c>
      <c r="AB16" s="238" t="s">
        <v>111</v>
      </c>
      <c r="AC16" s="110">
        <v>1.9945138622564917E-3</v>
      </c>
      <c r="AD16" s="229">
        <f t="shared" si="1"/>
        <v>0.40105937668780284</v>
      </c>
      <c r="AE16" s="109"/>
      <c r="AF16" s="109"/>
      <c r="AG16" s="237"/>
      <c r="AH16" s="237"/>
      <c r="AI16" s="237"/>
      <c r="AJ16" s="237"/>
      <c r="AK16" s="237"/>
      <c r="AL16" s="237"/>
      <c r="AM16" s="243"/>
      <c r="AN16" s="240"/>
      <c r="AO16" s="234"/>
      <c r="AP16" s="259"/>
      <c r="AQ16" s="259"/>
      <c r="AR16" s="259"/>
      <c r="AS16" s="259"/>
      <c r="AT16" s="259"/>
      <c r="AU16" s="259"/>
    </row>
    <row r="17" spans="1:47">
      <c r="A17" s="228" t="s">
        <v>126</v>
      </c>
      <c r="B17" s="221">
        <f>613.19+0.85</f>
        <v>614.04000000000008</v>
      </c>
      <c r="C17" s="219">
        <v>64.854990825687992</v>
      </c>
      <c r="D17" s="228" t="s">
        <v>273</v>
      </c>
      <c r="E17" s="237">
        <v>0.50953999999999999</v>
      </c>
      <c r="F17" s="109">
        <v>5.6608450391826499E-2</v>
      </c>
      <c r="G17" s="238" t="s">
        <v>111</v>
      </c>
      <c r="H17" s="110">
        <v>1.3158645350257719E-3</v>
      </c>
      <c r="I17" s="109">
        <v>1.9518054201914197E-2</v>
      </c>
      <c r="J17" s="238" t="s">
        <v>111</v>
      </c>
      <c r="K17" s="110">
        <v>2.7496649255674297E-3</v>
      </c>
      <c r="L17" s="109">
        <v>1.4237058493742816E-2</v>
      </c>
      <c r="M17" s="238" t="s">
        <v>111</v>
      </c>
      <c r="N17" s="110">
        <v>6.8513497000128798E-3</v>
      </c>
      <c r="O17" s="109">
        <v>0.24170985863923233</v>
      </c>
      <c r="P17" s="238" t="s">
        <v>111</v>
      </c>
      <c r="Q17" s="110">
        <v>2.7128263750265599E-2</v>
      </c>
      <c r="R17" s="109">
        <v>0.67341460609545079</v>
      </c>
      <c r="S17" s="238" t="s">
        <v>111</v>
      </c>
      <c r="T17" s="110">
        <v>5.9055405331246473E-2</v>
      </c>
      <c r="U17" s="109">
        <v>4.2299425773742613E-2</v>
      </c>
      <c r="V17" s="238" t="s">
        <v>111</v>
      </c>
      <c r="W17" s="110">
        <v>1.7361224639843736E-3</v>
      </c>
      <c r="X17" s="240">
        <v>3.723503622678848</v>
      </c>
      <c r="Y17" s="238" t="s">
        <v>111</v>
      </c>
      <c r="Z17" s="240">
        <v>0.17563381897746561</v>
      </c>
      <c r="AA17" s="110">
        <v>0.39049047243881851</v>
      </c>
      <c r="AB17" s="238" t="s">
        <v>111</v>
      </c>
      <c r="AC17" s="110">
        <v>7.5102229637964701E-3</v>
      </c>
      <c r="AD17" s="229">
        <f t="shared" si="1"/>
        <v>0.38646511152492508</v>
      </c>
      <c r="AE17" s="109"/>
      <c r="AF17" s="109"/>
      <c r="AG17" s="237"/>
      <c r="AH17" s="237"/>
      <c r="AI17" s="237"/>
      <c r="AJ17" s="237"/>
      <c r="AK17" s="237"/>
      <c r="AL17" s="237"/>
      <c r="AM17" s="243"/>
      <c r="AN17" s="240"/>
      <c r="AO17" s="234"/>
      <c r="AP17" s="259"/>
      <c r="AQ17" s="259"/>
      <c r="AR17" s="259"/>
      <c r="AS17" s="259"/>
      <c r="AT17" s="259"/>
      <c r="AU17" s="259"/>
    </row>
    <row r="18" spans="1:47">
      <c r="A18" s="228" t="s">
        <v>127</v>
      </c>
      <c r="B18" s="221">
        <f>613.19+1.13</f>
        <v>614.32000000000005</v>
      </c>
      <c r="C18" s="219">
        <v>65.265229357798205</v>
      </c>
      <c r="D18" s="228" t="s">
        <v>273</v>
      </c>
      <c r="E18" s="237">
        <v>0.50172000000000005</v>
      </c>
      <c r="F18" s="109">
        <v>8.2350932200783697E-2</v>
      </c>
      <c r="G18" s="238" t="s">
        <v>111</v>
      </c>
      <c r="H18" s="110">
        <v>2.6759696194165241E-4</v>
      </c>
      <c r="I18" s="109">
        <v>2.6511922334754284E-2</v>
      </c>
      <c r="J18" s="238" t="s">
        <v>111</v>
      </c>
      <c r="K18" s="110">
        <v>2.9937029200434364E-3</v>
      </c>
      <c r="L18" s="109">
        <v>1.9746111902510986E-2</v>
      </c>
      <c r="M18" s="238" t="s">
        <v>111</v>
      </c>
      <c r="N18" s="110">
        <v>8.210093835304447E-3</v>
      </c>
      <c r="O18" s="109">
        <v>0.33946058602051415</v>
      </c>
      <c r="P18" s="238" t="s">
        <v>111</v>
      </c>
      <c r="Q18" s="110">
        <v>2.2926199817903163E-2</v>
      </c>
      <c r="R18" s="239">
        <v>1.9681926443881088</v>
      </c>
      <c r="S18" s="238" t="s">
        <v>111</v>
      </c>
      <c r="T18" s="110">
        <v>8.6580043091380635E-2</v>
      </c>
      <c r="U18" s="109">
        <v>5.8188286018888945E-2</v>
      </c>
      <c r="V18" s="238" t="s">
        <v>111</v>
      </c>
      <c r="W18" s="110">
        <v>2.1696568287625567E-3</v>
      </c>
      <c r="X18" s="240">
        <v>3.5262199528932032</v>
      </c>
      <c r="Y18" s="238" t="s">
        <v>111</v>
      </c>
      <c r="Z18" s="240">
        <v>0.13197991140517484</v>
      </c>
      <c r="AA18" s="110">
        <v>0.40225174190799845</v>
      </c>
      <c r="AB18" s="238" t="s">
        <v>111</v>
      </c>
      <c r="AC18" s="110">
        <v>1.1319920194700073E-3</v>
      </c>
      <c r="AD18" s="229">
        <f t="shared" si="1"/>
        <v>0.39841553172487382</v>
      </c>
      <c r="AE18" s="109"/>
      <c r="AF18" s="109"/>
      <c r="AG18" s="237"/>
      <c r="AH18" s="237"/>
      <c r="AI18" s="237"/>
      <c r="AJ18" s="237"/>
      <c r="AK18" s="237"/>
      <c r="AL18" s="237"/>
      <c r="AM18" s="243"/>
      <c r="AN18" s="240"/>
      <c r="AO18" s="234"/>
      <c r="AP18" s="259"/>
      <c r="AQ18" s="259"/>
      <c r="AR18" s="259"/>
      <c r="AS18" s="259"/>
      <c r="AT18" s="259"/>
      <c r="AU18" s="259"/>
    </row>
    <row r="19" spans="1:47">
      <c r="A19" s="228" t="s">
        <v>128</v>
      </c>
      <c r="B19" s="221">
        <f>614.56+0.03</f>
        <v>614.58999999999992</v>
      </c>
      <c r="C19" s="219">
        <v>65.531800000000004</v>
      </c>
      <c r="D19" s="228" t="s">
        <v>273</v>
      </c>
      <c r="E19" s="237">
        <v>0.50136999999999998</v>
      </c>
      <c r="F19" s="109">
        <v>7.6465811196164371E-2</v>
      </c>
      <c r="G19" s="238" t="s">
        <v>111</v>
      </c>
      <c r="H19" s="110">
        <v>2.289713217762603E-4</v>
      </c>
      <c r="I19" s="109">
        <v>2.480983547630173E-2</v>
      </c>
      <c r="J19" s="238" t="s">
        <v>111</v>
      </c>
      <c r="K19" s="110">
        <v>3.014599028999595E-3</v>
      </c>
      <c r="L19" s="109">
        <v>2.3189239630629289E-2</v>
      </c>
      <c r="M19" s="238" t="s">
        <v>111</v>
      </c>
      <c r="N19" s="110">
        <v>3.2500842846400605E-3</v>
      </c>
      <c r="O19" s="109">
        <v>0.2185262478946782</v>
      </c>
      <c r="P19" s="238" t="s">
        <v>111</v>
      </c>
      <c r="Q19" s="110">
        <v>1.8720929774801217E-2</v>
      </c>
      <c r="R19" s="109">
        <v>0.90218596729406741</v>
      </c>
      <c r="S19" s="238" t="s">
        <v>111</v>
      </c>
      <c r="T19" s="110">
        <v>4.4499736291496443E-2</v>
      </c>
      <c r="U19" s="109">
        <v>2.8278866252446504E-2</v>
      </c>
      <c r="V19" s="238" t="s">
        <v>111</v>
      </c>
      <c r="W19" s="110">
        <v>1.5700986704919693E-3</v>
      </c>
      <c r="X19" s="240">
        <v>1.8380985089865045</v>
      </c>
      <c r="Y19" s="238" t="s">
        <v>111</v>
      </c>
      <c r="Z19" s="240">
        <v>0.10220318551380378</v>
      </c>
      <c r="AA19" s="110">
        <v>0.36998883981715758</v>
      </c>
      <c r="AB19" s="238" t="s">
        <v>111</v>
      </c>
      <c r="AC19" s="110">
        <v>9.1931839746511868E-4</v>
      </c>
      <c r="AD19" s="229">
        <f t="shared" si="1"/>
        <v>0.36798098192884915</v>
      </c>
      <c r="AE19" s="109"/>
      <c r="AF19" s="109"/>
      <c r="AG19" s="237"/>
      <c r="AH19" s="237"/>
      <c r="AI19" s="237"/>
      <c r="AJ19" s="237"/>
      <c r="AK19" s="237"/>
      <c r="AL19" s="237"/>
      <c r="AM19" s="243"/>
      <c r="AN19" s="240"/>
      <c r="AO19" s="234"/>
      <c r="AP19" s="259"/>
      <c r="AQ19" s="259"/>
      <c r="AR19" s="259"/>
      <c r="AS19" s="259"/>
      <c r="AT19" s="259"/>
      <c r="AU19" s="259"/>
    </row>
    <row r="20" spans="1:47">
      <c r="A20" s="228" t="s">
        <v>129</v>
      </c>
      <c r="B20" s="221">
        <f>614.56+0.29</f>
        <v>614.84999999999991</v>
      </c>
      <c r="C20" s="219">
        <v>65.633200000000002</v>
      </c>
      <c r="D20" s="228" t="s">
        <v>273</v>
      </c>
      <c r="E20" s="237">
        <v>0.50353000000000003</v>
      </c>
      <c r="F20" s="109">
        <v>5.2215040178321417E-2</v>
      </c>
      <c r="G20" s="238" t="s">
        <v>111</v>
      </c>
      <c r="H20" s="110">
        <v>1.2746434009968868E-4</v>
      </c>
      <c r="I20" s="109">
        <v>2.1675632184857428E-2</v>
      </c>
      <c r="J20" s="238" t="s">
        <v>111</v>
      </c>
      <c r="K20" s="110">
        <v>2.3611949201716069E-3</v>
      </c>
      <c r="L20" s="109">
        <v>2.6902473457288884E-2</v>
      </c>
      <c r="M20" s="238" t="s">
        <v>111</v>
      </c>
      <c r="N20" s="110">
        <v>5.7465068694789977E-3</v>
      </c>
      <c r="O20" s="109">
        <v>0.17000417044878835</v>
      </c>
      <c r="P20" s="238" t="s">
        <v>111</v>
      </c>
      <c r="Q20" s="110">
        <v>2.4087198342264395E-2</v>
      </c>
      <c r="R20" s="109">
        <v>0.83201977890492562</v>
      </c>
      <c r="S20" s="238" t="s">
        <v>111</v>
      </c>
      <c r="T20" s="110">
        <v>5.0835845936371027E-2</v>
      </c>
      <c r="U20" s="109">
        <v>3.0342837204015635E-2</v>
      </c>
      <c r="V20" s="238" t="s">
        <v>111</v>
      </c>
      <c r="W20" s="110">
        <v>1.542163328736862E-3</v>
      </c>
      <c r="X20" s="240">
        <v>2.8878736299632783</v>
      </c>
      <c r="Y20" s="238" t="s">
        <v>111</v>
      </c>
      <c r="Z20" s="240">
        <v>0.14694429862441089</v>
      </c>
      <c r="AA20" s="110">
        <v>0.36896059723593988</v>
      </c>
      <c r="AB20" s="238" t="s">
        <v>111</v>
      </c>
      <c r="AC20" s="110">
        <v>9.4599080125348789E-4</v>
      </c>
      <c r="AD20" s="229">
        <f t="shared" si="1"/>
        <v>0.36580112733470593</v>
      </c>
      <c r="AE20" s="109"/>
      <c r="AF20" s="109"/>
      <c r="AG20" s="237"/>
      <c r="AH20" s="237"/>
      <c r="AI20" s="237"/>
      <c r="AJ20" s="237"/>
      <c r="AK20" s="237"/>
      <c r="AL20" s="237"/>
      <c r="AM20" s="243"/>
      <c r="AN20" s="240"/>
      <c r="AO20" s="234"/>
      <c r="AP20" s="259"/>
      <c r="AQ20" s="259"/>
      <c r="AR20" s="259"/>
      <c r="AS20" s="259"/>
      <c r="AT20" s="259"/>
      <c r="AU20" s="259"/>
    </row>
    <row r="21" spans="1:47">
      <c r="A21" s="228" t="s">
        <v>130</v>
      </c>
      <c r="B21" s="221">
        <f>614.56+0.55</f>
        <v>615.1099999999999</v>
      </c>
      <c r="C21" s="219">
        <v>65.7346</v>
      </c>
      <c r="D21" s="228" t="s">
        <v>273</v>
      </c>
      <c r="E21" s="237">
        <v>0.49997999999999998</v>
      </c>
      <c r="F21" s="109">
        <v>6.22855456529125E-2</v>
      </c>
      <c r="G21" s="238" t="s">
        <v>111</v>
      </c>
      <c r="H21" s="110">
        <v>1.9858883597836678E-4</v>
      </c>
      <c r="I21" s="109">
        <v>2.9975590079493804E-2</v>
      </c>
      <c r="J21" s="238" t="s">
        <v>111</v>
      </c>
      <c r="K21" s="110">
        <v>2.8773185586795096E-3</v>
      </c>
      <c r="L21" s="109">
        <v>3.5111189024179451E-2</v>
      </c>
      <c r="M21" s="238" t="s">
        <v>111</v>
      </c>
      <c r="N21" s="110">
        <v>3.5282954145828523E-3</v>
      </c>
      <c r="O21" s="109">
        <v>0.26725621586079279</v>
      </c>
      <c r="P21" s="238" t="s">
        <v>111</v>
      </c>
      <c r="Q21" s="110">
        <v>2.1392486281418009E-2</v>
      </c>
      <c r="R21" s="109">
        <v>0.95363949270759363</v>
      </c>
      <c r="S21" s="238" t="s">
        <v>111</v>
      </c>
      <c r="T21" s="110">
        <v>4.6152559978570831E-2</v>
      </c>
      <c r="U21" s="109">
        <v>4.5137130053460393E-2</v>
      </c>
      <c r="V21" s="238" t="s">
        <v>111</v>
      </c>
      <c r="W21" s="110">
        <v>1.8440347451377408E-3</v>
      </c>
      <c r="X21" s="240">
        <v>3.5874020839954919</v>
      </c>
      <c r="Y21" s="238" t="s">
        <v>111</v>
      </c>
      <c r="Z21" s="240">
        <v>0.147005564412234</v>
      </c>
      <c r="AA21" s="110">
        <v>0.33835688316575635</v>
      </c>
      <c r="AB21" s="238" t="s">
        <v>111</v>
      </c>
      <c r="AC21" s="110">
        <v>9.5371979613015356E-4</v>
      </c>
      <c r="AD21" s="229">
        <f t="shared" si="1"/>
        <v>0.33442602923643977</v>
      </c>
      <c r="AE21" s="109"/>
      <c r="AF21" s="109"/>
      <c r="AG21" s="237"/>
      <c r="AH21" s="237"/>
      <c r="AI21" s="237"/>
      <c r="AJ21" s="237"/>
      <c r="AK21" s="237"/>
      <c r="AL21" s="237"/>
      <c r="AM21" s="243"/>
      <c r="AN21" s="240"/>
      <c r="AO21" s="234"/>
      <c r="AP21" s="259"/>
      <c r="AQ21" s="259"/>
      <c r="AR21" s="259"/>
      <c r="AS21" s="259"/>
      <c r="AT21" s="259"/>
      <c r="AU21" s="259"/>
    </row>
    <row r="22" spans="1:47">
      <c r="A22" s="228" t="s">
        <v>131</v>
      </c>
      <c r="B22" s="221">
        <f>614.56+0.84</f>
        <v>615.4</v>
      </c>
      <c r="C22" s="219">
        <v>65.816428571428574</v>
      </c>
      <c r="D22" s="228" t="s">
        <v>273</v>
      </c>
      <c r="E22" s="237">
        <v>0.50002000000000002</v>
      </c>
      <c r="F22" s="109">
        <v>7.4170962143203512E-2</v>
      </c>
      <c r="G22" s="238" t="s">
        <v>111</v>
      </c>
      <c r="H22" s="110">
        <v>2.6466444170938577E-4</v>
      </c>
      <c r="I22" s="109">
        <v>3.2908408594493316E-2</v>
      </c>
      <c r="J22" s="238" t="s">
        <v>111</v>
      </c>
      <c r="K22" s="110">
        <v>4.0857747861186653E-3</v>
      </c>
      <c r="L22" s="109">
        <v>2.9756769143495204E-2</v>
      </c>
      <c r="M22" s="238" t="s">
        <v>111</v>
      </c>
      <c r="N22" s="110">
        <v>3.5122578334962672E-3</v>
      </c>
      <c r="O22" s="109">
        <v>0.21672720969708578</v>
      </c>
      <c r="P22" s="238" t="s">
        <v>111</v>
      </c>
      <c r="Q22" s="110">
        <v>2.5257726114216533E-2</v>
      </c>
      <c r="R22" s="109">
        <v>0.73187603638961451</v>
      </c>
      <c r="S22" s="238" t="s">
        <v>111</v>
      </c>
      <c r="T22" s="110">
        <v>4.1933353267454891E-2</v>
      </c>
      <c r="U22" s="109">
        <v>3.25602740899784E-2</v>
      </c>
      <c r="V22" s="238" t="s">
        <v>111</v>
      </c>
      <c r="W22" s="110">
        <v>1.6439142629141197E-3</v>
      </c>
      <c r="X22" s="240">
        <v>2.1643104887928808</v>
      </c>
      <c r="Y22" s="238" t="s">
        <v>111</v>
      </c>
      <c r="Z22" s="240">
        <v>0.10954502029238253</v>
      </c>
      <c r="AA22" s="110">
        <v>0.30635904985598406</v>
      </c>
      <c r="AB22" s="238" t="s">
        <v>111</v>
      </c>
      <c r="AC22" s="110">
        <v>9.3552341632655023E-4</v>
      </c>
      <c r="AD22" s="229">
        <f>AA22-X22*(EXP(1.666*10^-11*C22*10^6)-1)</f>
        <v>0.30398457815747326</v>
      </c>
      <c r="AE22" s="109"/>
      <c r="AF22" s="109"/>
      <c r="AG22" s="237"/>
      <c r="AH22" s="237"/>
      <c r="AI22" s="237"/>
      <c r="AJ22" s="237"/>
      <c r="AK22" s="237"/>
      <c r="AL22" s="237"/>
      <c r="AM22" s="243"/>
      <c r="AN22" s="240"/>
      <c r="AO22" s="234"/>
      <c r="AP22" s="259"/>
      <c r="AQ22" s="259"/>
      <c r="AR22" s="259"/>
      <c r="AS22" s="259"/>
      <c r="AT22" s="259"/>
      <c r="AU22" s="259"/>
    </row>
    <row r="23" spans="1:47">
      <c r="A23" s="228" t="s">
        <v>132</v>
      </c>
      <c r="B23" s="221">
        <f>614.56+1.11</f>
        <v>615.66999999999996</v>
      </c>
      <c r="C23" s="219">
        <v>65.856780219780219</v>
      </c>
      <c r="D23" s="228" t="s">
        <v>273</v>
      </c>
      <c r="E23" s="237">
        <v>0.50094000000000005</v>
      </c>
      <c r="F23" s="109">
        <v>8.6702964817202341E-2</v>
      </c>
      <c r="G23" s="238" t="s">
        <v>111</v>
      </c>
      <c r="H23" s="110">
        <v>1.3316275706122373E-3</v>
      </c>
      <c r="I23" s="109">
        <v>2.3339770814778043E-2</v>
      </c>
      <c r="J23" s="238" t="s">
        <v>111</v>
      </c>
      <c r="K23" s="110">
        <v>2.1589362495927343E-3</v>
      </c>
      <c r="L23" s="109">
        <v>1.9639775865221244E-2</v>
      </c>
      <c r="M23" s="238" t="s">
        <v>111</v>
      </c>
      <c r="N23" s="110">
        <v>4.5048866242378858E-3</v>
      </c>
      <c r="O23" s="109">
        <v>0.15555864437872541</v>
      </c>
      <c r="P23" s="238" t="s">
        <v>111</v>
      </c>
      <c r="Q23" s="110">
        <v>1.7481651961506552E-2</v>
      </c>
      <c r="R23" s="109">
        <v>0.87358230102119472</v>
      </c>
      <c r="S23" s="238" t="s">
        <v>111</v>
      </c>
      <c r="T23" s="110">
        <v>2.5579089768319241E-2</v>
      </c>
      <c r="U23" s="109">
        <v>1.3756208866252916E-2</v>
      </c>
      <c r="V23" s="238" t="s">
        <v>111</v>
      </c>
      <c r="W23" s="110">
        <v>4.6130950428738106E-3</v>
      </c>
      <c r="X23" s="240">
        <v>0.77923141786583072</v>
      </c>
      <c r="Y23" s="238" t="s">
        <v>111</v>
      </c>
      <c r="Z23" s="240">
        <v>0.26158635949885334</v>
      </c>
      <c r="AA23" s="110">
        <v>0.27636547603087197</v>
      </c>
      <c r="AB23" s="238" t="s">
        <v>111</v>
      </c>
      <c r="AC23" s="110">
        <v>5.0211441575903984E-4</v>
      </c>
      <c r="AD23" s="229">
        <f>AA23-X23*(EXP(1.666*10^-11*C23*10^6)-1)</f>
        <v>0.27551005442423177</v>
      </c>
      <c r="AE23" s="109"/>
      <c r="AF23" s="109"/>
      <c r="AG23" s="237"/>
      <c r="AH23" s="237"/>
      <c r="AI23" s="237"/>
      <c r="AJ23" s="237"/>
      <c r="AK23" s="237"/>
      <c r="AL23" s="237"/>
      <c r="AM23" s="243"/>
      <c r="AN23" s="240"/>
      <c r="AO23" s="234"/>
      <c r="AP23" s="259"/>
      <c r="AQ23" s="259"/>
      <c r="AR23" s="259"/>
      <c r="AS23" s="259"/>
      <c r="AT23" s="259"/>
      <c r="AU23" s="259"/>
    </row>
    <row r="24" spans="1:47">
      <c r="A24" s="228" t="s">
        <v>133</v>
      </c>
      <c r="B24" s="221">
        <f>615.77+0.16</f>
        <v>615.92999999999995</v>
      </c>
      <c r="C24" s="219">
        <v>65.895637362637359</v>
      </c>
      <c r="D24" s="228" t="s">
        <v>273</v>
      </c>
      <c r="E24" s="237">
        <v>0.50173000000000001</v>
      </c>
      <c r="F24" s="109">
        <v>0.1092980983861878</v>
      </c>
      <c r="G24" s="238" t="s">
        <v>111</v>
      </c>
      <c r="H24" s="110">
        <v>2.1065047742530349E-3</v>
      </c>
      <c r="I24" s="109">
        <v>4.6432119612860652E-2</v>
      </c>
      <c r="J24" s="238" t="s">
        <v>111</v>
      </c>
      <c r="K24" s="110">
        <v>3.2395170206916601E-3</v>
      </c>
      <c r="L24" s="109">
        <v>4.2732184986091472E-2</v>
      </c>
      <c r="M24" s="238" t="s">
        <v>111</v>
      </c>
      <c r="N24" s="110">
        <v>6.3103758868992051E-3</v>
      </c>
      <c r="O24" s="109">
        <v>0.2759192530645137</v>
      </c>
      <c r="P24" s="238" t="s">
        <v>111</v>
      </c>
      <c r="Q24" s="110">
        <v>2.0940836439572758E-2</v>
      </c>
      <c r="R24" s="109">
        <v>0.7674852030751832</v>
      </c>
      <c r="S24" s="238" t="s">
        <v>111</v>
      </c>
      <c r="T24" s="110">
        <v>3.5221442849190675E-2</v>
      </c>
      <c r="U24" s="109">
        <v>2.4950651138041458E-2</v>
      </c>
      <c r="V24" s="238" t="s">
        <v>111</v>
      </c>
      <c r="W24" s="110">
        <v>1.3676645101703658E-3</v>
      </c>
      <c r="X24" s="240">
        <v>1.1185665230132993</v>
      </c>
      <c r="Y24" s="238" t="s">
        <v>111</v>
      </c>
      <c r="Z24" s="240">
        <v>6.4993525769915017E-2</v>
      </c>
      <c r="AA24" s="110">
        <v>0.25822995198825827</v>
      </c>
      <c r="AB24" s="238" t="s">
        <v>111</v>
      </c>
      <c r="AC24" s="110">
        <v>4.7715955152960454E-4</v>
      </c>
      <c r="AD24" s="229">
        <f>AA24-X24*(EXP(1.666*10^-11*C24*10^6)-1)</f>
        <v>0.25700129151174445</v>
      </c>
      <c r="AE24" s="109"/>
      <c r="AF24" s="109"/>
      <c r="AG24" s="237"/>
      <c r="AH24" s="237"/>
      <c r="AI24" s="237"/>
      <c r="AJ24" s="237"/>
      <c r="AK24" s="237"/>
      <c r="AL24" s="237"/>
      <c r="AM24" s="243"/>
      <c r="AN24" s="240"/>
      <c r="AO24" s="234"/>
      <c r="AP24" s="259"/>
      <c r="AQ24" s="259"/>
      <c r="AR24" s="259"/>
      <c r="AS24" s="259"/>
      <c r="AT24" s="259"/>
      <c r="AU24" s="259"/>
    </row>
    <row r="25" spans="1:47">
      <c r="A25" s="228" t="s">
        <v>272</v>
      </c>
      <c r="B25" s="221">
        <f>615.77+0.4</f>
        <v>616.16999999999996</v>
      </c>
      <c r="C25" s="219">
        <v>65.931505494505501</v>
      </c>
      <c r="D25" s="228" t="s">
        <v>273</v>
      </c>
      <c r="E25" s="237">
        <v>0.50014000000000003</v>
      </c>
      <c r="F25" s="109">
        <v>0.14203375116009126</v>
      </c>
      <c r="G25" s="238" t="s">
        <v>111</v>
      </c>
      <c r="H25" s="110">
        <v>3.9782487818284482E-4</v>
      </c>
      <c r="I25" s="109">
        <v>6.086449874496383E-2</v>
      </c>
      <c r="J25" s="238" t="s">
        <v>111</v>
      </c>
      <c r="K25" s="110">
        <v>5.0974297111635713E-3</v>
      </c>
      <c r="L25" s="109">
        <v>8.4712185657372652E-2</v>
      </c>
      <c r="M25" s="238" t="s">
        <v>111</v>
      </c>
      <c r="N25" s="110">
        <v>6.4484156211714631E-3</v>
      </c>
      <c r="O25" s="109">
        <v>0.30020433748912184</v>
      </c>
      <c r="P25" s="238" t="s">
        <v>111</v>
      </c>
      <c r="Q25" s="110">
        <v>2.5112512923485378E-2</v>
      </c>
      <c r="R25" s="109">
        <v>0.82525958953304146</v>
      </c>
      <c r="S25" s="238" t="s">
        <v>111</v>
      </c>
      <c r="T25" s="110">
        <v>4.1725472656157982E-2</v>
      </c>
      <c r="U25" s="109">
        <v>1.8244948322851264E-2</v>
      </c>
      <c r="V25" s="238" t="s">
        <v>111</v>
      </c>
      <c r="W25" s="110">
        <v>1.3060530020847015E-3</v>
      </c>
      <c r="X25" s="240">
        <v>0.62707425623128199</v>
      </c>
      <c r="Y25" s="238" t="s">
        <v>111</v>
      </c>
      <c r="Z25" s="240">
        <v>4.4923059447758609E-2</v>
      </c>
      <c r="AA25" s="110">
        <v>0.22912026273229461</v>
      </c>
      <c r="AB25" s="238" t="s">
        <v>111</v>
      </c>
      <c r="AC25" s="110">
        <v>3.7703875421039867E-4</v>
      </c>
      <c r="AD25" s="229">
        <f t="shared" ref="AD25:AD31" si="2">AA25-X25*(EXP(1.666*10^-11*C25*10^6)-1)</f>
        <v>0.22843109410049617</v>
      </c>
      <c r="AE25" s="109"/>
      <c r="AF25" s="109"/>
      <c r="AG25" s="237"/>
      <c r="AH25" s="237"/>
      <c r="AI25" s="237"/>
      <c r="AJ25" s="237"/>
      <c r="AK25" s="237"/>
      <c r="AL25" s="237"/>
      <c r="AM25" s="243"/>
      <c r="AN25" s="240"/>
      <c r="AO25" s="234"/>
      <c r="AP25" s="259"/>
      <c r="AQ25" s="259"/>
      <c r="AR25" s="259"/>
      <c r="AS25" s="259"/>
      <c r="AT25" s="259"/>
      <c r="AU25" s="259"/>
    </row>
    <row r="26" spans="1:47">
      <c r="A26" s="228" t="s">
        <v>176</v>
      </c>
      <c r="B26" s="240">
        <f>616.24+0.01</f>
        <v>616.25</v>
      </c>
      <c r="C26" s="109">
        <v>65.973769230769193</v>
      </c>
      <c r="D26" s="228" t="s">
        <v>273</v>
      </c>
      <c r="E26" s="237">
        <v>0.4924</v>
      </c>
      <c r="F26" s="109">
        <v>0.12974876314893213</v>
      </c>
      <c r="G26" s="238" t="s">
        <v>111</v>
      </c>
      <c r="H26" s="110">
        <v>2.4503703111282855E-4</v>
      </c>
      <c r="I26" s="109">
        <v>3.1862327801943459E-2</v>
      </c>
      <c r="J26" s="238" t="s">
        <v>111</v>
      </c>
      <c r="K26" s="110">
        <v>2.9164178085065201E-3</v>
      </c>
      <c r="L26" s="109">
        <v>4.5987837377063454E-2</v>
      </c>
      <c r="M26" s="238" t="s">
        <v>111</v>
      </c>
      <c r="N26" s="110">
        <v>7.3848451258934078E-3</v>
      </c>
      <c r="O26" s="109">
        <v>6.0223397675653226E-2</v>
      </c>
      <c r="P26" s="238" t="s">
        <v>111</v>
      </c>
      <c r="Q26" s="110">
        <v>2.2283420154683875E-2</v>
      </c>
      <c r="R26" s="109">
        <v>0.38841571792866847</v>
      </c>
      <c r="S26" s="238" t="s">
        <v>111</v>
      </c>
      <c r="T26" s="110">
        <v>5.6985301901520839E-2</v>
      </c>
      <c r="U26" s="109">
        <v>1.4073012679877804E-2</v>
      </c>
      <c r="V26" s="238" t="s">
        <v>111</v>
      </c>
      <c r="W26" s="110">
        <v>1.2608887896071641E-3</v>
      </c>
      <c r="X26" s="240">
        <v>0.52903392787110537</v>
      </c>
      <c r="Y26" s="238" t="s">
        <v>111</v>
      </c>
      <c r="Z26" s="240">
        <v>4.74099706964475E-2</v>
      </c>
      <c r="AA26" s="110">
        <v>0.2225378176629059</v>
      </c>
      <c r="AB26" s="238" t="s">
        <v>111</v>
      </c>
      <c r="AC26" s="110">
        <v>2.2700655861199182E-4</v>
      </c>
      <c r="AD26" s="229">
        <f t="shared" si="2"/>
        <v>0.221956024634967</v>
      </c>
      <c r="AE26" s="109"/>
      <c r="AF26" s="109"/>
      <c r="AG26" s="237"/>
      <c r="AH26" s="237"/>
      <c r="AI26" s="237"/>
      <c r="AJ26" s="237"/>
      <c r="AK26" s="237"/>
      <c r="AL26" s="237"/>
      <c r="AM26" s="243"/>
      <c r="AN26" s="240"/>
      <c r="AO26" s="234"/>
      <c r="AP26" s="259"/>
      <c r="AQ26" s="259"/>
      <c r="AR26" s="259"/>
      <c r="AS26" s="259"/>
      <c r="AT26" s="259"/>
      <c r="AU26" s="259"/>
    </row>
    <row r="27" spans="1:47">
      <c r="A27" s="228" t="s">
        <v>177</v>
      </c>
      <c r="B27" s="240">
        <f>616.24+0.05</f>
        <v>616.29</v>
      </c>
      <c r="C27" s="109">
        <v>65.975307692307695</v>
      </c>
      <c r="D27" s="228" t="s">
        <v>273</v>
      </c>
      <c r="E27" s="237">
        <v>0.48598000000000002</v>
      </c>
      <c r="F27" s="109">
        <v>0.13051426605440844</v>
      </c>
      <c r="G27" s="238" t="s">
        <v>111</v>
      </c>
      <c r="H27" s="110">
        <v>2.8934557657653607E-4</v>
      </c>
      <c r="I27" s="109">
        <v>3.4764573749415432E-2</v>
      </c>
      <c r="J27" s="238" t="s">
        <v>111</v>
      </c>
      <c r="K27" s="110">
        <v>2.914402596009938E-3</v>
      </c>
      <c r="L27" s="109">
        <v>5.4082492389649205E-2</v>
      </c>
      <c r="M27" s="238" t="s">
        <v>111</v>
      </c>
      <c r="N27" s="110">
        <v>5.6043048907969111E-3</v>
      </c>
      <c r="O27" s="109">
        <v>0.10930187710638761</v>
      </c>
      <c r="P27" s="238" t="s">
        <v>111</v>
      </c>
      <c r="Q27" s="110">
        <v>1.8627960048210736E-2</v>
      </c>
      <c r="R27" s="109">
        <v>0.21712402195640967</v>
      </c>
      <c r="S27" s="238" t="s">
        <v>111</v>
      </c>
      <c r="T27" s="110">
        <v>0.17105670890766841</v>
      </c>
      <c r="U27" s="109">
        <v>1.4348948189163454E-2</v>
      </c>
      <c r="V27" s="238" t="s">
        <v>111</v>
      </c>
      <c r="W27" s="110">
        <v>1.3938726089875759E-3</v>
      </c>
      <c r="X27" s="240">
        <v>0.53590008020711533</v>
      </c>
      <c r="Y27" s="238" t="s">
        <v>111</v>
      </c>
      <c r="Z27" s="240">
        <v>5.2071478597842863E-2</v>
      </c>
      <c r="AA27" s="110">
        <v>0.21757306266307821</v>
      </c>
      <c r="AB27" s="238" t="s">
        <v>111</v>
      </c>
      <c r="AC27" s="110">
        <v>2.5196215931404253E-4</v>
      </c>
      <c r="AD27" s="229">
        <f t="shared" si="2"/>
        <v>0.21698370498965924</v>
      </c>
      <c r="AE27" s="109"/>
      <c r="AF27" s="109"/>
      <c r="AG27" s="237"/>
      <c r="AH27" s="237"/>
      <c r="AI27" s="237"/>
      <c r="AJ27" s="237"/>
      <c r="AK27" s="237"/>
      <c r="AL27" s="237"/>
      <c r="AM27" s="243"/>
      <c r="AN27" s="240"/>
      <c r="AO27" s="234"/>
      <c r="AP27" s="259"/>
      <c r="AQ27" s="259"/>
      <c r="AR27" s="259"/>
      <c r="AS27" s="259"/>
      <c r="AT27" s="259"/>
      <c r="AU27" s="259"/>
    </row>
    <row r="28" spans="1:47">
      <c r="A28" s="228" t="s">
        <v>178</v>
      </c>
      <c r="B28" s="240">
        <f>616.24+0.11</f>
        <v>616.35</v>
      </c>
      <c r="C28" s="109">
        <v>65.97761538461539</v>
      </c>
      <c r="D28" s="228" t="s">
        <v>273</v>
      </c>
      <c r="E28" s="237">
        <v>0.48632999999999998</v>
      </c>
      <c r="F28" s="109">
        <v>0.18217268181590221</v>
      </c>
      <c r="G28" s="238" t="s">
        <v>111</v>
      </c>
      <c r="H28" s="110">
        <v>3.9076761182634261E-4</v>
      </c>
      <c r="I28" s="109">
        <v>6.4853313617061342E-2</v>
      </c>
      <c r="J28" s="238" t="s">
        <v>111</v>
      </c>
      <c r="K28" s="110">
        <v>5.3718130709564859E-3</v>
      </c>
      <c r="L28" s="109">
        <v>0.11606388402188833</v>
      </c>
      <c r="M28" s="238" t="s">
        <v>111</v>
      </c>
      <c r="N28" s="110">
        <v>1.2949450009030354E-2</v>
      </c>
      <c r="O28" s="109">
        <v>0.11840604807449884</v>
      </c>
      <c r="P28" s="238" t="s">
        <v>111</v>
      </c>
      <c r="Q28" s="110">
        <v>2.4426281491875545E-2</v>
      </c>
      <c r="R28" s="109">
        <v>0.71771175214804162</v>
      </c>
      <c r="S28" s="238" t="s">
        <v>111</v>
      </c>
      <c r="T28" s="110">
        <v>6.5577197025712131E-2</v>
      </c>
      <c r="U28" s="109">
        <v>2.0214606877731238E-2</v>
      </c>
      <c r="V28" s="238" t="s">
        <v>111</v>
      </c>
      <c r="W28" s="110">
        <v>1.3451904872567194E-3</v>
      </c>
      <c r="X28" s="240">
        <v>0.5402212613757793</v>
      </c>
      <c r="Y28" s="238" t="s">
        <v>111</v>
      </c>
      <c r="Z28" s="240">
        <v>3.5967948564945874E-2</v>
      </c>
      <c r="AA28" s="110">
        <v>0.20807665448118554</v>
      </c>
      <c r="AB28" s="238" t="s">
        <v>111</v>
      </c>
      <c r="AC28" s="110">
        <v>2.1434938375694546E-4</v>
      </c>
      <c r="AD28" s="229">
        <f t="shared" si="2"/>
        <v>0.20748252378392437</v>
      </c>
      <c r="AE28" s="109"/>
      <c r="AF28" s="109"/>
      <c r="AG28" s="237"/>
      <c r="AH28" s="237"/>
      <c r="AI28" s="237"/>
      <c r="AJ28" s="237"/>
      <c r="AK28" s="237"/>
      <c r="AL28" s="237"/>
      <c r="AM28" s="243"/>
      <c r="AN28" s="240"/>
      <c r="AO28" s="234"/>
      <c r="AP28" s="259"/>
      <c r="AQ28" s="259"/>
      <c r="AR28" s="259"/>
      <c r="AS28" s="259"/>
      <c r="AT28" s="259"/>
      <c r="AU28" s="259"/>
    </row>
    <row r="29" spans="1:47">
      <c r="A29" s="228" t="s">
        <v>179</v>
      </c>
      <c r="B29" s="240">
        <f>616.24+0.15</f>
        <v>616.39</v>
      </c>
      <c r="C29" s="109">
        <v>65.979153846153849</v>
      </c>
      <c r="D29" s="228" t="s">
        <v>273</v>
      </c>
      <c r="E29" s="237">
        <v>0.48415000000000002</v>
      </c>
      <c r="F29" s="109">
        <v>0.17794045025948993</v>
      </c>
      <c r="G29" s="238" t="s">
        <v>111</v>
      </c>
      <c r="H29" s="110">
        <v>6.6966962731842866E-4</v>
      </c>
      <c r="I29" s="109">
        <v>5.3447513300393566E-2</v>
      </c>
      <c r="J29" s="238" t="s">
        <v>111</v>
      </c>
      <c r="K29" s="110">
        <v>5.6740738031461424E-3</v>
      </c>
      <c r="L29" s="109">
        <v>0.111719192935695</v>
      </c>
      <c r="M29" s="238" t="s">
        <v>111</v>
      </c>
      <c r="N29" s="110">
        <v>1.4085812430881655E-2</v>
      </c>
      <c r="O29" s="109">
        <v>0.13721470021608859</v>
      </c>
      <c r="P29" s="238" t="s">
        <v>111</v>
      </c>
      <c r="Q29" s="110">
        <v>2.1634244363786002E-2</v>
      </c>
      <c r="R29" s="109">
        <v>0.46507823207883509</v>
      </c>
      <c r="S29" s="238" t="s">
        <v>111</v>
      </c>
      <c r="T29" s="110">
        <v>7.3189634191230493E-2</v>
      </c>
      <c r="U29" s="109">
        <v>1.6602999870530162E-2</v>
      </c>
      <c r="V29" s="238" t="s">
        <v>111</v>
      </c>
      <c r="W29" s="110">
        <v>1.3109512570772714E-3</v>
      </c>
      <c r="X29" s="240">
        <v>0.45407702595848753</v>
      </c>
      <c r="Y29" s="238" t="s">
        <v>111</v>
      </c>
      <c r="Z29" s="240">
        <v>3.5894033743095695E-2</v>
      </c>
      <c r="AA29" s="110">
        <v>0.20500999466356651</v>
      </c>
      <c r="AB29" s="238" t="s">
        <v>111</v>
      </c>
      <c r="AC29" s="110">
        <v>3.4346311093573501E-4</v>
      </c>
      <c r="AD29" s="229">
        <f t="shared" si="2"/>
        <v>0.20451059300441801</v>
      </c>
      <c r="AE29" s="109"/>
      <c r="AF29" s="109"/>
      <c r="AG29" s="237"/>
      <c r="AH29" s="237"/>
      <c r="AI29" s="237"/>
      <c r="AJ29" s="237"/>
      <c r="AK29" s="237"/>
      <c r="AL29" s="237"/>
      <c r="AM29" s="243"/>
      <c r="AN29" s="240"/>
      <c r="AO29" s="234"/>
      <c r="AP29" s="259"/>
      <c r="AQ29" s="259"/>
      <c r="AR29" s="259"/>
      <c r="AS29" s="259"/>
      <c r="AT29" s="259"/>
      <c r="AU29" s="259"/>
    </row>
    <row r="30" spans="1:47">
      <c r="A30" s="228" t="s">
        <v>180</v>
      </c>
      <c r="B30" s="240">
        <f>616.24+0.19</f>
        <v>616.43000000000006</v>
      </c>
      <c r="C30" s="109">
        <v>65.980692307692308</v>
      </c>
      <c r="D30" s="228" t="s">
        <v>273</v>
      </c>
      <c r="E30" s="237">
        <v>0.48481000000000002</v>
      </c>
      <c r="F30" s="109">
        <v>0.17539136970432523</v>
      </c>
      <c r="G30" s="238" t="s">
        <v>111</v>
      </c>
      <c r="H30" s="110">
        <v>4.6736775740225582E-4</v>
      </c>
      <c r="I30" s="109">
        <v>5.7836014287461046E-2</v>
      </c>
      <c r="J30" s="238" t="s">
        <v>111</v>
      </c>
      <c r="K30" s="110">
        <v>4.9439976460966548E-3</v>
      </c>
      <c r="L30" s="109">
        <v>0.12209124769436158</v>
      </c>
      <c r="M30" s="238" t="s">
        <v>111</v>
      </c>
      <c r="N30" s="110">
        <v>1.4316076171705248E-2</v>
      </c>
      <c r="O30" s="109">
        <v>9.5460450155150881E-2</v>
      </c>
      <c r="P30" s="238" t="s">
        <v>111</v>
      </c>
      <c r="Q30" s="110">
        <v>2.0973056013298373E-2</v>
      </c>
      <c r="R30" s="109">
        <v>0.54718615129405024</v>
      </c>
      <c r="S30" s="238" t="s">
        <v>111</v>
      </c>
      <c r="T30" s="110">
        <v>5.3774152118908104E-2</v>
      </c>
      <c r="U30" s="109">
        <v>1.5028541315895252E-2</v>
      </c>
      <c r="V30" s="238" t="s">
        <v>111</v>
      </c>
      <c r="W30" s="110">
        <v>1.369359836182231E-3</v>
      </c>
      <c r="X30" s="240">
        <v>0.41690440164095949</v>
      </c>
      <c r="Y30" s="238" t="s">
        <v>111</v>
      </c>
      <c r="Z30" s="240">
        <v>3.8003436949594911E-2</v>
      </c>
      <c r="AA30" s="110">
        <v>0.20340952432027501</v>
      </c>
      <c r="AB30" s="238" t="s">
        <v>111</v>
      </c>
      <c r="AC30" s="110">
        <v>2.0408267651157719E-4</v>
      </c>
      <c r="AD30" s="229">
        <f t="shared" si="2"/>
        <v>0.20295099505013764</v>
      </c>
      <c r="AE30" s="109"/>
      <c r="AF30" s="109"/>
      <c r="AG30" s="237"/>
      <c r="AH30" s="237"/>
      <c r="AI30" s="237"/>
      <c r="AJ30" s="237"/>
      <c r="AK30" s="237"/>
      <c r="AL30" s="237"/>
      <c r="AM30" s="243"/>
      <c r="AN30" s="240"/>
      <c r="AO30" s="234"/>
      <c r="AP30" s="259"/>
      <c r="AQ30" s="259"/>
      <c r="AR30" s="259"/>
      <c r="AS30" s="259"/>
      <c r="AT30" s="259"/>
      <c r="AU30" s="259"/>
    </row>
    <row r="31" spans="1:47">
      <c r="A31" s="228" t="s">
        <v>181</v>
      </c>
      <c r="B31" s="240">
        <f>616.24+0.23</f>
        <v>616.47</v>
      </c>
      <c r="C31" s="109">
        <v>65.982230769230767</v>
      </c>
      <c r="D31" s="228" t="s">
        <v>273</v>
      </c>
      <c r="E31" s="237">
        <v>0.48776000000000003</v>
      </c>
      <c r="F31" s="109">
        <v>0.17870999520744879</v>
      </c>
      <c r="G31" s="238" t="s">
        <v>111</v>
      </c>
      <c r="H31" s="110">
        <v>3.8242653450602034E-4</v>
      </c>
      <c r="I31" s="109">
        <v>6.4747253147281331E-2</v>
      </c>
      <c r="J31" s="238" t="s">
        <v>111</v>
      </c>
      <c r="K31" s="110">
        <v>5.1931368310073498E-3</v>
      </c>
      <c r="L31" s="109">
        <v>0.13750269660777892</v>
      </c>
      <c r="M31" s="238" t="s">
        <v>111</v>
      </c>
      <c r="N31" s="110">
        <v>1.1187400013484849E-2</v>
      </c>
      <c r="O31" s="239">
        <v>1.1489786891418543</v>
      </c>
      <c r="P31" s="238" t="s">
        <v>111</v>
      </c>
      <c r="Q31" s="110">
        <v>8.7408247814198425E-2</v>
      </c>
      <c r="R31" s="109">
        <v>0.49981166828358753</v>
      </c>
      <c r="S31" s="238" t="s">
        <v>111</v>
      </c>
      <c r="T31" s="110">
        <v>6.0576121063963824E-2</v>
      </c>
      <c r="U31" s="109">
        <v>1.2804252762376083E-2</v>
      </c>
      <c r="V31" s="238" t="s">
        <v>111</v>
      </c>
      <c r="W31" s="110">
        <v>1.3587501757718905E-3</v>
      </c>
      <c r="X31" s="240">
        <v>0.34837405895389495</v>
      </c>
      <c r="Y31" s="238" t="s">
        <v>111</v>
      </c>
      <c r="Z31" s="240">
        <v>3.6975960949566893E-2</v>
      </c>
      <c r="AA31" s="110">
        <v>0.19828733669327869</v>
      </c>
      <c r="AB31" s="238" t="s">
        <v>111</v>
      </c>
      <c r="AC31" s="110">
        <v>1.9774047839324349E-4</v>
      </c>
      <c r="AD31" s="229">
        <f t="shared" si="2"/>
        <v>0.19790417108257391</v>
      </c>
      <c r="AE31" s="109"/>
      <c r="AF31" s="109"/>
      <c r="AG31" s="237"/>
      <c r="AH31" s="237"/>
      <c r="AI31" s="237"/>
      <c r="AJ31" s="237"/>
      <c r="AK31" s="237"/>
      <c r="AL31" s="237"/>
      <c r="AM31" s="243"/>
      <c r="AN31" s="240"/>
      <c r="AO31" s="234"/>
      <c r="AP31" s="259"/>
      <c r="AQ31" s="259"/>
      <c r="AR31" s="259"/>
      <c r="AS31" s="259"/>
      <c r="AT31" s="259"/>
      <c r="AU31" s="259"/>
    </row>
    <row r="32" spans="1:47">
      <c r="A32" s="228" t="s">
        <v>175</v>
      </c>
      <c r="B32" s="240">
        <f>616.24+0.28</f>
        <v>616.52</v>
      </c>
      <c r="C32" s="109">
        <v>65.987499999999997</v>
      </c>
      <c r="D32" s="228" t="s">
        <v>273</v>
      </c>
      <c r="E32" s="237"/>
      <c r="F32" s="109">
        <v>0.19</v>
      </c>
      <c r="G32" s="238" t="s">
        <v>111</v>
      </c>
      <c r="H32" s="109">
        <v>2E-3</v>
      </c>
      <c r="I32" s="109">
        <v>0.49299999999999999</v>
      </c>
      <c r="J32" s="238" t="s">
        <v>111</v>
      </c>
      <c r="K32" s="109">
        <v>2.1000000000000001E-2</v>
      </c>
      <c r="L32" s="109">
        <v>0.85099999999999998</v>
      </c>
      <c r="M32" s="238" t="s">
        <v>111</v>
      </c>
      <c r="N32" s="109">
        <v>2.4E-2</v>
      </c>
      <c r="O32" s="242">
        <v>0.79300000000000004</v>
      </c>
      <c r="P32" s="238" t="s">
        <v>111</v>
      </c>
      <c r="Q32" s="109">
        <v>3.2000000000000001E-2</v>
      </c>
      <c r="R32" s="240">
        <v>1.61</v>
      </c>
      <c r="S32" s="238" t="s">
        <v>111</v>
      </c>
      <c r="T32" s="109">
        <v>5.1999999999999998E-2</v>
      </c>
      <c r="U32" s="109">
        <v>0.23100000000000001</v>
      </c>
      <c r="V32" s="238" t="s">
        <v>111</v>
      </c>
      <c r="W32" s="109">
        <v>8.9999999999999993E-3</v>
      </c>
      <c r="X32" s="240">
        <v>5.9180686242320206</v>
      </c>
      <c r="Y32" s="238" t="s">
        <v>111</v>
      </c>
      <c r="Z32" s="240"/>
      <c r="AA32" s="110">
        <v>0.20519999999999999</v>
      </c>
      <c r="AB32" s="238" t="s">
        <v>111</v>
      </c>
      <c r="AC32" s="110">
        <v>4.4000000000000003E-3</v>
      </c>
      <c r="AD32" s="229">
        <f>AA32-X32*(EXP(1.666*10^-11*C32*10^6)-1)</f>
        <v>0.19869038337773068</v>
      </c>
      <c r="AE32" s="109"/>
      <c r="AF32" s="109"/>
      <c r="AG32" s="237"/>
      <c r="AH32" s="237"/>
      <c r="AI32" s="237"/>
      <c r="AJ32" s="237"/>
      <c r="AK32" s="237"/>
      <c r="AL32" s="237"/>
      <c r="AM32" s="243"/>
      <c r="AN32" s="240"/>
      <c r="AO32" s="234"/>
      <c r="AP32" s="259"/>
      <c r="AQ32" s="259"/>
      <c r="AR32" s="259"/>
      <c r="AS32" s="259"/>
      <c r="AT32" s="259"/>
      <c r="AU32" s="259"/>
    </row>
    <row r="33" spans="1:47">
      <c r="A33" s="228" t="s">
        <v>283</v>
      </c>
      <c r="B33" s="240">
        <v>619.92999999999995</v>
      </c>
      <c r="C33" s="228">
        <v>66.001000000000005</v>
      </c>
      <c r="D33" s="228" t="s">
        <v>300</v>
      </c>
      <c r="E33" s="237">
        <v>0.50197000000000003</v>
      </c>
      <c r="F33" s="109">
        <v>5.1780412109700816E-2</v>
      </c>
      <c r="G33" s="238" t="s">
        <v>111</v>
      </c>
      <c r="H33" s="110">
        <v>2.085182970342772E-4</v>
      </c>
      <c r="I33" s="109">
        <v>2.2075657832741496E-2</v>
      </c>
      <c r="J33" s="238" t="s">
        <v>111</v>
      </c>
      <c r="K33" s="109">
        <v>2.366936854684731E-3</v>
      </c>
      <c r="L33" s="109">
        <v>2.2240693995011794E-2</v>
      </c>
      <c r="M33" s="238" t="s">
        <v>111</v>
      </c>
      <c r="N33" s="109">
        <v>2.2748769955761449E-3</v>
      </c>
      <c r="O33" s="242">
        <v>0.65735977293541359</v>
      </c>
      <c r="P33" s="238" t="s">
        <v>111</v>
      </c>
      <c r="Q33" s="109">
        <v>5.0784013002076918E-2</v>
      </c>
      <c r="R33" s="109">
        <v>0.85289882780679527</v>
      </c>
      <c r="S33" s="238" t="s">
        <v>111</v>
      </c>
      <c r="T33" s="109">
        <v>4.5984263297080948E-2</v>
      </c>
      <c r="U33" s="109">
        <v>4.8192201736943066</v>
      </c>
      <c r="V33" s="238" t="s">
        <v>111</v>
      </c>
      <c r="W33" s="109">
        <v>0.2944305678685003</v>
      </c>
      <c r="X33" s="243">
        <v>506.3342236821976</v>
      </c>
      <c r="Y33" s="238" t="s">
        <v>111</v>
      </c>
      <c r="Z33" s="240">
        <v>31.001647612066037</v>
      </c>
      <c r="AA33" s="110">
        <v>1.1179974416647191</v>
      </c>
      <c r="AB33" s="238" t="s">
        <v>111</v>
      </c>
      <c r="AC33" s="110">
        <v>5.9777758589215635E-3</v>
      </c>
      <c r="AD33" s="229">
        <f t="shared" ref="AD33:AD48" si="3">AA33-X33*(EXP(1.666*10^-11*C33*10^6)-1)</f>
        <v>0.56093793845751927</v>
      </c>
      <c r="AE33" s="109"/>
      <c r="AF33" s="109"/>
      <c r="AG33" s="237"/>
      <c r="AH33" s="237"/>
      <c r="AI33" s="237"/>
      <c r="AJ33" s="237"/>
      <c r="AK33" s="237"/>
      <c r="AL33" s="237"/>
      <c r="AM33" s="243"/>
      <c r="AN33" s="240"/>
      <c r="AO33" s="260"/>
      <c r="AP33" s="261"/>
      <c r="AQ33" s="261"/>
      <c r="AR33" s="261"/>
      <c r="AS33" s="261"/>
      <c r="AT33" s="259"/>
      <c r="AU33" s="259"/>
    </row>
    <row r="34" spans="1:47">
      <c r="A34" s="228" t="s">
        <v>284</v>
      </c>
      <c r="B34" s="240">
        <v>627.49</v>
      </c>
      <c r="C34" s="228">
        <v>66.001000000000005</v>
      </c>
      <c r="D34" s="228" t="s">
        <v>300</v>
      </c>
      <c r="E34" s="237">
        <v>0.50031999999999999</v>
      </c>
      <c r="F34" s="109">
        <v>2.317762630980242E-2</v>
      </c>
      <c r="G34" s="238" t="s">
        <v>111</v>
      </c>
      <c r="H34" s="110">
        <v>1.9374355816128766E-4</v>
      </c>
      <c r="I34" s="109">
        <v>2.1122040742402433E-2</v>
      </c>
      <c r="J34" s="238" t="s">
        <v>111</v>
      </c>
      <c r="K34" s="109">
        <v>3.1676239113474359E-3</v>
      </c>
      <c r="L34" s="109">
        <v>1.4256882962692594E-2</v>
      </c>
      <c r="M34" s="238" t="s">
        <v>111</v>
      </c>
      <c r="N34" s="109">
        <v>2.4713008425228814E-3</v>
      </c>
      <c r="O34" s="242">
        <v>0.767977535546009</v>
      </c>
      <c r="P34" s="238" t="s">
        <v>111</v>
      </c>
      <c r="Q34" s="109">
        <v>5.1925401244211515E-2</v>
      </c>
      <c r="R34" s="109">
        <v>0.96557687986731877</v>
      </c>
      <c r="S34" s="238" t="s">
        <v>111</v>
      </c>
      <c r="T34" s="109">
        <v>4.8986399467567034E-2</v>
      </c>
      <c r="U34" s="109">
        <v>2.6107569579952523</v>
      </c>
      <c r="V34" s="238" t="s">
        <v>111</v>
      </c>
      <c r="W34" s="109">
        <v>0.11409449087086339</v>
      </c>
      <c r="X34" s="243">
        <v>653.56374230018048</v>
      </c>
      <c r="Y34" s="238" t="s">
        <v>111</v>
      </c>
      <c r="Z34" s="240">
        <v>29.079634488304727</v>
      </c>
      <c r="AA34" s="110">
        <v>1.6936855005510654</v>
      </c>
      <c r="AB34" s="238" t="s">
        <v>111</v>
      </c>
      <c r="AC34" s="110">
        <v>2.0107881595962884E-2</v>
      </c>
      <c r="AD34" s="229">
        <f t="shared" si="3"/>
        <v>0.97464681706580847</v>
      </c>
      <c r="AE34" s="109"/>
      <c r="AF34" s="109"/>
      <c r="AG34" s="237"/>
      <c r="AH34" s="237"/>
      <c r="AI34" s="237"/>
      <c r="AJ34" s="237"/>
      <c r="AK34" s="237"/>
      <c r="AL34" s="237"/>
      <c r="AM34" s="243"/>
      <c r="AN34" s="240"/>
      <c r="AO34" s="260"/>
      <c r="AP34" s="261"/>
      <c r="AQ34" s="261"/>
      <c r="AR34" s="261"/>
      <c r="AS34" s="261"/>
      <c r="AT34" s="259"/>
      <c r="AU34" s="259"/>
    </row>
    <row r="35" spans="1:47">
      <c r="A35" s="228" t="s">
        <v>285</v>
      </c>
      <c r="B35" s="240">
        <v>633.34</v>
      </c>
      <c r="C35" s="228">
        <v>66.001000000000005</v>
      </c>
      <c r="D35" s="228" t="s">
        <v>300</v>
      </c>
      <c r="E35" s="237">
        <v>0.50019000000000002</v>
      </c>
      <c r="F35" s="109">
        <v>2.0815820013280344E-2</v>
      </c>
      <c r="G35" s="238" t="s">
        <v>111</v>
      </c>
      <c r="H35" s="110">
        <v>1.9190661994766589E-4</v>
      </c>
      <c r="I35" s="109">
        <v>2.8738297543214948E-2</v>
      </c>
      <c r="J35" s="238" t="s">
        <v>111</v>
      </c>
      <c r="K35" s="109">
        <v>4.390575588500709E-3</v>
      </c>
      <c r="L35" s="109">
        <v>1.6428251726112727E-2</v>
      </c>
      <c r="M35" s="238" t="s">
        <v>111</v>
      </c>
      <c r="N35" s="109">
        <v>6.684137490065775E-3</v>
      </c>
      <c r="O35" s="242">
        <v>0.65953146231381798</v>
      </c>
      <c r="P35" s="238" t="s">
        <v>111</v>
      </c>
      <c r="Q35" s="109">
        <v>4.6956369857232547E-2</v>
      </c>
      <c r="R35" s="109">
        <v>0.96400628941683464</v>
      </c>
      <c r="S35" s="238" t="s">
        <v>111</v>
      </c>
      <c r="T35" s="109">
        <v>3.9521677739653434E-2</v>
      </c>
      <c r="U35" s="109">
        <v>2.5983654396778717</v>
      </c>
      <c r="V35" s="238" t="s">
        <v>111</v>
      </c>
      <c r="W35" s="109">
        <v>0.11670339515202524</v>
      </c>
      <c r="X35" s="243">
        <v>738.80380807531071</v>
      </c>
      <c r="Y35" s="238" t="s">
        <v>111</v>
      </c>
      <c r="Z35" s="240">
        <v>33.874589359408688</v>
      </c>
      <c r="AA35" s="110">
        <v>1.8790047320238461</v>
      </c>
      <c r="AB35" s="238" t="s">
        <v>111</v>
      </c>
      <c r="AC35" s="110">
        <v>2.5282843903755681E-2</v>
      </c>
      <c r="AD35" s="229">
        <f t="shared" si="3"/>
        <v>1.0661865122695844</v>
      </c>
      <c r="AE35" s="109"/>
      <c r="AF35" s="109"/>
      <c r="AG35" s="237"/>
      <c r="AH35" s="237"/>
      <c r="AI35" s="237"/>
      <c r="AJ35" s="237"/>
      <c r="AK35" s="237"/>
      <c r="AL35" s="237"/>
      <c r="AM35" s="243"/>
      <c r="AN35" s="240"/>
      <c r="AO35" s="260"/>
      <c r="AP35" s="261"/>
      <c r="AQ35" s="261"/>
      <c r="AR35" s="261"/>
      <c r="AS35" s="261"/>
      <c r="AT35" s="259"/>
      <c r="AU35" s="259"/>
    </row>
    <row r="36" spans="1:47">
      <c r="A36" s="228" t="s">
        <v>286</v>
      </c>
      <c r="B36" s="240">
        <v>639.28</v>
      </c>
      <c r="C36" s="228">
        <v>66.001000000000005</v>
      </c>
      <c r="D36" s="228" t="s">
        <v>300</v>
      </c>
      <c r="E36" s="237">
        <v>0.50029999999999997</v>
      </c>
      <c r="F36" s="109">
        <v>2.0943877679792704E-2</v>
      </c>
      <c r="G36" s="238" t="s">
        <v>111</v>
      </c>
      <c r="H36" s="110">
        <v>1.8632155159171795E-4</v>
      </c>
      <c r="I36" s="109">
        <v>2.595208238958387E-2</v>
      </c>
      <c r="J36" s="238" t="s">
        <v>111</v>
      </c>
      <c r="K36" s="109">
        <v>3.192395109454352E-3</v>
      </c>
      <c r="L36" s="109">
        <v>1.6020966969314352E-2</v>
      </c>
      <c r="M36" s="238" t="s">
        <v>111</v>
      </c>
      <c r="N36" s="109">
        <v>3.7141290709499695E-3</v>
      </c>
      <c r="O36" s="242">
        <v>0.86808202548524238</v>
      </c>
      <c r="P36" s="238" t="s">
        <v>111</v>
      </c>
      <c r="Q36" s="109">
        <v>8.1582060418003963E-2</v>
      </c>
      <c r="R36" s="109">
        <v>1.0757138585780099</v>
      </c>
      <c r="S36" s="238" t="s">
        <v>111</v>
      </c>
      <c r="T36" s="109">
        <v>4.8633974269420024E-2</v>
      </c>
      <c r="U36" s="109">
        <v>2.8600315409866348</v>
      </c>
      <c r="V36" s="238" t="s">
        <v>111</v>
      </c>
      <c r="W36" s="109">
        <v>0.129645676044393</v>
      </c>
      <c r="X36" s="243">
        <v>811.0980865003711</v>
      </c>
      <c r="Y36" s="238" t="s">
        <v>111</v>
      </c>
      <c r="Z36" s="240">
        <v>37.46857013422629</v>
      </c>
      <c r="AA36" s="110">
        <v>1.9123955837647209</v>
      </c>
      <c r="AB36" s="238" t="s">
        <v>111</v>
      </c>
      <c r="AC36" s="110">
        <v>2.4230132978161567E-2</v>
      </c>
      <c r="AD36" s="229">
        <f t="shared" si="3"/>
        <v>1.0200405424001859</v>
      </c>
      <c r="AE36" s="109"/>
      <c r="AF36" s="109"/>
      <c r="AG36" s="237"/>
      <c r="AH36" s="237"/>
      <c r="AI36" s="237"/>
      <c r="AJ36" s="237"/>
      <c r="AK36" s="237"/>
      <c r="AL36" s="237"/>
      <c r="AM36" s="243"/>
      <c r="AN36" s="240"/>
      <c r="AO36" s="260"/>
      <c r="AP36" s="261"/>
      <c r="AQ36" s="261"/>
      <c r="AR36" s="261"/>
      <c r="AS36" s="261"/>
      <c r="AT36" s="259"/>
      <c r="AU36" s="259"/>
    </row>
    <row r="37" spans="1:47">
      <c r="A37" s="228" t="s">
        <v>287</v>
      </c>
      <c r="B37" s="240">
        <v>645.55000000000007</v>
      </c>
      <c r="C37" s="228">
        <v>66.001000000000005</v>
      </c>
      <c r="D37" s="228" t="s">
        <v>300</v>
      </c>
      <c r="E37" s="237">
        <v>0.49964999999999998</v>
      </c>
      <c r="F37" s="109">
        <v>2.3159764265586118E-2</v>
      </c>
      <c r="G37" s="238" t="s">
        <v>111</v>
      </c>
      <c r="H37" s="110">
        <v>2.2213451208543761E-4</v>
      </c>
      <c r="I37" s="109">
        <v>1.5156291197396378E-2</v>
      </c>
      <c r="J37" s="238" t="s">
        <v>111</v>
      </c>
      <c r="K37" s="109">
        <v>1.7459076170300298E-3</v>
      </c>
      <c r="L37" s="109">
        <v>1.1509598515157558E-2</v>
      </c>
      <c r="M37" s="238" t="s">
        <v>111</v>
      </c>
      <c r="N37" s="109">
        <v>3.3755799126897832E-3</v>
      </c>
      <c r="O37" s="242">
        <v>0.72716428871791472</v>
      </c>
      <c r="P37" s="238" t="s">
        <v>111</v>
      </c>
      <c r="Q37" s="109">
        <v>5.22654303760475E-2</v>
      </c>
      <c r="R37" s="109">
        <v>0.99208670752697092</v>
      </c>
      <c r="S37" s="238" t="s">
        <v>111</v>
      </c>
      <c r="T37" s="109">
        <v>4.0904103038303691E-2</v>
      </c>
      <c r="U37" s="109">
        <v>1.7338090074661501</v>
      </c>
      <c r="V37" s="238" t="s">
        <v>111</v>
      </c>
      <c r="W37" s="109">
        <v>7.8103098782543706E-2</v>
      </c>
      <c r="X37" s="243">
        <v>427.64998953499924</v>
      </c>
      <c r="Y37" s="238" t="s">
        <v>111</v>
      </c>
      <c r="Z37" s="240">
        <v>19.696231436525718</v>
      </c>
      <c r="AA37" s="110">
        <v>1.550914464965665</v>
      </c>
      <c r="AB37" s="238" t="s">
        <v>111</v>
      </c>
      <c r="AC37" s="110">
        <v>2.2956397674595452E-2</v>
      </c>
      <c r="AD37" s="229">
        <f t="shared" si="3"/>
        <v>1.0804218939036414</v>
      </c>
      <c r="AE37" s="109"/>
      <c r="AF37" s="109"/>
      <c r="AG37" s="237"/>
      <c r="AH37" s="237"/>
      <c r="AI37" s="237"/>
      <c r="AJ37" s="237"/>
      <c r="AK37" s="237"/>
      <c r="AL37" s="237"/>
      <c r="AM37" s="243"/>
      <c r="AN37" s="240"/>
      <c r="AO37" s="260"/>
      <c r="AP37" s="261"/>
      <c r="AQ37" s="261"/>
      <c r="AR37" s="261"/>
      <c r="AS37" s="261"/>
      <c r="AT37" s="259"/>
      <c r="AU37" s="259"/>
    </row>
    <row r="38" spans="1:47">
      <c r="A38" s="228" t="s">
        <v>288</v>
      </c>
      <c r="B38" s="240">
        <v>650.04000000000008</v>
      </c>
      <c r="C38" s="228">
        <v>66.001000000000005</v>
      </c>
      <c r="D38" s="228" t="s">
        <v>300</v>
      </c>
      <c r="E38" s="237">
        <v>0.50029000000000001</v>
      </c>
      <c r="F38" s="109">
        <v>2.3163052822059695E-2</v>
      </c>
      <c r="G38" s="238" t="s">
        <v>111</v>
      </c>
      <c r="H38" s="110">
        <v>2.0765062760752303E-4</v>
      </c>
      <c r="I38" s="109">
        <v>2.818395018308505E-2</v>
      </c>
      <c r="J38" s="238" t="s">
        <v>111</v>
      </c>
      <c r="K38" s="109">
        <v>3.6944951083235597E-3</v>
      </c>
      <c r="L38" s="109">
        <v>1.0944429951750574E-2</v>
      </c>
      <c r="M38" s="238" t="s">
        <v>111</v>
      </c>
      <c r="N38" s="109">
        <v>2.8261406860170162E-3</v>
      </c>
      <c r="O38" s="242">
        <v>0.64575675810475264</v>
      </c>
      <c r="P38" s="238" t="s">
        <v>111</v>
      </c>
      <c r="Q38" s="109">
        <v>4.5130798273252851E-2</v>
      </c>
      <c r="R38" s="109">
        <v>0.795733318012249</v>
      </c>
      <c r="S38" s="238" t="s">
        <v>111</v>
      </c>
      <c r="T38" s="109">
        <v>2.711739965517463E-2</v>
      </c>
      <c r="U38" s="109">
        <v>2.897660302052965</v>
      </c>
      <c r="V38" s="238" t="s">
        <v>111</v>
      </c>
      <c r="W38" s="109">
        <v>0.1187367338507956</v>
      </c>
      <c r="X38" s="243">
        <v>808.36557563298175</v>
      </c>
      <c r="Y38" s="238" t="s">
        <v>111</v>
      </c>
      <c r="Z38" s="240">
        <v>33.907649468043871</v>
      </c>
      <c r="AA38" s="110">
        <v>2.7432473598716371</v>
      </c>
      <c r="AB38" s="238" t="s">
        <v>111</v>
      </c>
      <c r="AC38" s="110">
        <v>3.9339242866148538E-2</v>
      </c>
      <c r="AD38" s="229">
        <f t="shared" si="3"/>
        <v>1.8538985761825693</v>
      </c>
      <c r="AE38" s="109"/>
      <c r="AF38" s="109"/>
      <c r="AG38" s="237"/>
      <c r="AH38" s="237"/>
      <c r="AI38" s="237"/>
      <c r="AJ38" s="237"/>
      <c r="AK38" s="237"/>
      <c r="AL38" s="237"/>
      <c r="AM38" s="243"/>
      <c r="AN38" s="240"/>
      <c r="AO38" s="260"/>
      <c r="AP38" s="261"/>
      <c r="AQ38" s="261"/>
      <c r="AR38" s="261"/>
      <c r="AS38" s="261"/>
      <c r="AT38" s="259"/>
      <c r="AU38" s="259"/>
    </row>
    <row r="39" spans="1:47">
      <c r="A39" s="228" t="s">
        <v>289</v>
      </c>
      <c r="B39" s="240">
        <v>657.49</v>
      </c>
      <c r="C39" s="228">
        <v>66.001000000000005</v>
      </c>
      <c r="D39" s="228" t="s">
        <v>300</v>
      </c>
      <c r="E39" s="237">
        <v>0.50075999999999998</v>
      </c>
      <c r="F39" s="109">
        <v>2.0470249188986739E-2</v>
      </c>
      <c r="G39" s="238" t="s">
        <v>111</v>
      </c>
      <c r="H39" s="110">
        <v>1.893647637712054E-4</v>
      </c>
      <c r="I39" s="109">
        <v>3.2792533115398315E-2</v>
      </c>
      <c r="J39" s="238" t="s">
        <v>111</v>
      </c>
      <c r="K39" s="109">
        <v>4.5164764244670615E-3</v>
      </c>
      <c r="L39" s="109">
        <v>1.6742210820234488E-2</v>
      </c>
      <c r="M39" s="238" t="s">
        <v>111</v>
      </c>
      <c r="N39" s="109">
        <v>6.351800957500162E-3</v>
      </c>
      <c r="O39" s="242">
        <v>1.0076770246680711</v>
      </c>
      <c r="P39" s="238" t="s">
        <v>111</v>
      </c>
      <c r="Q39" s="109">
        <v>7.8849464159660793E-2</v>
      </c>
      <c r="R39" s="109">
        <v>1.0454492820607786</v>
      </c>
      <c r="S39" s="238" t="s">
        <v>111</v>
      </c>
      <c r="T39" s="109">
        <v>3.4547868867462708E-2</v>
      </c>
      <c r="U39" s="109">
        <v>1.8410578382322242</v>
      </c>
      <c r="V39" s="238" t="s">
        <v>111</v>
      </c>
      <c r="W39" s="109">
        <v>7.2583773519742073E-2</v>
      </c>
      <c r="X39" s="243">
        <v>535.48205345618612</v>
      </c>
      <c r="Y39" s="238" t="s">
        <v>111</v>
      </c>
      <c r="Z39" s="240">
        <v>21.684772486401318</v>
      </c>
      <c r="AA39" s="110">
        <v>1.9350741858104439</v>
      </c>
      <c r="AB39" s="238" t="s">
        <v>111</v>
      </c>
      <c r="AC39" s="110">
        <v>2.5874265462843993E-2</v>
      </c>
      <c r="AD39" s="229">
        <f t="shared" si="3"/>
        <v>1.3459467819676012</v>
      </c>
      <c r="AE39" s="109"/>
      <c r="AF39" s="109"/>
      <c r="AG39" s="237"/>
      <c r="AH39" s="237"/>
      <c r="AI39" s="237"/>
      <c r="AJ39" s="237"/>
      <c r="AK39" s="237"/>
      <c r="AL39" s="237"/>
      <c r="AM39" s="243"/>
      <c r="AN39" s="240"/>
      <c r="AO39" s="260"/>
      <c r="AP39" s="261"/>
      <c r="AQ39" s="261"/>
      <c r="AR39" s="261"/>
      <c r="AS39" s="261"/>
      <c r="AT39" s="259"/>
      <c r="AU39" s="259"/>
    </row>
    <row r="40" spans="1:47">
      <c r="A40" s="228" t="s">
        <v>290</v>
      </c>
      <c r="B40" s="240">
        <v>721.01</v>
      </c>
      <c r="C40" s="228">
        <v>66.001000000000005</v>
      </c>
      <c r="D40" s="228" t="s">
        <v>301</v>
      </c>
      <c r="E40" s="237">
        <v>0.50019999999999998</v>
      </c>
      <c r="F40" s="109">
        <v>2.2105119198853416E-2</v>
      </c>
      <c r="G40" s="238" t="s">
        <v>111</v>
      </c>
      <c r="H40" s="110">
        <v>1.9421201098741983E-4</v>
      </c>
      <c r="I40" s="109">
        <v>1.843317428596496E-2</v>
      </c>
      <c r="J40" s="238" t="s">
        <v>111</v>
      </c>
      <c r="K40" s="109">
        <v>2.2390190572484543E-3</v>
      </c>
      <c r="L40" s="109">
        <v>1.7292157607692954E-2</v>
      </c>
      <c r="M40" s="238" t="s">
        <v>111</v>
      </c>
      <c r="N40" s="109">
        <v>5.349395121370927E-3</v>
      </c>
      <c r="O40" s="242">
        <v>0.83840619583380238</v>
      </c>
      <c r="P40" s="238" t="s">
        <v>111</v>
      </c>
      <c r="Q40" s="109">
        <v>5.5659198367870692E-2</v>
      </c>
      <c r="R40" s="109">
        <v>1.0379973443242658</v>
      </c>
      <c r="S40" s="238" t="s">
        <v>111</v>
      </c>
      <c r="T40" s="109">
        <v>4.3615863872717701E-2</v>
      </c>
      <c r="U40" s="109">
        <v>1.4219533739574939</v>
      </c>
      <c r="V40" s="238" t="s">
        <v>111</v>
      </c>
      <c r="W40" s="109">
        <v>5.007838547922995E-2</v>
      </c>
      <c r="X40" s="243">
        <v>365.01230119599705</v>
      </c>
      <c r="Y40" s="238" t="s">
        <v>111</v>
      </c>
      <c r="Z40" s="240">
        <v>13.248991474739194</v>
      </c>
      <c r="AA40" s="110">
        <v>1.4902948628087969</v>
      </c>
      <c r="AB40" s="238" t="s">
        <v>111</v>
      </c>
      <c r="AC40" s="110">
        <v>1.8904089131788315E-2</v>
      </c>
      <c r="AD40" s="229">
        <f t="shared" si="3"/>
        <v>1.0887151124019154</v>
      </c>
      <c r="AE40" s="109"/>
      <c r="AF40" s="109"/>
      <c r="AG40" s="237"/>
      <c r="AH40" s="237"/>
      <c r="AI40" s="237"/>
      <c r="AJ40" s="237"/>
      <c r="AK40" s="237"/>
      <c r="AL40" s="237"/>
      <c r="AM40" s="243"/>
      <c r="AN40" s="240"/>
      <c r="AO40" s="260"/>
      <c r="AP40" s="261"/>
      <c r="AQ40" s="261"/>
      <c r="AR40" s="261"/>
      <c r="AS40" s="261"/>
      <c r="AT40" s="259"/>
      <c r="AU40" s="259"/>
    </row>
    <row r="41" spans="1:47">
      <c r="A41" s="228" t="s">
        <v>291</v>
      </c>
      <c r="B41" s="240">
        <v>721.01</v>
      </c>
      <c r="C41" s="228">
        <v>66.001000000000005</v>
      </c>
      <c r="D41" s="228" t="s">
        <v>301</v>
      </c>
      <c r="E41" s="237">
        <v>0.50168000000000001</v>
      </c>
      <c r="F41" s="109">
        <v>3.5072769318648084E-2</v>
      </c>
      <c r="G41" s="238" t="s">
        <v>111</v>
      </c>
      <c r="H41" s="110">
        <v>2.1092073978103235E-4</v>
      </c>
      <c r="I41" s="109">
        <v>2.3163474005278815E-2</v>
      </c>
      <c r="J41" s="238" t="s">
        <v>111</v>
      </c>
      <c r="K41" s="109">
        <v>2.4981462054485268E-3</v>
      </c>
      <c r="L41" s="109">
        <v>5.3499143579768316E-2</v>
      </c>
      <c r="M41" s="238" t="s">
        <v>111</v>
      </c>
      <c r="N41" s="109">
        <v>7.2089652866108057E-3</v>
      </c>
      <c r="O41" s="242">
        <v>0.80673128708377073</v>
      </c>
      <c r="P41" s="238" t="s">
        <v>111</v>
      </c>
      <c r="Q41" s="109">
        <v>4.8093555858499351E-2</v>
      </c>
      <c r="R41" s="109">
        <v>1.0262374989974283</v>
      </c>
      <c r="S41" s="238" t="s">
        <v>111</v>
      </c>
      <c r="T41" s="109">
        <v>4.5266088956862863E-2</v>
      </c>
      <c r="U41" s="109">
        <v>1.5440221844161854</v>
      </c>
      <c r="V41" s="238" t="s">
        <v>111</v>
      </c>
      <c r="W41" s="109">
        <v>1.4797743602416171E-2</v>
      </c>
      <c r="X41" s="243">
        <v>235.2808255063367</v>
      </c>
      <c r="Y41" s="238" t="s">
        <v>111</v>
      </c>
      <c r="Z41" s="240">
        <v>2.6620737616096886</v>
      </c>
      <c r="AA41" s="110">
        <v>0.96543355950163445</v>
      </c>
      <c r="AB41" s="238" t="s">
        <v>111</v>
      </c>
      <c r="AC41" s="110">
        <v>6.3970780019482754E-3</v>
      </c>
      <c r="AD41" s="229">
        <f t="shared" si="3"/>
        <v>0.70658196772575743</v>
      </c>
      <c r="AE41" s="109"/>
      <c r="AF41" s="109"/>
      <c r="AG41" s="237"/>
      <c r="AH41" s="237"/>
      <c r="AI41" s="237"/>
      <c r="AJ41" s="237"/>
      <c r="AK41" s="237"/>
      <c r="AL41" s="237"/>
      <c r="AM41" s="243"/>
      <c r="AN41" s="240"/>
      <c r="AO41" s="260"/>
      <c r="AP41" s="261"/>
      <c r="AQ41" s="261"/>
      <c r="AR41" s="261"/>
      <c r="AS41" s="261"/>
      <c r="AT41" s="259"/>
      <c r="AU41" s="259"/>
    </row>
    <row r="42" spans="1:47">
      <c r="A42" s="228" t="s">
        <v>292</v>
      </c>
      <c r="B42" s="240">
        <v>727.42</v>
      </c>
      <c r="C42" s="228">
        <v>66.001000000000005</v>
      </c>
      <c r="D42" s="228" t="s">
        <v>301</v>
      </c>
      <c r="E42" s="237">
        <v>0.50105999999999995</v>
      </c>
      <c r="F42" s="109">
        <v>4.6370125914114851E-2</v>
      </c>
      <c r="G42" s="238" t="s">
        <v>111</v>
      </c>
      <c r="H42" s="110">
        <v>6.3089230110942418E-5</v>
      </c>
      <c r="I42" s="109">
        <v>9.7464001871216625E-3</v>
      </c>
      <c r="J42" s="238" t="s">
        <v>111</v>
      </c>
      <c r="K42" s="109">
        <v>1.7516584253741544E-3</v>
      </c>
      <c r="L42" s="109">
        <v>2.1461659017994295E-2</v>
      </c>
      <c r="M42" s="238" t="s">
        <v>111</v>
      </c>
      <c r="N42" s="109">
        <v>4.804347062477096E-3</v>
      </c>
      <c r="O42" s="242">
        <v>0.67051471230416659</v>
      </c>
      <c r="P42" s="238" t="s">
        <v>111</v>
      </c>
      <c r="Q42" s="109">
        <v>4.0112998910185708E-2</v>
      </c>
      <c r="R42" s="109">
        <v>0.78208094028979158</v>
      </c>
      <c r="S42" s="238" t="s">
        <v>111</v>
      </c>
      <c r="T42" s="109">
        <v>3.6590992448494522E-2</v>
      </c>
      <c r="U42" s="109">
        <v>3.0879339664379559</v>
      </c>
      <c r="V42" s="238" t="s">
        <v>111</v>
      </c>
      <c r="W42" s="109">
        <v>2.9847056904243871E-2</v>
      </c>
      <c r="X42" s="243">
        <v>375.62263211918412</v>
      </c>
      <c r="Y42" s="238" t="s">
        <v>111</v>
      </c>
      <c r="Z42" s="240">
        <v>3.6664493866515446</v>
      </c>
      <c r="AA42" s="110">
        <v>1.4364240559148964</v>
      </c>
      <c r="AB42" s="238" t="s">
        <v>111</v>
      </c>
      <c r="AC42" s="110">
        <v>2.9712560960445389E-3</v>
      </c>
      <c r="AD42" s="229">
        <f t="shared" si="3"/>
        <v>1.0231710166081434</v>
      </c>
      <c r="AE42" s="109"/>
      <c r="AF42" s="109"/>
      <c r="AG42" s="237"/>
      <c r="AH42" s="237"/>
      <c r="AI42" s="237"/>
      <c r="AJ42" s="237"/>
      <c r="AK42" s="237"/>
      <c r="AL42" s="237"/>
      <c r="AM42" s="243"/>
      <c r="AN42" s="240"/>
      <c r="AO42" s="260"/>
      <c r="AP42" s="261"/>
      <c r="AQ42" s="261"/>
      <c r="AR42" s="261"/>
      <c r="AS42" s="261"/>
      <c r="AT42" s="259"/>
      <c r="AU42" s="259"/>
    </row>
    <row r="43" spans="1:47">
      <c r="A43" s="228" t="s">
        <v>293</v>
      </c>
      <c r="B43" s="240">
        <v>732.03</v>
      </c>
      <c r="C43" s="228">
        <v>66.001000000000005</v>
      </c>
      <c r="D43" s="228" t="s">
        <v>301</v>
      </c>
      <c r="E43" s="237">
        <v>0.50036000000000003</v>
      </c>
      <c r="F43" s="109">
        <v>1.7728860064761213E-2</v>
      </c>
      <c r="G43" s="238" t="s">
        <v>111</v>
      </c>
      <c r="H43" s="110">
        <v>1.840854189559111E-4</v>
      </c>
      <c r="I43" s="109">
        <v>2.9490156001741978E-2</v>
      </c>
      <c r="J43" s="238" t="s">
        <v>111</v>
      </c>
      <c r="K43" s="109">
        <v>1.9579303440343597E-3</v>
      </c>
      <c r="L43" s="109">
        <v>3.0804828601936323E-2</v>
      </c>
      <c r="M43" s="238" t="s">
        <v>111</v>
      </c>
      <c r="N43" s="109">
        <v>9.8063714694575175E-3</v>
      </c>
      <c r="O43" s="242">
        <v>1.1994058123548195</v>
      </c>
      <c r="P43" s="238" t="s">
        <v>111</v>
      </c>
      <c r="Q43" s="109">
        <v>7.2015173664621124E-2</v>
      </c>
      <c r="R43" s="109">
        <v>1.1608524452719953</v>
      </c>
      <c r="S43" s="238" t="s">
        <v>111</v>
      </c>
      <c r="T43" s="109">
        <v>4.0165536801403792E-2</v>
      </c>
      <c r="U43" s="109">
        <v>0.79056024976382566</v>
      </c>
      <c r="V43" s="238" t="s">
        <v>111</v>
      </c>
      <c r="W43" s="109">
        <v>2.1899815493803255E-2</v>
      </c>
      <c r="X43" s="243">
        <v>254.08162283144753</v>
      </c>
      <c r="Y43" s="238" t="s">
        <v>111</v>
      </c>
      <c r="Z43" s="240">
        <v>7.5166747319872602</v>
      </c>
      <c r="AA43" s="110">
        <v>1.5278762328614142</v>
      </c>
      <c r="AB43" s="238" t="s">
        <v>111</v>
      </c>
      <c r="AC43" s="110">
        <v>2.0194267512719799E-2</v>
      </c>
      <c r="AD43" s="229">
        <f t="shared" si="3"/>
        <v>1.2483403532614556</v>
      </c>
      <c r="AE43" s="109"/>
      <c r="AF43" s="109"/>
      <c r="AG43" s="237"/>
      <c r="AH43" s="237"/>
      <c r="AI43" s="237"/>
      <c r="AJ43" s="237"/>
      <c r="AK43" s="237"/>
      <c r="AL43" s="237"/>
      <c r="AM43" s="243"/>
      <c r="AN43" s="240"/>
      <c r="AO43" s="260"/>
      <c r="AP43" s="261"/>
      <c r="AQ43" s="261"/>
      <c r="AR43" s="261"/>
      <c r="AS43" s="261"/>
      <c r="AT43" s="259"/>
      <c r="AU43" s="259"/>
    </row>
    <row r="44" spans="1:47">
      <c r="A44" s="228" t="s">
        <v>294</v>
      </c>
      <c r="B44" s="240">
        <v>738.62</v>
      </c>
      <c r="C44" s="228">
        <v>66.001000000000005</v>
      </c>
      <c r="D44" s="228" t="s">
        <v>301</v>
      </c>
      <c r="E44" s="237">
        <v>0.50009999999999999</v>
      </c>
      <c r="F44" s="109">
        <v>2.6708377426614926E-2</v>
      </c>
      <c r="G44" s="238" t="s">
        <v>111</v>
      </c>
      <c r="H44" s="110">
        <v>2.1070492278620721E-4</v>
      </c>
      <c r="I44" s="109">
        <v>2.0055653141212847E-2</v>
      </c>
      <c r="J44" s="238" t="s">
        <v>111</v>
      </c>
      <c r="K44" s="109">
        <v>1.8839619014228428E-3</v>
      </c>
      <c r="L44" s="109">
        <v>3.9205601801826258E-2</v>
      </c>
      <c r="M44" s="238" t="s">
        <v>111</v>
      </c>
      <c r="N44" s="109">
        <v>3.0470981184176032E-3</v>
      </c>
      <c r="O44" s="242">
        <v>1.0437306892711447</v>
      </c>
      <c r="P44" s="238" t="s">
        <v>111</v>
      </c>
      <c r="Q44" s="109">
        <v>7.0062740426750966E-2</v>
      </c>
      <c r="R44" s="109">
        <v>0.86645122996100832</v>
      </c>
      <c r="S44" s="238" t="s">
        <v>111</v>
      </c>
      <c r="T44" s="109">
        <v>2.9818563937637585E-2</v>
      </c>
      <c r="U44" s="109">
        <v>0.59556132253214822</v>
      </c>
      <c r="V44" s="238" t="s">
        <v>111</v>
      </c>
      <c r="W44" s="109">
        <v>1.630598191792243E-2</v>
      </c>
      <c r="X44" s="243">
        <v>118.29174420782812</v>
      </c>
      <c r="Y44" s="238" t="s">
        <v>111</v>
      </c>
      <c r="Z44" s="240">
        <v>3.3704999165671472</v>
      </c>
      <c r="AA44" s="110">
        <v>0.90247305992215721</v>
      </c>
      <c r="AB44" s="238" t="s">
        <v>111</v>
      </c>
      <c r="AC44" s="110">
        <v>9.9724504179192208E-3</v>
      </c>
      <c r="AD44" s="229">
        <f t="shared" si="3"/>
        <v>0.77233068127211069</v>
      </c>
      <c r="AE44" s="109"/>
      <c r="AF44" s="109"/>
      <c r="AG44" s="237"/>
      <c r="AH44" s="237"/>
      <c r="AI44" s="237"/>
      <c r="AJ44" s="237"/>
      <c r="AK44" s="237"/>
      <c r="AL44" s="237"/>
      <c r="AM44" s="243"/>
      <c r="AN44" s="240"/>
      <c r="AO44" s="260"/>
      <c r="AP44" s="261"/>
      <c r="AQ44" s="261"/>
      <c r="AR44" s="261"/>
      <c r="AS44" s="261"/>
      <c r="AT44" s="259"/>
      <c r="AU44" s="259"/>
    </row>
    <row r="45" spans="1:47">
      <c r="A45" s="228" t="s">
        <v>295</v>
      </c>
      <c r="B45" s="240">
        <v>744.2</v>
      </c>
      <c r="C45" s="228">
        <v>66.001000000000005</v>
      </c>
      <c r="D45" s="228" t="s">
        <v>301</v>
      </c>
      <c r="E45" s="237">
        <v>0.50082000000000004</v>
      </c>
      <c r="F45" s="109">
        <v>1.1199512511647691E-2</v>
      </c>
      <c r="G45" s="238" t="s">
        <v>111</v>
      </c>
      <c r="H45" s="110">
        <v>1.8421802082446462E-4</v>
      </c>
      <c r="I45" s="109">
        <v>1.8080017734382191E-2</v>
      </c>
      <c r="J45" s="238" t="s">
        <v>111</v>
      </c>
      <c r="K45" s="109">
        <v>1.9501218841160976E-3</v>
      </c>
      <c r="L45" s="109">
        <v>2.2245970729172469E-2</v>
      </c>
      <c r="M45" s="238" t="s">
        <v>111</v>
      </c>
      <c r="N45" s="109">
        <v>2.9114132033340886E-3</v>
      </c>
      <c r="O45" s="242">
        <v>0.86851779837511611</v>
      </c>
      <c r="P45" s="238" t="s">
        <v>111</v>
      </c>
      <c r="Q45" s="109">
        <v>4.8945347332541481E-2</v>
      </c>
      <c r="R45" s="109">
        <v>1.1058710370588869</v>
      </c>
      <c r="S45" s="238" t="s">
        <v>111</v>
      </c>
      <c r="T45" s="109">
        <v>3.9931915547023765E-2</v>
      </c>
      <c r="U45" s="109">
        <v>0.35006490674234686</v>
      </c>
      <c r="V45" s="238" t="s">
        <v>111</v>
      </c>
      <c r="W45" s="109">
        <v>7.3170029499537576E-3</v>
      </c>
      <c r="X45" s="243">
        <v>174.98309441411558</v>
      </c>
      <c r="Y45" s="238" t="s">
        <v>111</v>
      </c>
      <c r="Z45" s="240">
        <v>4.6541841478531865</v>
      </c>
      <c r="AA45" s="110">
        <v>1.3691236782615979</v>
      </c>
      <c r="AB45" s="238" t="s">
        <v>111</v>
      </c>
      <c r="AC45" s="110">
        <v>2.7730962680455939E-2</v>
      </c>
      <c r="AD45" s="229">
        <f t="shared" si="3"/>
        <v>1.176610529663594</v>
      </c>
      <c r="AE45" s="109"/>
      <c r="AF45" s="109"/>
      <c r="AG45" s="237"/>
      <c r="AH45" s="237"/>
      <c r="AI45" s="237"/>
      <c r="AJ45" s="237"/>
      <c r="AK45" s="237"/>
      <c r="AL45" s="237"/>
      <c r="AM45" s="243"/>
      <c r="AN45" s="240"/>
      <c r="AO45" s="260"/>
      <c r="AP45" s="261"/>
      <c r="AQ45" s="261"/>
      <c r="AR45" s="261"/>
      <c r="AS45" s="261"/>
      <c r="AT45" s="259"/>
      <c r="AU45" s="259"/>
    </row>
    <row r="46" spans="1:47">
      <c r="A46" s="228" t="s">
        <v>296</v>
      </c>
      <c r="B46" s="240">
        <v>744.87</v>
      </c>
      <c r="C46" s="228">
        <v>66.001000000000005</v>
      </c>
      <c r="D46" s="228" t="s">
        <v>302</v>
      </c>
      <c r="E46" s="237">
        <v>0.50316000000000005</v>
      </c>
      <c r="F46" s="109">
        <v>1.742899422600398E-3</v>
      </c>
      <c r="G46" s="238" t="s">
        <v>111</v>
      </c>
      <c r="H46" s="110">
        <v>1.8127868752001691E-4</v>
      </c>
      <c r="I46" s="109">
        <v>1.1785125860025962E-2</v>
      </c>
      <c r="J46" s="238" t="s">
        <v>111</v>
      </c>
      <c r="K46" s="109">
        <v>2.7579941516870906E-3</v>
      </c>
      <c r="L46" s="291" t="s">
        <v>299</v>
      </c>
      <c r="M46" s="291"/>
      <c r="N46" s="291"/>
      <c r="O46" s="242">
        <v>8.3007571123937099E-2</v>
      </c>
      <c r="P46" s="238" t="s">
        <v>111</v>
      </c>
      <c r="Q46" s="109">
        <v>1.3422206526675154E-3</v>
      </c>
      <c r="R46" s="109">
        <v>1.355902568442946E-2</v>
      </c>
      <c r="S46" s="238" t="s">
        <v>111</v>
      </c>
      <c r="T46" s="109">
        <v>7.7089644979988633E-4</v>
      </c>
      <c r="U46" s="109">
        <v>0.91392755201872189</v>
      </c>
      <c r="V46" s="238" t="s">
        <v>111</v>
      </c>
      <c r="W46" s="109">
        <v>2.6140382344445625E-2</v>
      </c>
      <c r="X46" s="243">
        <v>3809.9768455145709</v>
      </c>
      <c r="Y46" s="238" t="s">
        <v>111</v>
      </c>
      <c r="Z46" s="240">
        <v>410.98570239465232</v>
      </c>
      <c r="AA46" s="110">
        <v>4.0223696064699146</v>
      </c>
      <c r="AB46" s="238" t="s">
        <v>111</v>
      </c>
      <c r="AC46" s="110">
        <v>0.66537562768311043</v>
      </c>
      <c r="AD46" s="230">
        <f t="shared" si="3"/>
        <v>-0.16929611456063309</v>
      </c>
      <c r="AE46" s="109"/>
      <c r="AF46" s="109"/>
      <c r="AG46" s="237"/>
      <c r="AH46" s="237"/>
      <c r="AI46" s="109"/>
      <c r="AJ46" s="237"/>
      <c r="AK46" s="237"/>
      <c r="AL46" s="237"/>
      <c r="AM46" s="243"/>
      <c r="AN46" s="240"/>
      <c r="AO46" s="260"/>
      <c r="AP46" s="261"/>
      <c r="AQ46" s="261"/>
      <c r="AR46" s="261"/>
      <c r="AS46" s="261"/>
      <c r="AT46" s="259"/>
      <c r="AU46" s="259"/>
    </row>
    <row r="47" spans="1:47">
      <c r="A47" s="228" t="s">
        <v>297</v>
      </c>
      <c r="B47" s="240">
        <v>917.18</v>
      </c>
      <c r="C47" s="228">
        <v>66.001000000000005</v>
      </c>
      <c r="D47" s="228" t="s">
        <v>303</v>
      </c>
      <c r="E47" s="237">
        <v>0.50080999999999998</v>
      </c>
      <c r="F47" s="109">
        <v>0.14627883710944001</v>
      </c>
      <c r="G47" s="238" t="s">
        <v>111</v>
      </c>
      <c r="H47" s="110">
        <v>4.5959542135029204E-4</v>
      </c>
      <c r="I47" s="109">
        <v>8.7840028839585832E-2</v>
      </c>
      <c r="J47" s="238" t="s">
        <v>111</v>
      </c>
      <c r="K47" s="109">
        <v>7.7515716346557824E-3</v>
      </c>
      <c r="L47" s="109">
        <v>0.22647119085179782</v>
      </c>
      <c r="M47" s="238" t="s">
        <v>111</v>
      </c>
      <c r="N47" s="109">
        <v>1.9925105605348391E-2</v>
      </c>
      <c r="O47" s="242">
        <v>1.5033521474268536</v>
      </c>
      <c r="P47" s="238" t="s">
        <v>111</v>
      </c>
      <c r="Q47" s="109">
        <v>0.10934195091740499</v>
      </c>
      <c r="R47" s="109">
        <v>1.8183487467112247</v>
      </c>
      <c r="S47" s="238" t="s">
        <v>111</v>
      </c>
      <c r="T47" s="109">
        <v>9.3556873876070604E-2</v>
      </c>
      <c r="U47" s="109">
        <v>0.35393968733022951</v>
      </c>
      <c r="V47" s="238" t="s">
        <v>111</v>
      </c>
      <c r="W47" s="109">
        <v>4.7107352295655252E-3</v>
      </c>
      <c r="X47" s="243">
        <v>11.753321483071799</v>
      </c>
      <c r="Y47" s="238" t="s">
        <v>111</v>
      </c>
      <c r="Z47" s="240">
        <v>0.16072963696280512</v>
      </c>
      <c r="AA47" s="110">
        <v>0.19067378096156412</v>
      </c>
      <c r="AB47" s="238" t="s">
        <v>111</v>
      </c>
      <c r="AC47" s="110">
        <v>3.6946747098877408E-4</v>
      </c>
      <c r="AD47" s="229">
        <f t="shared" si="3"/>
        <v>0.17774299508898223</v>
      </c>
      <c r="AE47" s="109"/>
      <c r="AF47" s="109"/>
      <c r="AG47" s="237"/>
      <c r="AH47" s="237"/>
      <c r="AI47" s="237"/>
      <c r="AJ47" s="237"/>
      <c r="AK47" s="237"/>
      <c r="AL47" s="237"/>
      <c r="AM47" s="243"/>
      <c r="AN47" s="240"/>
      <c r="AO47" s="260"/>
      <c r="AP47" s="261"/>
      <c r="AQ47" s="261"/>
      <c r="AR47" s="261"/>
      <c r="AS47" s="261"/>
      <c r="AT47" s="259"/>
      <c r="AU47" s="259"/>
    </row>
    <row r="48" spans="1:47">
      <c r="A48" s="228" t="s">
        <v>298</v>
      </c>
      <c r="B48" s="240">
        <v>917.25</v>
      </c>
      <c r="C48" s="228">
        <v>66.001000000000005</v>
      </c>
      <c r="D48" s="228" t="s">
        <v>303</v>
      </c>
      <c r="E48" s="237">
        <v>0.50029999999999997</v>
      </c>
      <c r="F48" s="109">
        <v>7.2047148621121632E-2</v>
      </c>
      <c r="G48" s="238" t="s">
        <v>111</v>
      </c>
      <c r="H48" s="110">
        <v>2.651901243981611E-4</v>
      </c>
      <c r="I48" s="109">
        <v>4.892283221632962E-2</v>
      </c>
      <c r="J48" s="238" t="s">
        <v>111</v>
      </c>
      <c r="K48" s="109">
        <v>4.9583635627096501E-3</v>
      </c>
      <c r="L48" s="109">
        <v>0.1047612184921316</v>
      </c>
      <c r="M48" s="238" t="s">
        <v>111</v>
      </c>
      <c r="N48" s="109">
        <v>5.1280596620001725E-3</v>
      </c>
      <c r="O48" s="242">
        <v>0.68076810347542216</v>
      </c>
      <c r="P48" s="238" t="s">
        <v>111</v>
      </c>
      <c r="Q48" s="109">
        <v>4.2039119449461516E-2</v>
      </c>
      <c r="R48" s="109">
        <v>0.77417993357354442</v>
      </c>
      <c r="S48" s="238" t="s">
        <v>111</v>
      </c>
      <c r="T48" s="109">
        <v>3.023335695741601E-2</v>
      </c>
      <c r="U48" s="109">
        <v>0.15196490662996726</v>
      </c>
      <c r="V48" s="238" t="s">
        <v>111</v>
      </c>
      <c r="W48" s="109">
        <v>3.8131328325019653E-3</v>
      </c>
      <c r="X48" s="243">
        <v>10.235340362973632</v>
      </c>
      <c r="Y48" s="238" t="s">
        <v>111</v>
      </c>
      <c r="Z48" s="240">
        <v>0.25957564884699597</v>
      </c>
      <c r="AA48" s="110">
        <v>0.18290089727512485</v>
      </c>
      <c r="AB48" s="238" t="s">
        <v>111</v>
      </c>
      <c r="AC48" s="110">
        <v>4.7928672665031868E-4</v>
      </c>
      <c r="AD48" s="229">
        <f t="shared" si="3"/>
        <v>0.17164016602079554</v>
      </c>
      <c r="AE48" s="109"/>
      <c r="AF48" s="109"/>
      <c r="AG48" s="237"/>
      <c r="AH48" s="237"/>
      <c r="AI48" s="237"/>
      <c r="AJ48" s="237"/>
      <c r="AK48" s="237"/>
      <c r="AL48" s="237"/>
      <c r="AM48" s="243"/>
      <c r="AN48" s="240"/>
      <c r="AT48" s="259"/>
      <c r="AU48" s="259"/>
    </row>
    <row r="49" spans="1:47" s="234" customFormat="1">
      <c r="A49" s="244" t="s">
        <v>104</v>
      </c>
      <c r="B49" s="231"/>
      <c r="C49" s="231"/>
      <c r="D49" s="231"/>
      <c r="E49" s="231"/>
      <c r="F49" s="231"/>
      <c r="G49" s="231"/>
      <c r="H49" s="245"/>
      <c r="I49" s="231"/>
      <c r="J49" s="231"/>
      <c r="K49" s="245"/>
      <c r="L49" s="231"/>
      <c r="M49" s="231"/>
      <c r="N49" s="245"/>
      <c r="O49" s="231"/>
      <c r="P49" s="231"/>
      <c r="Q49" s="245"/>
      <c r="R49" s="231"/>
      <c r="S49" s="231"/>
      <c r="T49" s="245"/>
      <c r="U49" s="231"/>
      <c r="V49" s="231"/>
      <c r="W49" s="245"/>
      <c r="X49" s="231"/>
      <c r="Y49" s="231"/>
      <c r="Z49" s="231"/>
      <c r="AA49" s="231"/>
      <c r="AB49" s="231"/>
      <c r="AC49" s="231"/>
      <c r="AD49" s="231"/>
      <c r="AE49" s="109"/>
      <c r="AF49" s="109"/>
      <c r="AG49" s="237"/>
      <c r="AH49" s="237"/>
      <c r="AI49" s="237"/>
      <c r="AJ49" s="237"/>
      <c r="AK49" s="237"/>
      <c r="AL49" s="237"/>
      <c r="AM49" s="228"/>
      <c r="AP49" s="259"/>
      <c r="AQ49" s="259"/>
      <c r="AR49" s="259"/>
    </row>
    <row r="50" spans="1:47" s="234" customFormat="1">
      <c r="A50" s="228" t="s">
        <v>105</v>
      </c>
      <c r="B50" s="228"/>
      <c r="C50" s="228"/>
      <c r="D50" s="228"/>
      <c r="E50" s="246" t="s">
        <v>107</v>
      </c>
      <c r="F50" s="237">
        <v>1.3249519203396813E-2</v>
      </c>
      <c r="G50" s="237"/>
      <c r="H50" s="110"/>
      <c r="I50" s="109">
        <v>1.5293082615143304E-2</v>
      </c>
      <c r="J50" s="110"/>
      <c r="K50" s="110"/>
      <c r="L50" s="110">
        <v>1.7004058507204657E-3</v>
      </c>
      <c r="M50" s="237"/>
      <c r="N50" s="110"/>
      <c r="O50" s="109">
        <v>4.3118512145375903E-2</v>
      </c>
      <c r="P50" s="110"/>
      <c r="Q50" s="110"/>
      <c r="R50" s="109">
        <v>2.8821188420056265E-2</v>
      </c>
      <c r="S50" s="110"/>
      <c r="T50" s="110"/>
      <c r="U50" s="109">
        <v>0.14345896726591059</v>
      </c>
      <c r="V50" s="109"/>
      <c r="W50" s="110"/>
      <c r="X50" s="243">
        <v>58.925682438840909</v>
      </c>
      <c r="Y50" s="243"/>
      <c r="Z50" s="110"/>
      <c r="AA50" s="240">
        <v>1.1115591542876484</v>
      </c>
      <c r="AB50" s="240"/>
      <c r="AC50" s="228"/>
      <c r="AD50" s="228"/>
      <c r="AE50" s="109"/>
      <c r="AF50" s="109"/>
      <c r="AG50" s="237"/>
      <c r="AH50" s="237"/>
      <c r="AI50" s="237"/>
      <c r="AJ50" s="237"/>
      <c r="AK50" s="237"/>
      <c r="AL50" s="237"/>
      <c r="AM50" s="228"/>
      <c r="AN50" s="228"/>
      <c r="AQ50" s="262"/>
      <c r="AR50" s="262"/>
    </row>
    <row r="51" spans="1:47" s="234" customFormat="1">
      <c r="A51" s="228" t="s">
        <v>106</v>
      </c>
      <c r="B51" s="228"/>
      <c r="C51" s="228"/>
      <c r="D51" s="228"/>
      <c r="E51" s="246"/>
      <c r="F51" s="237">
        <v>4.4453386604354205E-5</v>
      </c>
      <c r="G51" s="237"/>
      <c r="H51" s="237"/>
      <c r="I51" s="109">
        <v>5.111279073136593E-3</v>
      </c>
      <c r="J51" s="110"/>
      <c r="K51" s="237"/>
      <c r="L51" s="110">
        <v>8.95240820723879E-4</v>
      </c>
      <c r="M51" s="237"/>
      <c r="N51" s="237"/>
      <c r="O51" s="109">
        <v>2.7374782317895207E-2</v>
      </c>
      <c r="P51" s="110"/>
      <c r="Q51" s="237"/>
      <c r="R51" s="109">
        <v>8.8620916081945077E-3</v>
      </c>
      <c r="S51" s="110"/>
      <c r="T51" s="237"/>
      <c r="U51" s="109">
        <v>2.1124821334868329E-3</v>
      </c>
      <c r="V51" s="109"/>
      <c r="W51" s="237"/>
      <c r="X51" s="243">
        <v>0.90146047102946159</v>
      </c>
      <c r="Y51" s="243"/>
      <c r="Z51" s="237"/>
      <c r="AA51" s="240">
        <v>5.3638010047511019E-3</v>
      </c>
      <c r="AB51" s="240"/>
      <c r="AC51" s="228"/>
      <c r="AD51" s="228"/>
      <c r="AE51" s="228"/>
      <c r="AF51" s="228"/>
      <c r="AG51" s="228"/>
      <c r="AH51" s="228"/>
      <c r="AI51" s="228"/>
      <c r="AJ51" s="228"/>
      <c r="AK51" s="228"/>
      <c r="AL51" s="228"/>
      <c r="AM51" s="228"/>
      <c r="AN51" s="263"/>
      <c r="AO51" s="260"/>
      <c r="AP51" s="261"/>
      <c r="AQ51" s="261"/>
      <c r="AR51" s="261"/>
      <c r="AS51" s="261"/>
    </row>
    <row r="52" spans="1:47" s="234" customFormat="1">
      <c r="A52" s="228" t="s">
        <v>6</v>
      </c>
      <c r="B52" s="228"/>
      <c r="C52" s="228"/>
      <c r="D52" s="228"/>
      <c r="E52" s="246"/>
      <c r="F52" s="240">
        <v>0.33550943186646032</v>
      </c>
      <c r="G52" s="243"/>
      <c r="H52" s="243"/>
      <c r="I52" s="243">
        <v>33.422163482432069</v>
      </c>
      <c r="J52" s="243"/>
      <c r="K52" s="243"/>
      <c r="L52" s="243">
        <v>52.648655633863143</v>
      </c>
      <c r="M52" s="243"/>
      <c r="N52" s="243"/>
      <c r="O52" s="243">
        <v>63.48730732080913</v>
      </c>
      <c r="P52" s="243"/>
      <c r="Q52" s="243"/>
      <c r="R52" s="243">
        <v>30.748529446577233</v>
      </c>
      <c r="S52" s="243"/>
      <c r="T52" s="243"/>
      <c r="U52" s="243">
        <v>1.4725340449239459</v>
      </c>
      <c r="V52" s="243"/>
      <c r="W52" s="243"/>
      <c r="X52" s="243">
        <v>1.5298261025064739</v>
      </c>
      <c r="Y52" s="243"/>
      <c r="Z52" s="243"/>
      <c r="AA52" s="243">
        <v>0.48254750852090611</v>
      </c>
      <c r="AB52" s="243"/>
      <c r="AC52" s="228"/>
      <c r="AD52" s="228"/>
      <c r="AE52" s="228"/>
      <c r="AF52" s="228"/>
      <c r="AG52" s="228"/>
      <c r="AH52" s="240"/>
      <c r="AI52" s="228"/>
      <c r="AJ52" s="228"/>
      <c r="AK52" s="228"/>
      <c r="AL52" s="228"/>
      <c r="AM52" s="228"/>
      <c r="AN52" s="228"/>
    </row>
    <row r="53" spans="1:47" s="234" customFormat="1">
      <c r="A53" s="228" t="s">
        <v>148</v>
      </c>
      <c r="B53" s="228"/>
      <c r="C53" s="228"/>
      <c r="D53" s="228"/>
      <c r="E53" s="246" t="s">
        <v>107</v>
      </c>
      <c r="F53" s="109">
        <v>0.39050794621893359</v>
      </c>
      <c r="G53" s="243"/>
      <c r="H53" s="243"/>
      <c r="I53" s="109">
        <v>0.13942062870506775</v>
      </c>
      <c r="J53" s="243"/>
      <c r="K53" s="243"/>
      <c r="L53" s="109">
        <v>0.51348180593698567</v>
      </c>
      <c r="M53" s="243"/>
      <c r="N53" s="243"/>
      <c r="O53" s="240">
        <v>4.4940752446089975</v>
      </c>
      <c r="P53" s="243"/>
      <c r="Q53" s="243"/>
      <c r="R53" s="240">
        <v>5.5135983491656191</v>
      </c>
      <c r="S53" s="243"/>
      <c r="T53" s="243"/>
      <c r="U53" s="109">
        <v>0.65382735942763437</v>
      </c>
      <c r="V53" s="243"/>
      <c r="W53" s="243"/>
      <c r="X53" s="240">
        <v>8.1721783827308307</v>
      </c>
      <c r="Y53" s="243"/>
      <c r="Z53" s="243"/>
      <c r="AA53" s="110">
        <v>0.13357018928200964</v>
      </c>
      <c r="AB53" s="243"/>
      <c r="AC53" s="228"/>
      <c r="AD53" s="228"/>
      <c r="AE53" s="228"/>
      <c r="AF53" s="228"/>
      <c r="AG53" s="228"/>
      <c r="AH53" s="228"/>
      <c r="AI53" s="228"/>
      <c r="AJ53" s="228"/>
      <c r="AK53" s="228"/>
      <c r="AL53" s="228"/>
      <c r="AM53" s="228"/>
      <c r="AN53" s="228"/>
    </row>
    <row r="54" spans="1:47" s="234" customFormat="1">
      <c r="A54" s="228" t="s">
        <v>106</v>
      </c>
      <c r="B54" s="228"/>
      <c r="C54" s="228"/>
      <c r="D54" s="228"/>
      <c r="E54" s="246"/>
      <c r="F54" s="109">
        <v>4.5739780669863124E-2</v>
      </c>
      <c r="G54" s="243"/>
      <c r="H54" s="243"/>
      <c r="I54" s="109">
        <v>1.5980219749688412E-2</v>
      </c>
      <c r="J54" s="243"/>
      <c r="K54" s="243"/>
      <c r="L54" s="109">
        <v>2.173557266974763E-2</v>
      </c>
      <c r="M54" s="243"/>
      <c r="N54" s="243"/>
      <c r="O54" s="240">
        <v>0.24475680433680211</v>
      </c>
      <c r="P54" s="243"/>
      <c r="Q54" s="243"/>
      <c r="R54" s="240">
        <v>0.2481662949512411</v>
      </c>
      <c r="S54" s="243"/>
      <c r="T54" s="243"/>
      <c r="U54" s="109">
        <v>8.5425190833682656E-3</v>
      </c>
      <c r="V54" s="243"/>
      <c r="W54" s="243"/>
      <c r="X54" s="240">
        <v>0.95859998931286072</v>
      </c>
      <c r="Y54" s="243"/>
      <c r="Z54" s="243"/>
      <c r="AA54" s="110">
        <v>4.5150171203289606E-4</v>
      </c>
      <c r="AB54" s="243"/>
      <c r="AC54" s="228"/>
      <c r="AD54" s="228"/>
      <c r="AE54" s="228"/>
      <c r="AF54" s="228"/>
      <c r="AG54" s="228"/>
      <c r="AH54" s="228"/>
      <c r="AI54" s="228"/>
      <c r="AJ54" s="228"/>
      <c r="AK54" s="228"/>
      <c r="AL54" s="228"/>
      <c r="AM54" s="228"/>
      <c r="AN54" s="228"/>
    </row>
    <row r="55" spans="1:47" s="234" customFormat="1">
      <c r="A55" s="228" t="s">
        <v>6</v>
      </c>
      <c r="B55" s="228"/>
      <c r="C55" s="228"/>
      <c r="D55" s="228"/>
      <c r="E55" s="246"/>
      <c r="F55" s="243">
        <v>11.71289371003469</v>
      </c>
      <c r="G55" s="243"/>
      <c r="H55" s="243"/>
      <c r="I55" s="243">
        <v>11.461876121282728</v>
      </c>
      <c r="J55" s="243"/>
      <c r="K55" s="243"/>
      <c r="L55" s="243">
        <v>4.2329781539358011</v>
      </c>
      <c r="M55" s="243"/>
      <c r="N55" s="243"/>
      <c r="O55" s="243">
        <v>5.446210644345741</v>
      </c>
      <c r="P55" s="243"/>
      <c r="Q55" s="243"/>
      <c r="R55" s="243">
        <v>4.5009860935698454</v>
      </c>
      <c r="S55" s="243"/>
      <c r="T55" s="243"/>
      <c r="U55" s="243">
        <v>1.3065404743610689</v>
      </c>
      <c r="V55" s="243"/>
      <c r="W55" s="243"/>
      <c r="X55" s="243">
        <v>11.730042400182326</v>
      </c>
      <c r="Y55" s="243"/>
      <c r="Z55" s="243"/>
      <c r="AA55" s="243">
        <v>0.33802580834832141</v>
      </c>
      <c r="AB55" s="243"/>
      <c r="AC55" s="228"/>
      <c r="AD55" s="228"/>
      <c r="AE55" s="240"/>
      <c r="AF55" s="240"/>
      <c r="AG55" s="228"/>
      <c r="AH55" s="228"/>
      <c r="AI55" s="228"/>
      <c r="AJ55" s="228"/>
      <c r="AK55" s="228"/>
      <c r="AL55" s="228"/>
      <c r="AM55" s="228"/>
      <c r="AN55" s="228"/>
    </row>
    <row r="56" spans="1:47" s="234" customFormat="1">
      <c r="A56" s="228" t="s">
        <v>108</v>
      </c>
      <c r="B56" s="228"/>
      <c r="C56" s="228"/>
      <c r="D56" s="228"/>
      <c r="E56" s="246" t="s">
        <v>107</v>
      </c>
      <c r="F56" s="109">
        <v>0.37955300392262059</v>
      </c>
      <c r="G56" s="109"/>
      <c r="H56" s="237"/>
      <c r="I56" s="109">
        <v>0.13907541296766318</v>
      </c>
      <c r="J56" s="109"/>
      <c r="K56" s="237"/>
      <c r="L56" s="109">
        <v>0.51984483972765616</v>
      </c>
      <c r="M56" s="109"/>
      <c r="N56" s="237"/>
      <c r="O56" s="240">
        <v>4.3986835392994221</v>
      </c>
      <c r="P56" s="240"/>
      <c r="Q56" s="237"/>
      <c r="R56" s="240">
        <v>5.3286013051731569</v>
      </c>
      <c r="S56" s="240"/>
      <c r="T56" s="237"/>
      <c r="U56" s="109">
        <v>0.6545408257748091</v>
      </c>
      <c r="V56" s="109"/>
      <c r="W56" s="237"/>
      <c r="X56" s="240">
        <v>8.3672329324114116</v>
      </c>
      <c r="Y56" s="240"/>
      <c r="Z56" s="237"/>
      <c r="AA56" s="110">
        <v>0.13354548827950483</v>
      </c>
      <c r="AB56" s="110"/>
      <c r="AC56" s="228"/>
      <c r="AD56" s="228"/>
      <c r="AE56" s="228"/>
      <c r="AF56" s="228"/>
      <c r="AG56" s="228"/>
      <c r="AH56" s="228"/>
      <c r="AI56" s="228"/>
      <c r="AJ56" s="228"/>
      <c r="AK56" s="228"/>
      <c r="AL56" s="228"/>
      <c r="AM56" s="228"/>
      <c r="AN56" s="228"/>
    </row>
    <row r="57" spans="1:47" s="234" customFormat="1">
      <c r="A57" s="228" t="s">
        <v>106</v>
      </c>
      <c r="B57" s="228"/>
      <c r="C57" s="228"/>
      <c r="D57" s="228"/>
      <c r="E57" s="246"/>
      <c r="F57" s="109">
        <v>3.2679471349909568E-2</v>
      </c>
      <c r="G57" s="109"/>
      <c r="H57" s="237"/>
      <c r="I57" s="109">
        <v>1.1098887094404561E-2</v>
      </c>
      <c r="J57" s="109"/>
      <c r="K57" s="237"/>
      <c r="L57" s="109">
        <v>2.0735559630932071E-2</v>
      </c>
      <c r="M57" s="109"/>
      <c r="N57" s="237"/>
      <c r="O57" s="240">
        <v>0.16793806691315827</v>
      </c>
      <c r="P57" s="240"/>
      <c r="Q57" s="237"/>
      <c r="R57" s="240">
        <v>0.14231495490556129</v>
      </c>
      <c r="S57" s="240"/>
      <c r="T57" s="237"/>
      <c r="U57" s="109">
        <v>7.7621163753099605E-3</v>
      </c>
      <c r="V57" s="109"/>
      <c r="W57" s="237"/>
      <c r="X57" s="240">
        <v>0.76268791251722645</v>
      </c>
      <c r="Y57" s="240"/>
      <c r="Z57" s="237"/>
      <c r="AA57" s="110">
        <v>5.3303124493899942E-4</v>
      </c>
      <c r="AB57" s="110"/>
      <c r="AC57" s="228"/>
      <c r="AD57" s="228"/>
      <c r="AE57" s="228"/>
      <c r="AF57" s="228"/>
      <c r="AG57" s="228"/>
      <c r="AH57" s="228"/>
      <c r="AI57" s="228"/>
      <c r="AJ57" s="228"/>
      <c r="AK57" s="228"/>
      <c r="AL57" s="228"/>
      <c r="AM57" s="228"/>
      <c r="AN57" s="228"/>
    </row>
    <row r="58" spans="1:47" s="234" customFormat="1">
      <c r="A58" s="228" t="s">
        <v>6</v>
      </c>
      <c r="B58" s="228"/>
      <c r="C58" s="228"/>
      <c r="D58" s="228"/>
      <c r="E58" s="246"/>
      <c r="F58" s="243">
        <v>8.6099888585184079</v>
      </c>
      <c r="G58" s="243"/>
      <c r="H58" s="243"/>
      <c r="I58" s="243">
        <v>7.980481134350609</v>
      </c>
      <c r="J58" s="243"/>
      <c r="K58" s="243"/>
      <c r="L58" s="243">
        <v>3.9887978193253426</v>
      </c>
      <c r="M58" s="243"/>
      <c r="N58" s="243"/>
      <c r="O58" s="243">
        <v>3.8179165519123877</v>
      </c>
      <c r="P58" s="243"/>
      <c r="Q58" s="243"/>
      <c r="R58" s="243">
        <v>2.6707750637563725</v>
      </c>
      <c r="S58" s="243"/>
      <c r="T58" s="243"/>
      <c r="U58" s="243">
        <v>1.1858872769504636</v>
      </c>
      <c r="V58" s="243"/>
      <c r="W58" s="243"/>
      <c r="X58" s="243">
        <v>9.1151748574235292</v>
      </c>
      <c r="Y58" s="243"/>
      <c r="Z58" s="243"/>
      <c r="AA58" s="243">
        <v>0.39913833990661551</v>
      </c>
      <c r="AB58" s="243"/>
      <c r="AC58" s="228"/>
      <c r="AD58" s="228"/>
      <c r="AE58" s="228"/>
      <c r="AF58" s="228"/>
      <c r="AG58" s="228"/>
      <c r="AH58" s="228"/>
      <c r="AI58" s="228"/>
      <c r="AJ58" s="228"/>
      <c r="AK58" s="228"/>
      <c r="AL58" s="228"/>
      <c r="AM58" s="228"/>
      <c r="AN58" s="228"/>
    </row>
    <row r="59" spans="1:47" s="234" customFormat="1">
      <c r="A59" s="228" t="s">
        <v>109</v>
      </c>
      <c r="B59" s="228"/>
      <c r="C59" s="228"/>
      <c r="D59" s="228"/>
      <c r="E59" s="246" t="s">
        <v>110</v>
      </c>
      <c r="F59" s="109">
        <v>0.34516110117385607</v>
      </c>
      <c r="G59" s="109"/>
      <c r="H59" s="228"/>
      <c r="I59" s="109">
        <v>0.14340131046303195</v>
      </c>
      <c r="J59" s="109"/>
      <c r="K59" s="228"/>
      <c r="L59" s="109">
        <v>0.51892407841818855</v>
      </c>
      <c r="M59" s="109"/>
      <c r="N59" s="228"/>
      <c r="O59" s="240">
        <v>4.3665252931398575</v>
      </c>
      <c r="P59" s="239"/>
      <c r="Q59" s="228"/>
      <c r="R59" s="240">
        <v>5.8442924548020025</v>
      </c>
      <c r="S59" s="239"/>
      <c r="T59" s="228"/>
      <c r="U59" s="109">
        <v>0.68360766042508758</v>
      </c>
      <c r="V59" s="109"/>
      <c r="W59" s="228"/>
      <c r="X59" s="240">
        <v>9.6182915745644628</v>
      </c>
      <c r="Y59" s="240"/>
      <c r="Z59" s="228"/>
      <c r="AA59" s="110">
        <v>0.13299015975654926</v>
      </c>
      <c r="AB59" s="110"/>
      <c r="AC59" s="228"/>
      <c r="AD59" s="228"/>
      <c r="AE59" s="228"/>
      <c r="AF59" s="228"/>
      <c r="AG59" s="228"/>
      <c r="AH59" s="228"/>
      <c r="AI59" s="228"/>
      <c r="AJ59" s="228"/>
      <c r="AK59" s="228"/>
      <c r="AL59" s="228"/>
      <c r="AM59" s="228"/>
      <c r="AN59" s="228"/>
    </row>
    <row r="60" spans="1:47" s="234" customFormat="1">
      <c r="A60" s="228" t="s">
        <v>106</v>
      </c>
      <c r="B60" s="228"/>
      <c r="C60" s="228"/>
      <c r="D60" s="228"/>
      <c r="E60" s="228"/>
      <c r="F60" s="109">
        <v>2.3865024077608651E-2</v>
      </c>
      <c r="G60" s="109"/>
      <c r="H60" s="228"/>
      <c r="I60" s="109">
        <v>7.3456479855027795E-3</v>
      </c>
      <c r="J60" s="109"/>
      <c r="K60" s="228"/>
      <c r="L60" s="109">
        <v>1.05957707456131E-2</v>
      </c>
      <c r="M60" s="109"/>
      <c r="N60" s="228"/>
      <c r="O60" s="240">
        <v>0.220575020141902</v>
      </c>
      <c r="P60" s="239"/>
      <c r="Q60" s="228"/>
      <c r="R60" s="240">
        <v>8.6897769264980496E-2</v>
      </c>
      <c r="S60" s="239"/>
      <c r="T60" s="228"/>
      <c r="U60" s="109">
        <v>4.76690868562456E-3</v>
      </c>
      <c r="V60" s="109"/>
      <c r="W60" s="228"/>
      <c r="X60" s="240">
        <v>0.64403137454512405</v>
      </c>
      <c r="Y60" s="240"/>
      <c r="Z60" s="228"/>
      <c r="AA60" s="110">
        <v>7.3824743771116206E-4</v>
      </c>
      <c r="AB60" s="110"/>
      <c r="AC60" s="228"/>
      <c r="AD60" s="228"/>
      <c r="AE60" s="228"/>
      <c r="AF60" s="228"/>
      <c r="AG60" s="228"/>
      <c r="AH60" s="228"/>
      <c r="AI60" s="228"/>
      <c r="AJ60" s="228"/>
      <c r="AK60" s="228"/>
      <c r="AL60" s="228"/>
      <c r="AM60" s="228"/>
      <c r="AN60" s="228"/>
    </row>
    <row r="61" spans="1:47" s="234" customFormat="1">
      <c r="A61" s="228" t="s">
        <v>6</v>
      </c>
      <c r="B61" s="247"/>
      <c r="C61" s="247"/>
      <c r="D61" s="247"/>
      <c r="E61" s="247"/>
      <c r="F61" s="243">
        <f>F60/F59*100</f>
        <v>6.9141696432321753</v>
      </c>
      <c r="G61" s="243"/>
      <c r="H61" s="228"/>
      <c r="I61" s="243">
        <f t="shared" ref="I61" si="4">I60/I59*100</f>
        <v>5.1224413234329864</v>
      </c>
      <c r="J61" s="243"/>
      <c r="K61" s="228"/>
      <c r="L61" s="243">
        <f t="shared" ref="L61" si="5">L60/L59*100</f>
        <v>2.0418730188646634</v>
      </c>
      <c r="M61" s="243"/>
      <c r="N61" s="228"/>
      <c r="O61" s="243">
        <f t="shared" ref="O61" si="6">O60/O59*100</f>
        <v>5.0514998845521877</v>
      </c>
      <c r="P61" s="243"/>
      <c r="Q61" s="228"/>
      <c r="R61" s="243">
        <f t="shared" ref="R61" si="7">R60/R59*100</f>
        <v>1.4868826284280205</v>
      </c>
      <c r="S61" s="243"/>
      <c r="T61" s="228"/>
      <c r="U61" s="243">
        <f t="shared" ref="U61" si="8">U60/U59*100</f>
        <v>0.69731645234349104</v>
      </c>
      <c r="V61" s="243"/>
      <c r="W61" s="228"/>
      <c r="X61" s="243">
        <f t="shared" ref="X61" si="9">X60/X59*100</f>
        <v>6.6959019650460858</v>
      </c>
      <c r="Y61" s="243"/>
      <c r="Z61" s="228"/>
      <c r="AA61" s="243">
        <f>AA60/AA59*100</f>
        <v>0.55511433256610265</v>
      </c>
      <c r="AB61" s="243"/>
      <c r="AC61" s="109"/>
      <c r="AD61" s="110"/>
      <c r="AE61" s="228"/>
      <c r="AF61" s="228"/>
      <c r="AG61" s="228"/>
      <c r="AH61" s="228"/>
      <c r="AI61" s="228"/>
      <c r="AJ61" s="228"/>
      <c r="AK61" s="228"/>
      <c r="AL61" s="228"/>
      <c r="AM61" s="228"/>
      <c r="AN61" s="228"/>
      <c r="AP61" s="259"/>
      <c r="AQ61" s="259"/>
      <c r="AR61" s="259"/>
      <c r="AS61" s="259"/>
      <c r="AT61" s="259"/>
      <c r="AU61" s="259"/>
    </row>
    <row r="62" spans="1:47" s="234" customFormat="1">
      <c r="A62" s="248" t="s">
        <v>146</v>
      </c>
      <c r="B62" s="249"/>
      <c r="C62" s="249"/>
      <c r="D62" s="249"/>
      <c r="E62" s="249"/>
      <c r="F62" s="250"/>
      <c r="G62" s="250"/>
      <c r="H62" s="248"/>
      <c r="I62" s="250"/>
      <c r="J62" s="250"/>
      <c r="K62" s="248"/>
      <c r="L62" s="250"/>
      <c r="M62" s="250"/>
      <c r="N62" s="248"/>
      <c r="O62" s="250"/>
      <c r="P62" s="250"/>
      <c r="Q62" s="248"/>
      <c r="R62" s="250"/>
      <c r="S62" s="250"/>
      <c r="T62" s="248"/>
      <c r="U62" s="250"/>
      <c r="V62" s="250"/>
      <c r="W62" s="248"/>
      <c r="X62" s="250"/>
      <c r="Y62" s="250"/>
      <c r="Z62" s="248"/>
      <c r="AA62" s="250"/>
      <c r="AB62" s="250"/>
      <c r="AC62" s="251"/>
      <c r="AD62" s="232"/>
      <c r="AE62" s="228"/>
      <c r="AF62" s="264"/>
      <c r="AG62" s="228"/>
      <c r="AH62" s="228"/>
      <c r="AI62" s="228"/>
      <c r="AJ62" s="228"/>
      <c r="AK62" s="228"/>
      <c r="AL62" s="228"/>
      <c r="AM62" s="228"/>
      <c r="AN62" s="228"/>
      <c r="AP62" s="259"/>
      <c r="AQ62" s="259"/>
      <c r="AR62" s="259"/>
      <c r="AS62" s="259"/>
      <c r="AT62" s="259"/>
      <c r="AU62" s="259"/>
    </row>
    <row r="63" spans="1:47" s="234" customFormat="1">
      <c r="A63" s="228" t="s">
        <v>147</v>
      </c>
      <c r="B63" s="247"/>
      <c r="C63" s="247"/>
      <c r="D63" s="247"/>
      <c r="E63" s="247"/>
      <c r="F63" s="243"/>
      <c r="G63" s="243"/>
      <c r="H63" s="228"/>
      <c r="I63" s="243"/>
      <c r="J63" s="243"/>
      <c r="K63" s="228"/>
      <c r="L63" s="243"/>
      <c r="M63" s="243"/>
      <c r="N63" s="228"/>
      <c r="O63" s="243"/>
      <c r="P63" s="243"/>
      <c r="Q63" s="228"/>
      <c r="R63" s="243"/>
      <c r="S63" s="243"/>
      <c r="T63" s="228"/>
      <c r="U63" s="243"/>
      <c r="V63" s="243"/>
      <c r="W63" s="228"/>
      <c r="X63" s="243"/>
      <c r="Y63" s="243"/>
      <c r="Z63" s="228"/>
      <c r="AA63" s="243"/>
      <c r="AB63" s="243"/>
      <c r="AC63" s="109"/>
      <c r="AD63" s="110"/>
      <c r="AE63" s="228"/>
      <c r="AF63" s="228"/>
      <c r="AG63" s="228"/>
      <c r="AH63" s="228"/>
      <c r="AI63" s="228"/>
      <c r="AJ63" s="228"/>
      <c r="AK63" s="228"/>
      <c r="AL63" s="228"/>
      <c r="AM63" s="228"/>
      <c r="AN63" s="228"/>
      <c r="AP63" s="259"/>
      <c r="AQ63" s="259"/>
      <c r="AR63" s="259"/>
      <c r="AS63" s="259"/>
      <c r="AT63" s="259"/>
      <c r="AU63" s="259"/>
    </row>
    <row r="64" spans="1:47" s="234" customFormat="1" ht="18">
      <c r="A64" s="228" t="s">
        <v>400</v>
      </c>
      <c r="B64" s="247"/>
      <c r="C64" s="247"/>
      <c r="D64" s="247"/>
      <c r="E64" s="247"/>
      <c r="F64" s="243"/>
      <c r="G64" s="243"/>
      <c r="H64" s="228"/>
      <c r="I64" s="243"/>
      <c r="J64" s="243"/>
      <c r="K64" s="228"/>
      <c r="L64" s="243"/>
      <c r="M64" s="243"/>
      <c r="N64" s="228"/>
      <c r="O64" s="243"/>
      <c r="P64" s="243"/>
      <c r="Q64" s="228"/>
      <c r="R64" s="243"/>
      <c r="S64" s="243"/>
      <c r="T64" s="228"/>
      <c r="U64" s="243"/>
      <c r="V64" s="243"/>
      <c r="W64" s="228"/>
      <c r="X64" s="243"/>
      <c r="Y64" s="243"/>
      <c r="Z64" s="228"/>
      <c r="AA64" s="243"/>
      <c r="AB64" s="243"/>
      <c r="AC64" s="109"/>
      <c r="AD64" s="110"/>
      <c r="AE64" s="228"/>
      <c r="AF64" s="228"/>
      <c r="AG64" s="228"/>
      <c r="AH64" s="228"/>
      <c r="AI64" s="228"/>
      <c r="AJ64" s="228"/>
      <c r="AK64" s="228"/>
      <c r="AL64" s="228"/>
      <c r="AM64" s="228"/>
      <c r="AN64" s="228"/>
      <c r="AP64" s="259"/>
      <c r="AQ64" s="259"/>
      <c r="AR64" s="259"/>
      <c r="AS64" s="259"/>
      <c r="AT64" s="259"/>
      <c r="AU64" s="259"/>
    </row>
    <row r="65" spans="1:40" s="234" customFormat="1" ht="18">
      <c r="A65" s="228" t="s">
        <v>401</v>
      </c>
      <c r="B65" s="247"/>
      <c r="C65" s="247"/>
      <c r="D65" s="247"/>
      <c r="E65" s="247"/>
      <c r="F65" s="252"/>
      <c r="G65" s="252"/>
      <c r="H65" s="228"/>
      <c r="I65" s="94"/>
      <c r="J65" s="94"/>
      <c r="K65" s="228"/>
      <c r="L65" s="94"/>
      <c r="M65" s="94"/>
      <c r="N65" s="228"/>
      <c r="O65" s="94"/>
      <c r="P65" s="94"/>
      <c r="Q65" s="228"/>
      <c r="R65" s="94"/>
      <c r="S65" s="94"/>
      <c r="T65" s="228"/>
      <c r="U65" s="94"/>
      <c r="V65" s="94"/>
      <c r="W65" s="228"/>
      <c r="X65" s="253"/>
      <c r="Y65" s="253"/>
      <c r="Z65" s="254"/>
      <c r="AA65" s="252"/>
      <c r="AB65" s="252"/>
      <c r="AC65" s="228"/>
      <c r="AD65" s="228"/>
      <c r="AE65" s="228"/>
      <c r="AF65" s="228"/>
      <c r="AG65" s="228"/>
      <c r="AH65" s="228"/>
      <c r="AI65" s="228"/>
      <c r="AJ65" s="228"/>
      <c r="AK65" s="228"/>
      <c r="AL65" s="228"/>
      <c r="AM65" s="228"/>
      <c r="AN65" s="228"/>
    </row>
    <row r="66" spans="1:40" s="135" customFormat="1">
      <c r="A66" s="135" t="s">
        <v>391</v>
      </c>
      <c r="B66" s="136"/>
    </row>
    <row r="67" spans="1:40" s="234" customFormat="1">
      <c r="A67" s="234" t="s">
        <v>182</v>
      </c>
      <c r="B67" s="247"/>
      <c r="C67" s="247"/>
      <c r="D67" s="247"/>
      <c r="E67" s="247"/>
      <c r="F67" s="255"/>
      <c r="G67" s="255"/>
      <c r="H67" s="228"/>
      <c r="I67" s="253"/>
      <c r="J67" s="253"/>
      <c r="K67" s="228"/>
      <c r="L67" s="253"/>
      <c r="M67" s="253"/>
      <c r="N67" s="228"/>
      <c r="O67" s="253"/>
      <c r="P67" s="253"/>
      <c r="Q67" s="228"/>
      <c r="R67" s="253"/>
      <c r="S67" s="253"/>
      <c r="T67" s="228"/>
      <c r="U67" s="253"/>
      <c r="V67" s="253"/>
      <c r="W67" s="228"/>
      <c r="X67" s="253"/>
      <c r="Y67" s="253"/>
      <c r="Z67" s="247"/>
      <c r="AA67" s="253"/>
      <c r="AB67" s="253"/>
      <c r="AC67" s="228"/>
      <c r="AD67" s="228"/>
      <c r="AE67" s="228"/>
      <c r="AF67" s="228"/>
      <c r="AG67" s="228"/>
      <c r="AH67" s="228"/>
      <c r="AI67" s="228"/>
      <c r="AJ67" s="228"/>
      <c r="AK67" s="228"/>
      <c r="AL67" s="228"/>
      <c r="AM67" s="228"/>
      <c r="AN67" s="228"/>
    </row>
    <row r="68" spans="1:40" s="234" customFormat="1">
      <c r="A68" s="36"/>
      <c r="B68" s="36"/>
      <c r="C68" s="36"/>
      <c r="D68" s="36"/>
      <c r="E68" s="36"/>
      <c r="F68" s="265"/>
      <c r="G68" s="265"/>
      <c r="I68" s="266"/>
      <c r="J68" s="266"/>
      <c r="L68" s="266"/>
      <c r="M68" s="266"/>
      <c r="O68" s="266"/>
      <c r="P68" s="266"/>
      <c r="R68" s="266"/>
      <c r="S68" s="266"/>
      <c r="U68" s="266"/>
      <c r="V68" s="266"/>
      <c r="X68" s="266"/>
      <c r="Y68" s="266"/>
      <c r="Z68" s="36"/>
      <c r="AA68" s="266"/>
      <c r="AB68" s="266"/>
    </row>
    <row r="69" spans="1:40" s="234" customFormat="1">
      <c r="A69" s="36"/>
      <c r="B69" s="36"/>
      <c r="C69" s="36"/>
      <c r="D69" s="36"/>
      <c r="E69" s="36"/>
      <c r="F69" s="265"/>
      <c r="G69" s="265"/>
      <c r="I69" s="266"/>
      <c r="J69" s="266"/>
      <c r="L69" s="266"/>
      <c r="M69" s="266"/>
      <c r="O69" s="266"/>
      <c r="P69" s="266"/>
      <c r="R69" s="266"/>
      <c r="S69" s="266"/>
      <c r="U69" s="266"/>
      <c r="V69" s="266"/>
      <c r="X69" s="266"/>
      <c r="Y69" s="266"/>
      <c r="Z69" s="36"/>
      <c r="AA69" s="266"/>
      <c r="AB69" s="266"/>
    </row>
    <row r="70" spans="1:40">
      <c r="E70" s="267"/>
      <c r="X70" s="268"/>
      <c r="Y70" s="268"/>
      <c r="Z70" s="268"/>
      <c r="AA70" s="235"/>
      <c r="AB70" s="235"/>
    </row>
    <row r="71" spans="1:40">
      <c r="E71" s="267"/>
      <c r="X71" s="268"/>
      <c r="Y71" s="268"/>
      <c r="Z71" s="268"/>
      <c r="AA71" s="235"/>
      <c r="AB71" s="235"/>
    </row>
    <row r="72" spans="1:40">
      <c r="E72" s="267"/>
      <c r="X72" s="268"/>
      <c r="Y72" s="268"/>
      <c r="Z72" s="268"/>
      <c r="AA72" s="235"/>
      <c r="AB72" s="235"/>
    </row>
    <row r="73" spans="1:40">
      <c r="E73" s="267"/>
      <c r="F73" s="235"/>
      <c r="G73" s="235"/>
      <c r="I73" s="235"/>
      <c r="J73" s="235"/>
      <c r="L73" s="235"/>
      <c r="M73" s="235"/>
      <c r="O73" s="235"/>
      <c r="P73" s="235"/>
      <c r="R73" s="235"/>
      <c r="S73" s="235"/>
      <c r="U73" s="235"/>
      <c r="V73" s="235"/>
      <c r="X73" s="268"/>
      <c r="Y73" s="268"/>
      <c r="Z73" s="268"/>
      <c r="AA73" s="235"/>
      <c r="AB73" s="235"/>
      <c r="AC73" s="235"/>
    </row>
    <row r="74" spans="1:40">
      <c r="E74" s="267"/>
      <c r="F74" s="235"/>
      <c r="G74" s="235"/>
      <c r="I74" s="235"/>
      <c r="J74" s="235"/>
      <c r="L74" s="235"/>
      <c r="M74" s="235"/>
      <c r="O74" s="235"/>
      <c r="P74" s="235"/>
      <c r="R74" s="235"/>
      <c r="S74" s="235"/>
      <c r="U74" s="235"/>
      <c r="V74" s="235"/>
      <c r="X74" s="268"/>
      <c r="Y74" s="268"/>
      <c r="Z74" s="268"/>
      <c r="AA74" s="235"/>
      <c r="AB74" s="235"/>
      <c r="AC74" s="235"/>
    </row>
    <row r="75" spans="1:40">
      <c r="E75" s="267"/>
      <c r="F75" s="235"/>
      <c r="G75" s="235"/>
      <c r="I75" s="235"/>
      <c r="J75" s="235"/>
      <c r="L75" s="235"/>
      <c r="M75" s="235"/>
      <c r="O75" s="235"/>
      <c r="P75" s="235"/>
      <c r="R75" s="235"/>
      <c r="S75" s="235"/>
      <c r="U75" s="235"/>
      <c r="V75" s="235"/>
      <c r="X75" s="268"/>
      <c r="Y75" s="268"/>
      <c r="Z75" s="268"/>
      <c r="AA75" s="235"/>
      <c r="AB75" s="235"/>
      <c r="AC75" s="235"/>
    </row>
    <row r="76" spans="1:40">
      <c r="E76" s="267"/>
      <c r="F76" s="235"/>
      <c r="G76" s="235"/>
      <c r="H76" s="235"/>
      <c r="I76" s="235"/>
      <c r="J76" s="235"/>
      <c r="K76" s="235"/>
      <c r="L76" s="235"/>
      <c r="M76" s="235"/>
      <c r="N76" s="235"/>
      <c r="O76" s="235"/>
      <c r="P76" s="235"/>
      <c r="Q76" s="235"/>
      <c r="R76" s="235"/>
      <c r="S76" s="235"/>
      <c r="T76" s="235"/>
      <c r="U76" s="235"/>
      <c r="V76" s="235"/>
      <c r="W76" s="235"/>
      <c r="X76" s="268"/>
      <c r="Y76" s="268"/>
      <c r="Z76" s="268"/>
      <c r="AA76" s="235"/>
      <c r="AB76" s="235"/>
      <c r="AC76" s="235"/>
      <c r="AD76" s="235"/>
    </row>
    <row r="77" spans="1:40">
      <c r="E77" s="267"/>
      <c r="F77" s="235"/>
      <c r="G77" s="235"/>
      <c r="H77" s="235"/>
      <c r="I77" s="235"/>
      <c r="J77" s="235"/>
      <c r="K77" s="235"/>
      <c r="L77" s="235"/>
      <c r="M77" s="235"/>
      <c r="N77" s="235"/>
      <c r="O77" s="235"/>
      <c r="P77" s="235"/>
      <c r="Q77" s="235"/>
      <c r="R77" s="235"/>
      <c r="S77" s="235"/>
      <c r="T77" s="235"/>
      <c r="U77" s="235"/>
      <c r="V77" s="235"/>
      <c r="W77" s="235"/>
      <c r="X77" s="268"/>
      <c r="Y77" s="268"/>
      <c r="Z77" s="268"/>
      <c r="AA77" s="235"/>
      <c r="AB77" s="235"/>
      <c r="AC77" s="235"/>
      <c r="AD77" s="235"/>
    </row>
    <row r="78" spans="1:40">
      <c r="E78" s="267"/>
      <c r="F78" s="235"/>
      <c r="G78" s="235"/>
      <c r="I78" s="235"/>
      <c r="J78" s="235"/>
      <c r="L78" s="235"/>
      <c r="M78" s="235"/>
      <c r="O78" s="235"/>
      <c r="P78" s="235"/>
      <c r="R78" s="235"/>
      <c r="S78" s="235"/>
      <c r="U78" s="235"/>
      <c r="V78" s="235"/>
      <c r="X78" s="268"/>
      <c r="Y78" s="268"/>
      <c r="Z78" s="268"/>
      <c r="AA78" s="235"/>
      <c r="AB78" s="235"/>
      <c r="AC78" s="235"/>
      <c r="AD78" s="235"/>
    </row>
    <row r="79" spans="1:40">
      <c r="E79" s="267"/>
      <c r="F79" s="235"/>
      <c r="G79" s="235"/>
      <c r="I79" s="235"/>
      <c r="J79" s="235"/>
      <c r="L79" s="235"/>
      <c r="M79" s="235"/>
      <c r="O79" s="235"/>
      <c r="P79" s="235"/>
      <c r="R79" s="235"/>
      <c r="S79" s="235"/>
      <c r="U79" s="235"/>
      <c r="V79" s="235"/>
      <c r="X79" s="268"/>
      <c r="Y79" s="268"/>
      <c r="Z79" s="268"/>
      <c r="AA79" s="235"/>
      <c r="AB79" s="235"/>
      <c r="AC79" s="235"/>
      <c r="AD79" s="235"/>
    </row>
    <row r="80" spans="1:40">
      <c r="E80" s="267"/>
      <c r="F80" s="235"/>
      <c r="G80" s="235"/>
      <c r="I80" s="235"/>
      <c r="J80" s="235"/>
      <c r="L80" s="235"/>
      <c r="M80" s="235"/>
      <c r="O80" s="235"/>
      <c r="P80" s="235"/>
      <c r="R80" s="235"/>
      <c r="S80" s="235"/>
      <c r="U80" s="235"/>
      <c r="V80" s="235"/>
      <c r="X80" s="268"/>
      <c r="Y80" s="268"/>
      <c r="Z80" s="268"/>
      <c r="AA80" s="235"/>
      <c r="AB80" s="235"/>
      <c r="AC80" s="235"/>
      <c r="AD80" s="235"/>
    </row>
    <row r="81" spans="1:47">
      <c r="E81" s="267"/>
      <c r="F81" s="235"/>
      <c r="G81" s="235"/>
      <c r="I81" s="235"/>
      <c r="J81" s="235"/>
      <c r="L81" s="235"/>
      <c r="M81" s="235"/>
      <c r="O81" s="235"/>
      <c r="P81" s="235"/>
      <c r="R81" s="235"/>
      <c r="S81" s="235"/>
      <c r="U81" s="235"/>
      <c r="V81" s="235"/>
      <c r="X81" s="268"/>
      <c r="Y81" s="268"/>
      <c r="Z81" s="268"/>
      <c r="AA81" s="235"/>
      <c r="AB81" s="235"/>
      <c r="AC81" s="235"/>
      <c r="AD81" s="235"/>
    </row>
    <row r="82" spans="1:47">
      <c r="E82" s="267"/>
      <c r="F82" s="235"/>
      <c r="G82" s="235"/>
      <c r="I82" s="235"/>
      <c r="J82" s="235"/>
      <c r="L82" s="235"/>
      <c r="M82" s="235"/>
      <c r="O82" s="235"/>
      <c r="P82" s="235"/>
      <c r="R82" s="235"/>
      <c r="S82" s="235"/>
      <c r="U82" s="235"/>
      <c r="V82" s="235"/>
      <c r="X82" s="268"/>
      <c r="Y82" s="268"/>
      <c r="Z82" s="268"/>
      <c r="AA82" s="235"/>
      <c r="AB82" s="235"/>
      <c r="AC82" s="235"/>
      <c r="AD82" s="235"/>
    </row>
    <row r="83" spans="1:47">
      <c r="E83" s="267"/>
      <c r="F83" s="235"/>
      <c r="G83" s="235"/>
      <c r="I83" s="235"/>
      <c r="J83" s="235"/>
      <c r="L83" s="235"/>
      <c r="M83" s="235"/>
      <c r="O83" s="235"/>
      <c r="P83" s="235"/>
      <c r="R83" s="235"/>
      <c r="S83" s="235"/>
      <c r="U83" s="235"/>
      <c r="V83" s="235"/>
      <c r="X83" s="268"/>
      <c r="Y83" s="268"/>
      <c r="Z83" s="268"/>
      <c r="AA83" s="235"/>
      <c r="AB83" s="235"/>
      <c r="AC83" s="235"/>
      <c r="AD83" s="235"/>
    </row>
    <row r="84" spans="1:47">
      <c r="E84" s="267"/>
      <c r="F84" s="235"/>
      <c r="G84" s="235"/>
      <c r="I84" s="235"/>
      <c r="J84" s="235"/>
      <c r="L84" s="235"/>
      <c r="M84" s="235"/>
      <c r="O84" s="235"/>
      <c r="P84" s="235"/>
      <c r="R84" s="235"/>
      <c r="S84" s="235"/>
      <c r="U84" s="235"/>
      <c r="V84" s="235"/>
      <c r="X84" s="268"/>
      <c r="Y84" s="268"/>
      <c r="Z84" s="268"/>
      <c r="AA84" s="235"/>
      <c r="AB84" s="235"/>
      <c r="AC84" s="235"/>
      <c r="AD84" s="235"/>
    </row>
    <row r="85" spans="1:47">
      <c r="E85" s="267"/>
      <c r="F85" s="235"/>
      <c r="G85" s="235"/>
      <c r="I85" s="235"/>
      <c r="J85" s="235"/>
      <c r="L85" s="235"/>
      <c r="M85" s="235"/>
      <c r="O85" s="235"/>
      <c r="P85" s="235"/>
      <c r="R85" s="235"/>
      <c r="S85" s="235"/>
      <c r="U85" s="235"/>
      <c r="V85" s="235"/>
      <c r="X85" s="268"/>
      <c r="Y85" s="268"/>
      <c r="Z85" s="268"/>
      <c r="AA85" s="235"/>
      <c r="AB85" s="235"/>
      <c r="AC85" s="235"/>
    </row>
    <row r="86" spans="1:47">
      <c r="A86" s="269"/>
      <c r="B86" s="269"/>
      <c r="C86" s="269"/>
      <c r="D86" s="269"/>
      <c r="E86" s="269"/>
      <c r="F86" s="270"/>
      <c r="G86" s="270"/>
      <c r="I86" s="271"/>
      <c r="J86" s="271"/>
      <c r="L86" s="271"/>
      <c r="M86" s="271"/>
      <c r="O86" s="272"/>
      <c r="P86" s="272"/>
      <c r="R86" s="271"/>
      <c r="S86" s="271"/>
      <c r="U86" s="271"/>
      <c r="V86" s="271"/>
      <c r="X86" s="269"/>
      <c r="Y86" s="269"/>
      <c r="Z86" s="269"/>
      <c r="AA86" s="273"/>
      <c r="AB86" s="273"/>
    </row>
    <row r="87" spans="1:47">
      <c r="A87" s="269"/>
      <c r="B87" s="269"/>
      <c r="C87" s="269"/>
      <c r="D87" s="269"/>
      <c r="E87" s="269"/>
      <c r="F87" s="270"/>
      <c r="G87" s="270"/>
      <c r="H87" s="235"/>
      <c r="I87" s="271"/>
      <c r="J87" s="271"/>
      <c r="K87" s="235"/>
      <c r="L87" s="271"/>
      <c r="M87" s="271"/>
      <c r="N87" s="235"/>
      <c r="O87" s="272"/>
      <c r="P87" s="272"/>
      <c r="Q87" s="235"/>
      <c r="R87" s="271"/>
      <c r="S87" s="271"/>
      <c r="T87" s="235"/>
      <c r="U87" s="271"/>
      <c r="V87" s="271"/>
      <c r="W87" s="235"/>
      <c r="X87" s="271"/>
      <c r="Y87" s="271"/>
      <c r="Z87" s="271"/>
      <c r="AA87" s="273"/>
      <c r="AB87" s="273"/>
      <c r="AC87" s="235"/>
      <c r="AD87" s="235"/>
    </row>
    <row r="88" spans="1:47">
      <c r="A88" s="269"/>
      <c r="B88" s="269"/>
      <c r="C88" s="269"/>
      <c r="D88" s="269"/>
      <c r="E88" s="269"/>
      <c r="F88" s="272"/>
      <c r="G88" s="272"/>
      <c r="H88" s="235"/>
      <c r="I88" s="272"/>
      <c r="J88" s="272"/>
      <c r="K88" s="235"/>
      <c r="L88" s="272"/>
      <c r="M88" s="272"/>
      <c r="N88" s="235"/>
      <c r="O88" s="272"/>
      <c r="P88" s="272"/>
      <c r="Q88" s="235"/>
      <c r="R88" s="272"/>
      <c r="S88" s="272"/>
      <c r="T88" s="235"/>
      <c r="U88" s="272"/>
      <c r="V88" s="272"/>
      <c r="W88" s="235"/>
      <c r="X88" s="271"/>
      <c r="Y88" s="271"/>
      <c r="Z88" s="271"/>
      <c r="AA88" s="272"/>
      <c r="AB88" s="272"/>
      <c r="AC88" s="235"/>
      <c r="AD88" s="235"/>
    </row>
    <row r="89" spans="1:47">
      <c r="A89" s="274"/>
      <c r="H89" s="235"/>
      <c r="K89" s="235"/>
      <c r="N89" s="235"/>
      <c r="Q89" s="235"/>
      <c r="T89" s="235"/>
      <c r="W89" s="235"/>
    </row>
    <row r="90" spans="1:47">
      <c r="E90" s="267"/>
      <c r="F90" s="235"/>
      <c r="G90" s="235"/>
      <c r="H90" s="235"/>
      <c r="I90" s="236"/>
      <c r="J90" s="236"/>
      <c r="K90" s="235"/>
      <c r="L90" s="236"/>
      <c r="M90" s="236"/>
      <c r="N90" s="235"/>
      <c r="O90" s="236"/>
      <c r="P90" s="236"/>
      <c r="Q90" s="235"/>
      <c r="R90" s="236"/>
      <c r="S90" s="236"/>
      <c r="T90" s="235"/>
      <c r="U90" s="236"/>
      <c r="V90" s="236"/>
      <c r="W90" s="235"/>
      <c r="X90" s="268"/>
      <c r="Y90" s="268"/>
      <c r="Z90" s="268"/>
      <c r="AA90" s="236"/>
      <c r="AB90" s="236"/>
      <c r="AC90" s="236"/>
      <c r="AD90" s="235"/>
      <c r="AH90" s="268"/>
      <c r="AI90" s="268"/>
      <c r="AJ90" s="268"/>
      <c r="AK90" s="268"/>
      <c r="AL90" s="268"/>
      <c r="AM90" s="268"/>
      <c r="AP90" s="236"/>
      <c r="AQ90" s="236"/>
      <c r="AR90" s="236"/>
      <c r="AS90" s="236"/>
      <c r="AT90" s="236"/>
      <c r="AU90" s="236"/>
    </row>
    <row r="91" spans="1:47">
      <c r="E91" s="267"/>
      <c r="F91" s="235"/>
      <c r="G91" s="235"/>
      <c r="H91" s="235"/>
      <c r="I91" s="236"/>
      <c r="J91" s="236"/>
      <c r="K91" s="235"/>
      <c r="L91" s="236"/>
      <c r="M91" s="236"/>
      <c r="N91" s="235"/>
      <c r="O91" s="236"/>
      <c r="P91" s="236"/>
      <c r="Q91" s="235"/>
      <c r="R91" s="236"/>
      <c r="S91" s="236"/>
      <c r="T91" s="235"/>
      <c r="U91" s="236"/>
      <c r="V91" s="236"/>
      <c r="W91" s="235"/>
      <c r="X91" s="268"/>
      <c r="Y91" s="268"/>
      <c r="Z91" s="268"/>
      <c r="AA91" s="236"/>
      <c r="AB91" s="236"/>
      <c r="AC91" s="236"/>
      <c r="AD91" s="235"/>
      <c r="AH91" s="268"/>
      <c r="AI91" s="268"/>
      <c r="AJ91" s="268"/>
      <c r="AK91" s="268"/>
      <c r="AL91" s="268"/>
      <c r="AM91" s="268"/>
      <c r="AP91" s="236"/>
      <c r="AQ91" s="236"/>
      <c r="AR91" s="236"/>
      <c r="AS91" s="236"/>
      <c r="AT91" s="236"/>
      <c r="AU91" s="236"/>
    </row>
    <row r="92" spans="1:47">
      <c r="E92" s="267"/>
      <c r="F92" s="235"/>
      <c r="G92" s="235"/>
      <c r="H92" s="235"/>
      <c r="I92" s="236"/>
      <c r="J92" s="236"/>
      <c r="K92" s="235"/>
      <c r="L92" s="236"/>
      <c r="M92" s="236"/>
      <c r="N92" s="235"/>
      <c r="O92" s="236"/>
      <c r="P92" s="236"/>
      <c r="Q92" s="235"/>
      <c r="R92" s="236"/>
      <c r="S92" s="236"/>
      <c r="T92" s="235"/>
      <c r="U92" s="236"/>
      <c r="V92" s="236"/>
      <c r="W92" s="235"/>
      <c r="X92" s="268"/>
      <c r="Y92" s="268"/>
      <c r="Z92" s="268"/>
      <c r="AA92" s="236"/>
      <c r="AB92" s="236"/>
      <c r="AC92" s="236"/>
      <c r="AD92" s="235"/>
      <c r="AH92" s="268"/>
      <c r="AI92" s="268"/>
      <c r="AJ92" s="268"/>
      <c r="AK92" s="268"/>
      <c r="AL92" s="268"/>
      <c r="AM92" s="268"/>
      <c r="AP92" s="236"/>
      <c r="AQ92" s="236"/>
      <c r="AR92" s="236"/>
      <c r="AS92" s="236"/>
      <c r="AT92" s="236"/>
      <c r="AU92" s="236"/>
    </row>
    <row r="93" spans="1:47">
      <c r="E93" s="267"/>
      <c r="F93" s="235"/>
      <c r="G93" s="235"/>
      <c r="H93" s="235"/>
      <c r="I93" s="236"/>
      <c r="J93" s="236"/>
      <c r="K93" s="235"/>
      <c r="L93" s="236"/>
      <c r="M93" s="236"/>
      <c r="N93" s="235"/>
      <c r="O93" s="236"/>
      <c r="P93" s="236"/>
      <c r="Q93" s="235"/>
      <c r="R93" s="236"/>
      <c r="S93" s="236"/>
      <c r="T93" s="235"/>
      <c r="U93" s="236"/>
      <c r="V93" s="236"/>
      <c r="W93" s="235"/>
      <c r="X93" s="268"/>
      <c r="Y93" s="268"/>
      <c r="Z93" s="268"/>
      <c r="AA93" s="236"/>
      <c r="AB93" s="236"/>
      <c r="AC93" s="236"/>
      <c r="AD93" s="235"/>
      <c r="AH93" s="268"/>
      <c r="AI93" s="268"/>
      <c r="AJ93" s="268"/>
      <c r="AK93" s="268"/>
      <c r="AL93" s="268"/>
      <c r="AM93" s="268"/>
      <c r="AP93" s="236"/>
      <c r="AQ93" s="236"/>
      <c r="AR93" s="236"/>
      <c r="AS93" s="236"/>
      <c r="AT93" s="236"/>
      <c r="AU93" s="236"/>
    </row>
    <row r="94" spans="1:47">
      <c r="A94" s="269"/>
      <c r="B94" s="269"/>
      <c r="C94" s="269"/>
      <c r="D94" s="269"/>
      <c r="E94" s="269"/>
      <c r="F94" s="275"/>
      <c r="G94" s="275"/>
      <c r="I94" s="273"/>
      <c r="J94" s="273"/>
      <c r="L94" s="273"/>
      <c r="M94" s="273"/>
      <c r="O94" s="273"/>
      <c r="P94" s="273"/>
      <c r="R94" s="273"/>
      <c r="S94" s="273"/>
      <c r="U94" s="273"/>
      <c r="V94" s="273"/>
      <c r="X94" s="271"/>
      <c r="Y94" s="271"/>
      <c r="Z94" s="275"/>
      <c r="AA94" s="273"/>
      <c r="AB94" s="273"/>
      <c r="AC94" s="236"/>
      <c r="AD94" s="235"/>
      <c r="AP94" s="236"/>
      <c r="AQ94" s="236"/>
      <c r="AR94" s="236"/>
      <c r="AS94" s="236"/>
      <c r="AT94" s="236"/>
      <c r="AU94" s="236"/>
    </row>
    <row r="95" spans="1:47">
      <c r="A95" s="269"/>
      <c r="B95" s="269"/>
      <c r="C95" s="269"/>
      <c r="D95" s="269"/>
      <c r="E95" s="269"/>
      <c r="F95" s="275"/>
      <c r="G95" s="275"/>
      <c r="I95" s="273"/>
      <c r="J95" s="273"/>
      <c r="L95" s="273"/>
      <c r="M95" s="273"/>
      <c r="O95" s="273"/>
      <c r="P95" s="273"/>
      <c r="R95" s="273"/>
      <c r="S95" s="273"/>
      <c r="U95" s="273"/>
      <c r="V95" s="273"/>
      <c r="X95" s="271"/>
      <c r="Y95" s="271"/>
      <c r="Z95" s="276"/>
      <c r="AA95" s="275"/>
      <c r="AB95" s="275"/>
    </row>
    <row r="96" spans="1:47">
      <c r="A96" s="269"/>
      <c r="B96" s="269"/>
      <c r="C96" s="269"/>
      <c r="D96" s="269"/>
      <c r="E96" s="269"/>
      <c r="F96" s="270"/>
      <c r="G96" s="270"/>
      <c r="I96" s="271"/>
      <c r="J96" s="271"/>
      <c r="L96" s="271"/>
      <c r="M96" s="271"/>
      <c r="O96" s="271"/>
      <c r="P96" s="271"/>
      <c r="R96" s="271"/>
      <c r="S96" s="271"/>
      <c r="U96" s="271"/>
      <c r="V96" s="271"/>
      <c r="X96" s="271"/>
      <c r="Y96" s="271"/>
      <c r="Z96" s="269"/>
      <c r="AA96" s="271"/>
      <c r="AB96" s="271"/>
    </row>
    <row r="97" spans="1:47">
      <c r="A97" s="274"/>
      <c r="L97" s="277"/>
      <c r="M97" s="277"/>
      <c r="AC97" s="236"/>
      <c r="AD97" s="236"/>
      <c r="AE97" s="236"/>
      <c r="AF97" s="236"/>
      <c r="AN97" s="236"/>
      <c r="AO97" s="236"/>
      <c r="AP97" s="236"/>
      <c r="AQ97" s="236"/>
      <c r="AR97" s="236"/>
      <c r="AS97" s="236"/>
    </row>
    <row r="98" spans="1:47">
      <c r="E98" s="267"/>
      <c r="F98" s="236"/>
      <c r="G98" s="236"/>
      <c r="H98" s="236"/>
      <c r="I98" s="236"/>
      <c r="J98" s="236"/>
      <c r="K98" s="236"/>
      <c r="L98" s="236"/>
      <c r="M98" s="236"/>
      <c r="N98" s="236"/>
      <c r="O98" s="278"/>
      <c r="P98" s="277"/>
      <c r="Q98" s="278"/>
      <c r="R98" s="278"/>
      <c r="S98" s="277"/>
      <c r="T98" s="278"/>
      <c r="U98" s="236"/>
      <c r="V98" s="236"/>
      <c r="W98" s="236"/>
      <c r="X98" s="278"/>
      <c r="Y98" s="278"/>
      <c r="Z98" s="278"/>
      <c r="AA98" s="235"/>
      <c r="AB98" s="235"/>
      <c r="AC98" s="235"/>
      <c r="AD98" s="235"/>
      <c r="AH98" s="278"/>
      <c r="AI98" s="278"/>
      <c r="AJ98" s="278"/>
      <c r="AK98" s="278"/>
      <c r="AL98" s="278"/>
      <c r="AM98" s="278"/>
      <c r="AN98" s="278"/>
      <c r="AP98" s="236"/>
      <c r="AQ98" s="236"/>
      <c r="AR98" s="236"/>
      <c r="AS98" s="236"/>
      <c r="AT98" s="236"/>
      <c r="AU98" s="236"/>
    </row>
    <row r="99" spans="1:47">
      <c r="E99" s="267"/>
      <c r="F99" s="236"/>
      <c r="G99" s="236"/>
      <c r="H99" s="236"/>
      <c r="I99" s="236"/>
      <c r="J99" s="236"/>
      <c r="K99" s="236"/>
      <c r="L99" s="236"/>
      <c r="M99" s="236"/>
      <c r="N99" s="236"/>
      <c r="O99" s="278"/>
      <c r="P99" s="277"/>
      <c r="Q99" s="278"/>
      <c r="R99" s="278"/>
      <c r="S99" s="277"/>
      <c r="T99" s="278"/>
      <c r="U99" s="236"/>
      <c r="V99" s="236"/>
      <c r="W99" s="236"/>
      <c r="X99" s="278"/>
      <c r="Y99" s="278"/>
      <c r="Z99" s="278"/>
      <c r="AA99" s="235"/>
      <c r="AB99" s="235"/>
      <c r="AC99" s="235"/>
      <c r="AD99" s="235"/>
      <c r="AH99" s="278"/>
      <c r="AI99" s="278"/>
      <c r="AJ99" s="278"/>
      <c r="AK99" s="278"/>
      <c r="AL99" s="278"/>
      <c r="AM99" s="278"/>
      <c r="AN99" s="278"/>
      <c r="AP99" s="236"/>
      <c r="AQ99" s="236"/>
      <c r="AR99" s="236"/>
      <c r="AS99" s="236"/>
      <c r="AT99" s="236"/>
      <c r="AU99" s="236"/>
    </row>
    <row r="100" spans="1:47">
      <c r="E100" s="267"/>
      <c r="F100" s="236"/>
      <c r="G100" s="236"/>
      <c r="H100" s="236"/>
      <c r="I100" s="236"/>
      <c r="J100" s="236"/>
      <c r="K100" s="236"/>
      <c r="L100" s="236"/>
      <c r="M100" s="236"/>
      <c r="N100" s="236"/>
      <c r="O100" s="278"/>
      <c r="P100" s="277"/>
      <c r="Q100" s="278"/>
      <c r="R100" s="278"/>
      <c r="S100" s="277"/>
      <c r="T100" s="278"/>
      <c r="U100" s="236"/>
      <c r="V100" s="236"/>
      <c r="W100" s="236"/>
      <c r="X100" s="278"/>
      <c r="Y100" s="278"/>
      <c r="Z100" s="278"/>
      <c r="AA100" s="235"/>
      <c r="AB100" s="235"/>
      <c r="AC100" s="235"/>
      <c r="AD100" s="235"/>
      <c r="AH100" s="278"/>
      <c r="AI100" s="278"/>
      <c r="AJ100" s="278"/>
      <c r="AK100" s="278"/>
      <c r="AL100" s="278"/>
      <c r="AM100" s="278"/>
      <c r="AN100" s="278"/>
      <c r="AP100" s="236"/>
      <c r="AQ100" s="236"/>
      <c r="AR100" s="236"/>
      <c r="AS100" s="236"/>
      <c r="AT100" s="236"/>
      <c r="AU100" s="236"/>
    </row>
    <row r="101" spans="1:47">
      <c r="E101" s="267"/>
      <c r="F101" s="236"/>
      <c r="G101" s="236"/>
      <c r="H101" s="236"/>
      <c r="I101" s="236"/>
      <c r="J101" s="236"/>
      <c r="K101" s="236"/>
      <c r="L101" s="236"/>
      <c r="M101" s="236"/>
      <c r="N101" s="236"/>
      <c r="O101" s="278"/>
      <c r="P101" s="277"/>
      <c r="Q101" s="278"/>
      <c r="R101" s="278"/>
      <c r="S101" s="277"/>
      <c r="T101" s="278"/>
      <c r="U101" s="236"/>
      <c r="V101" s="236"/>
      <c r="W101" s="236"/>
      <c r="X101" s="278"/>
      <c r="Y101" s="278"/>
      <c r="Z101" s="278"/>
      <c r="AA101" s="235"/>
      <c r="AB101" s="235"/>
      <c r="AC101" s="235"/>
      <c r="AD101" s="235"/>
      <c r="AH101" s="278"/>
      <c r="AI101" s="278"/>
      <c r="AJ101" s="278"/>
      <c r="AK101" s="278"/>
      <c r="AL101" s="278"/>
      <c r="AM101" s="278"/>
      <c r="AN101" s="278"/>
      <c r="AP101" s="236"/>
      <c r="AQ101" s="236"/>
      <c r="AR101" s="236"/>
      <c r="AS101" s="236"/>
      <c r="AT101" s="236"/>
      <c r="AU101" s="236"/>
    </row>
    <row r="102" spans="1:47">
      <c r="E102" s="267"/>
      <c r="F102" s="236"/>
      <c r="G102" s="236"/>
      <c r="H102" s="236"/>
      <c r="I102" s="236"/>
      <c r="J102" s="236"/>
      <c r="K102" s="236"/>
      <c r="L102" s="236"/>
      <c r="M102" s="236"/>
      <c r="N102" s="236"/>
      <c r="O102" s="278"/>
      <c r="P102" s="277"/>
      <c r="Q102" s="278"/>
      <c r="R102" s="278"/>
      <c r="S102" s="277"/>
      <c r="T102" s="278"/>
      <c r="U102" s="236"/>
      <c r="V102" s="236"/>
      <c r="W102" s="236"/>
      <c r="X102" s="278"/>
      <c r="Y102" s="278"/>
      <c r="Z102" s="278"/>
      <c r="AA102" s="235"/>
      <c r="AB102" s="235"/>
      <c r="AC102" s="235"/>
      <c r="AD102" s="235"/>
      <c r="AH102" s="278"/>
      <c r="AI102" s="278"/>
      <c r="AJ102" s="278"/>
      <c r="AK102" s="278"/>
      <c r="AL102" s="278"/>
      <c r="AM102" s="278"/>
      <c r="AN102" s="278"/>
      <c r="AP102" s="236"/>
      <c r="AQ102" s="236"/>
      <c r="AR102" s="236"/>
      <c r="AS102" s="236"/>
      <c r="AT102" s="236"/>
      <c r="AU102" s="236"/>
    </row>
    <row r="103" spans="1:47">
      <c r="E103" s="267"/>
      <c r="F103" s="236"/>
      <c r="G103" s="236"/>
      <c r="H103" s="236"/>
      <c r="I103" s="236"/>
      <c r="J103" s="236"/>
      <c r="K103" s="236"/>
      <c r="L103" s="236"/>
      <c r="M103" s="236"/>
      <c r="N103" s="236"/>
      <c r="O103" s="278"/>
      <c r="P103" s="277"/>
      <c r="Q103" s="278"/>
      <c r="R103" s="278"/>
      <c r="S103" s="277"/>
      <c r="T103" s="278"/>
      <c r="U103" s="236"/>
      <c r="V103" s="236"/>
      <c r="W103" s="236"/>
      <c r="X103" s="278"/>
      <c r="Y103" s="278"/>
      <c r="Z103" s="278"/>
      <c r="AA103" s="235"/>
      <c r="AB103" s="235"/>
      <c r="AC103" s="235"/>
      <c r="AD103" s="235"/>
      <c r="AH103" s="278"/>
      <c r="AI103" s="278"/>
      <c r="AJ103" s="278"/>
      <c r="AK103" s="278"/>
      <c r="AL103" s="278"/>
      <c r="AM103" s="278"/>
      <c r="AN103" s="278"/>
      <c r="AQ103" s="236"/>
      <c r="AR103" s="236"/>
      <c r="AS103" s="236"/>
      <c r="AT103" s="236"/>
      <c r="AU103" s="236"/>
    </row>
    <row r="104" spans="1:47">
      <c r="E104" s="267"/>
      <c r="F104" s="236"/>
      <c r="G104" s="236"/>
      <c r="H104" s="236"/>
      <c r="I104" s="236"/>
      <c r="J104" s="236"/>
      <c r="K104" s="236"/>
      <c r="L104" s="236"/>
      <c r="M104" s="236"/>
      <c r="N104" s="236"/>
      <c r="O104" s="278"/>
      <c r="P104" s="277"/>
      <c r="Q104" s="278"/>
      <c r="R104" s="278"/>
      <c r="S104" s="277"/>
      <c r="T104" s="278"/>
      <c r="U104" s="236"/>
      <c r="V104" s="236"/>
      <c r="W104" s="236"/>
      <c r="X104" s="278"/>
      <c r="Y104" s="278"/>
      <c r="Z104" s="278"/>
      <c r="AA104" s="235"/>
      <c r="AB104" s="235"/>
      <c r="AC104" s="235"/>
      <c r="AD104" s="235"/>
      <c r="AH104" s="278"/>
      <c r="AI104" s="278"/>
      <c r="AJ104" s="278"/>
      <c r="AK104" s="278"/>
      <c r="AL104" s="278"/>
      <c r="AM104" s="278"/>
      <c r="AN104" s="278"/>
      <c r="AQ104" s="236"/>
      <c r="AR104" s="236"/>
      <c r="AS104" s="236"/>
      <c r="AT104" s="236"/>
      <c r="AU104" s="236"/>
    </row>
    <row r="105" spans="1:47">
      <c r="E105" s="267"/>
      <c r="F105" s="236"/>
      <c r="G105" s="236"/>
      <c r="H105" s="236"/>
      <c r="I105" s="236"/>
      <c r="J105" s="236"/>
      <c r="K105" s="236"/>
      <c r="L105" s="236"/>
      <c r="M105" s="236"/>
      <c r="N105" s="236"/>
      <c r="O105" s="278"/>
      <c r="P105" s="277"/>
      <c r="Q105" s="278"/>
      <c r="R105" s="278"/>
      <c r="S105" s="277"/>
      <c r="T105" s="278"/>
      <c r="U105" s="236"/>
      <c r="V105" s="236"/>
      <c r="W105" s="236"/>
      <c r="X105" s="278"/>
      <c r="Y105" s="278"/>
      <c r="Z105" s="278"/>
      <c r="AA105" s="235"/>
      <c r="AB105" s="235"/>
      <c r="AC105" s="235"/>
      <c r="AD105" s="235"/>
      <c r="AH105" s="278"/>
      <c r="AI105" s="278"/>
      <c r="AJ105" s="278"/>
      <c r="AK105" s="278"/>
      <c r="AL105" s="278"/>
      <c r="AM105" s="278"/>
      <c r="AN105" s="278"/>
      <c r="AP105" s="236"/>
      <c r="AQ105" s="236"/>
      <c r="AR105" s="236"/>
      <c r="AS105" s="236"/>
      <c r="AT105" s="236"/>
      <c r="AU105" s="236"/>
    </row>
    <row r="106" spans="1:47">
      <c r="E106" s="267"/>
      <c r="F106" s="236"/>
      <c r="G106" s="236"/>
      <c r="H106" s="236"/>
      <c r="I106" s="236"/>
      <c r="J106" s="236"/>
      <c r="K106" s="236"/>
      <c r="L106" s="236"/>
      <c r="M106" s="236"/>
      <c r="N106" s="236"/>
      <c r="O106" s="278"/>
      <c r="P106" s="277"/>
      <c r="Q106" s="278"/>
      <c r="R106" s="278"/>
      <c r="S106" s="277"/>
      <c r="T106" s="278"/>
      <c r="U106" s="236"/>
      <c r="V106" s="236"/>
      <c r="W106" s="236"/>
      <c r="X106" s="278"/>
      <c r="Y106" s="278"/>
      <c r="Z106" s="278"/>
      <c r="AA106" s="235"/>
      <c r="AB106" s="235"/>
      <c r="AC106" s="235"/>
      <c r="AD106" s="235"/>
      <c r="AH106" s="278"/>
      <c r="AI106" s="278"/>
      <c r="AJ106" s="278"/>
      <c r="AK106" s="278"/>
      <c r="AL106" s="278"/>
      <c r="AM106" s="278"/>
      <c r="AN106" s="278"/>
      <c r="AP106" s="236"/>
      <c r="AQ106" s="236"/>
      <c r="AR106" s="236"/>
      <c r="AS106" s="236"/>
      <c r="AT106" s="236"/>
      <c r="AU106" s="236"/>
    </row>
    <row r="107" spans="1:47">
      <c r="A107" s="269"/>
      <c r="B107" s="269"/>
      <c r="C107" s="269"/>
      <c r="D107" s="269"/>
      <c r="E107" s="269"/>
      <c r="F107" s="273"/>
      <c r="G107" s="273"/>
      <c r="I107" s="273"/>
      <c r="J107" s="273"/>
      <c r="L107" s="273"/>
      <c r="M107" s="273"/>
      <c r="O107" s="270"/>
      <c r="P107" s="279"/>
      <c r="R107" s="270"/>
      <c r="S107" s="279"/>
      <c r="U107" s="273"/>
      <c r="V107" s="273"/>
      <c r="X107" s="270"/>
      <c r="Y107" s="270"/>
      <c r="Z107" s="269"/>
      <c r="AA107" s="275"/>
      <c r="AB107" s="275"/>
    </row>
    <row r="108" spans="1:47">
      <c r="A108" s="269"/>
      <c r="B108" s="269"/>
      <c r="C108" s="269"/>
      <c r="D108" s="269"/>
      <c r="E108" s="269"/>
      <c r="F108" s="273"/>
      <c r="G108" s="273"/>
      <c r="I108" s="273"/>
      <c r="J108" s="273"/>
      <c r="L108" s="273"/>
      <c r="M108" s="273"/>
      <c r="O108" s="270"/>
      <c r="P108" s="279"/>
      <c r="R108" s="270"/>
      <c r="S108" s="279"/>
      <c r="U108" s="273"/>
      <c r="V108" s="273"/>
      <c r="X108" s="270"/>
      <c r="Y108" s="270"/>
      <c r="Z108" s="273"/>
      <c r="AA108" s="275"/>
      <c r="AB108" s="275"/>
    </row>
    <row r="109" spans="1:47">
      <c r="A109" s="269"/>
      <c r="B109" s="269"/>
      <c r="C109" s="269"/>
      <c r="D109" s="269"/>
      <c r="E109" s="269"/>
      <c r="F109" s="271"/>
      <c r="G109" s="271"/>
      <c r="I109" s="271"/>
      <c r="J109" s="271"/>
      <c r="L109" s="271"/>
      <c r="M109" s="271"/>
      <c r="O109" s="271"/>
      <c r="P109" s="271"/>
      <c r="R109" s="271"/>
      <c r="S109" s="271"/>
      <c r="U109" s="271"/>
      <c r="V109" s="271"/>
      <c r="X109" s="271"/>
      <c r="Y109" s="271"/>
      <c r="Z109" s="269"/>
      <c r="AA109" s="271"/>
      <c r="AB109" s="271"/>
    </row>
    <row r="111" spans="1:47">
      <c r="E111" s="269"/>
    </row>
    <row r="112" spans="1:47">
      <c r="E112" s="269"/>
      <c r="F112" s="273"/>
      <c r="G112" s="273"/>
      <c r="I112" s="273"/>
      <c r="J112" s="273"/>
      <c r="L112" s="273"/>
      <c r="M112" s="273"/>
      <c r="O112" s="270"/>
      <c r="P112" s="279"/>
      <c r="R112" s="270"/>
      <c r="S112" s="279"/>
      <c r="U112" s="273"/>
      <c r="V112" s="273"/>
      <c r="X112" s="270"/>
      <c r="Y112" s="270"/>
      <c r="Z112" s="269"/>
      <c r="AA112" s="275"/>
      <c r="AB112" s="275"/>
    </row>
    <row r="113" spans="1:32">
      <c r="E113" s="269"/>
      <c r="F113" s="273"/>
      <c r="G113" s="273"/>
      <c r="I113" s="273"/>
      <c r="J113" s="273"/>
      <c r="L113" s="273"/>
      <c r="M113" s="273"/>
      <c r="O113" s="270"/>
      <c r="P113" s="279"/>
      <c r="R113" s="270"/>
      <c r="S113" s="279"/>
      <c r="U113" s="273"/>
      <c r="V113" s="273"/>
      <c r="X113" s="270"/>
      <c r="Y113" s="270"/>
      <c r="Z113" s="273"/>
      <c r="AA113" s="275"/>
      <c r="AB113" s="275"/>
    </row>
    <row r="114" spans="1:32">
      <c r="E114" s="269"/>
      <c r="F114" s="271"/>
      <c r="G114" s="271"/>
      <c r="I114" s="271"/>
      <c r="J114" s="271"/>
      <c r="L114" s="271"/>
      <c r="M114" s="271"/>
      <c r="O114" s="271"/>
      <c r="P114" s="271"/>
      <c r="R114" s="271"/>
      <c r="S114" s="271"/>
      <c r="U114" s="271"/>
      <c r="V114" s="271"/>
      <c r="X114" s="271"/>
      <c r="Y114" s="271"/>
      <c r="Z114" s="269"/>
      <c r="AA114" s="271"/>
      <c r="AB114" s="271"/>
    </row>
    <row r="115" spans="1:32">
      <c r="E115" s="269"/>
      <c r="F115" s="271"/>
      <c r="G115" s="271"/>
      <c r="I115" s="271"/>
      <c r="J115" s="271"/>
      <c r="L115" s="271"/>
      <c r="M115" s="271"/>
      <c r="O115" s="271"/>
      <c r="P115" s="271"/>
      <c r="R115" s="271"/>
      <c r="S115" s="271"/>
      <c r="U115" s="271"/>
      <c r="V115" s="271"/>
      <c r="X115" s="271"/>
      <c r="Y115" s="271"/>
      <c r="Z115" s="269"/>
      <c r="AA115" s="271"/>
      <c r="AB115" s="271"/>
    </row>
    <row r="116" spans="1:32">
      <c r="E116" s="269"/>
    </row>
    <row r="117" spans="1:32">
      <c r="C117" s="236"/>
      <c r="E117" s="269"/>
      <c r="F117" s="273"/>
      <c r="G117" s="273"/>
      <c r="I117" s="273"/>
      <c r="J117" s="273"/>
      <c r="L117" s="273"/>
      <c r="M117" s="273"/>
      <c r="O117" s="270"/>
      <c r="P117" s="279"/>
      <c r="R117" s="270"/>
      <c r="S117" s="279"/>
      <c r="U117" s="273"/>
      <c r="V117" s="273"/>
      <c r="X117" s="270"/>
      <c r="Y117" s="270"/>
      <c r="Z117" s="269"/>
      <c r="AA117" s="275"/>
      <c r="AB117" s="275"/>
      <c r="AD117" s="235"/>
      <c r="AE117" s="235"/>
      <c r="AF117" s="235"/>
    </row>
    <row r="118" spans="1:32">
      <c r="C118" s="236"/>
      <c r="E118" s="269"/>
      <c r="F118" s="273"/>
      <c r="G118" s="273"/>
      <c r="I118" s="273"/>
      <c r="J118" s="273"/>
      <c r="L118" s="273"/>
      <c r="M118" s="273"/>
      <c r="O118" s="270"/>
      <c r="P118" s="279"/>
      <c r="R118" s="270"/>
      <c r="S118" s="279"/>
      <c r="U118" s="273"/>
      <c r="V118" s="273"/>
      <c r="X118" s="270"/>
      <c r="Y118" s="270"/>
      <c r="Z118" s="273"/>
      <c r="AA118" s="275"/>
      <c r="AB118" s="275"/>
      <c r="AD118" s="235"/>
      <c r="AE118" s="235"/>
      <c r="AF118" s="235"/>
    </row>
    <row r="119" spans="1:32">
      <c r="C119" s="236"/>
      <c r="E119" s="269"/>
      <c r="F119" s="271"/>
      <c r="G119" s="271"/>
      <c r="I119" s="271"/>
      <c r="J119" s="271"/>
      <c r="L119" s="271"/>
      <c r="M119" s="271"/>
      <c r="N119" s="65"/>
      <c r="O119" s="271"/>
      <c r="P119" s="271"/>
      <c r="R119" s="271"/>
      <c r="S119" s="271"/>
      <c r="U119" s="271"/>
      <c r="V119" s="271"/>
      <c r="X119" s="271"/>
      <c r="Y119" s="271"/>
      <c r="Z119" s="269"/>
      <c r="AA119" s="271"/>
      <c r="AB119" s="271"/>
      <c r="AD119" s="235"/>
      <c r="AE119" s="235"/>
      <c r="AF119" s="235"/>
    </row>
    <row r="120" spans="1:32">
      <c r="C120" s="236"/>
      <c r="N120" s="65"/>
      <c r="AA120" s="235"/>
      <c r="AB120" s="235"/>
      <c r="AD120" s="235"/>
      <c r="AE120" s="235"/>
      <c r="AF120" s="235"/>
    </row>
    <row r="121" spans="1:32">
      <c r="E121" s="269"/>
      <c r="N121" s="65"/>
    </row>
    <row r="122" spans="1:32">
      <c r="A122" s="269"/>
      <c r="B122" s="269"/>
      <c r="C122" s="269"/>
      <c r="D122" s="269"/>
      <c r="E122" s="269"/>
      <c r="F122" s="273"/>
      <c r="G122" s="273"/>
      <c r="I122" s="273"/>
      <c r="J122" s="273"/>
      <c r="L122" s="273"/>
      <c r="M122" s="273"/>
      <c r="N122" s="65"/>
      <c r="O122" s="270"/>
      <c r="P122" s="279"/>
      <c r="R122" s="270"/>
      <c r="S122" s="279"/>
      <c r="U122" s="273"/>
      <c r="V122" s="273"/>
      <c r="X122" s="270"/>
      <c r="Y122" s="270"/>
      <c r="Z122" s="269"/>
      <c r="AA122" s="275"/>
      <c r="AB122" s="275"/>
    </row>
    <row r="123" spans="1:32">
      <c r="A123" s="269"/>
      <c r="B123" s="269"/>
      <c r="C123" s="269"/>
      <c r="D123" s="269"/>
      <c r="E123" s="269"/>
      <c r="F123" s="273"/>
      <c r="G123" s="273"/>
      <c r="I123" s="273"/>
      <c r="J123" s="273"/>
      <c r="L123" s="273"/>
      <c r="M123" s="273"/>
      <c r="N123" s="65"/>
      <c r="O123" s="270"/>
      <c r="P123" s="279"/>
      <c r="R123" s="270"/>
      <c r="S123" s="279"/>
      <c r="U123" s="273"/>
      <c r="V123" s="273"/>
      <c r="X123" s="270"/>
      <c r="Y123" s="270"/>
      <c r="Z123" s="269"/>
      <c r="AA123" s="275"/>
      <c r="AB123" s="275"/>
    </row>
    <row r="124" spans="1:32">
      <c r="A124" s="269"/>
      <c r="B124" s="269"/>
      <c r="C124" s="269"/>
      <c r="D124" s="269"/>
      <c r="E124" s="269"/>
      <c r="F124" s="271"/>
      <c r="G124" s="271"/>
      <c r="I124" s="271"/>
      <c r="J124" s="271"/>
      <c r="L124" s="271"/>
      <c r="M124" s="271"/>
      <c r="N124" s="65"/>
      <c r="O124" s="271"/>
      <c r="P124" s="271"/>
      <c r="R124" s="271"/>
      <c r="S124" s="271"/>
      <c r="U124" s="271"/>
      <c r="V124" s="271"/>
      <c r="X124" s="271"/>
      <c r="Y124" s="271"/>
      <c r="Z124" s="269"/>
      <c r="AA124" s="271"/>
      <c r="AB124" s="271"/>
    </row>
    <row r="125" spans="1:32">
      <c r="C125" s="236"/>
      <c r="N125" s="65"/>
      <c r="AA125" s="235"/>
      <c r="AB125" s="235"/>
      <c r="AD125" s="235"/>
      <c r="AE125" s="235"/>
      <c r="AF125" s="235"/>
    </row>
    <row r="126" spans="1:32">
      <c r="C126" s="236"/>
      <c r="N126" s="65"/>
      <c r="AA126" s="235"/>
      <c r="AB126" s="235"/>
      <c r="AD126" s="235"/>
      <c r="AE126" s="235"/>
      <c r="AF126" s="235"/>
    </row>
    <row r="127" spans="1:32">
      <c r="C127" s="236"/>
      <c r="N127" s="65"/>
      <c r="AA127" s="235"/>
      <c r="AB127" s="235"/>
      <c r="AD127" s="235"/>
      <c r="AE127" s="235"/>
      <c r="AF127" s="235"/>
    </row>
    <row r="128" spans="1:32">
      <c r="C128" s="236"/>
      <c r="N128" s="65"/>
      <c r="AA128" s="235"/>
      <c r="AB128" s="235"/>
      <c r="AD128" s="235"/>
      <c r="AE128" s="235"/>
      <c r="AF128" s="235"/>
    </row>
    <row r="129" spans="3:32">
      <c r="C129" s="236"/>
      <c r="N129" s="65"/>
      <c r="AA129" s="235"/>
      <c r="AB129" s="235"/>
      <c r="AD129" s="235"/>
      <c r="AE129" s="235"/>
      <c r="AF129" s="235"/>
    </row>
    <row r="130" spans="3:32">
      <c r="C130" s="236"/>
      <c r="N130" s="65"/>
      <c r="AA130" s="235"/>
      <c r="AB130" s="235"/>
      <c r="AD130" s="235"/>
      <c r="AE130" s="235"/>
      <c r="AF130" s="235"/>
    </row>
    <row r="131" spans="3:32">
      <c r="C131" s="236"/>
      <c r="N131" s="65"/>
      <c r="AA131" s="235"/>
      <c r="AB131" s="235"/>
      <c r="AD131" s="235"/>
      <c r="AE131" s="235"/>
      <c r="AF131" s="235"/>
    </row>
    <row r="132" spans="3:32">
      <c r="C132" s="236"/>
      <c r="N132" s="65"/>
      <c r="AA132" s="235"/>
      <c r="AB132" s="235"/>
      <c r="AD132" s="235"/>
      <c r="AE132" s="235"/>
      <c r="AF132" s="235"/>
    </row>
    <row r="133" spans="3:32">
      <c r="C133" s="236"/>
      <c r="N133" s="65"/>
      <c r="AA133" s="235"/>
      <c r="AB133" s="235"/>
      <c r="AD133" s="235"/>
      <c r="AE133" s="235"/>
      <c r="AF133" s="235"/>
    </row>
    <row r="134" spans="3:32">
      <c r="C134" s="236"/>
      <c r="N134" s="65"/>
      <c r="AA134" s="235"/>
      <c r="AB134" s="235"/>
      <c r="AD134" s="235"/>
      <c r="AE134" s="235"/>
      <c r="AF134" s="235"/>
    </row>
    <row r="135" spans="3:32">
      <c r="C135" s="236"/>
      <c r="N135" s="65"/>
      <c r="AA135" s="235"/>
      <c r="AB135" s="235"/>
      <c r="AD135" s="235"/>
      <c r="AE135" s="235"/>
      <c r="AF135" s="235"/>
    </row>
    <row r="136" spans="3:32">
      <c r="C136" s="236"/>
      <c r="N136" s="65"/>
      <c r="AA136" s="235"/>
      <c r="AB136" s="235"/>
      <c r="AD136" s="235"/>
      <c r="AE136" s="235"/>
      <c r="AF136" s="235"/>
    </row>
    <row r="137" spans="3:32">
      <c r="C137" s="236"/>
      <c r="N137" s="65"/>
      <c r="AA137" s="235"/>
      <c r="AB137" s="235"/>
      <c r="AD137" s="235"/>
      <c r="AE137" s="235"/>
      <c r="AF137" s="235"/>
    </row>
    <row r="138" spans="3:32">
      <c r="C138" s="236"/>
      <c r="N138" s="208"/>
      <c r="AA138" s="235"/>
      <c r="AB138" s="235"/>
      <c r="AD138" s="235"/>
      <c r="AE138" s="235"/>
      <c r="AF138" s="235"/>
    </row>
    <row r="139" spans="3:32">
      <c r="C139" s="236"/>
      <c r="AA139" s="235"/>
      <c r="AB139" s="235"/>
      <c r="AD139" s="235"/>
      <c r="AE139" s="235"/>
      <c r="AF139" s="235"/>
    </row>
    <row r="140" spans="3:32">
      <c r="C140" s="236"/>
      <c r="AA140" s="235"/>
      <c r="AB140" s="235"/>
      <c r="AD140" s="235"/>
      <c r="AE140" s="235"/>
      <c r="AF140" s="235"/>
    </row>
    <row r="141" spans="3:32">
      <c r="C141" s="236"/>
      <c r="AA141" s="235"/>
      <c r="AB141" s="235"/>
      <c r="AD141" s="235"/>
      <c r="AE141" s="235"/>
      <c r="AF141" s="235"/>
    </row>
    <row r="142" spans="3:32">
      <c r="C142" s="236"/>
      <c r="AA142" s="235"/>
      <c r="AB142" s="235"/>
      <c r="AD142" s="235"/>
      <c r="AE142" s="235"/>
      <c r="AF142" s="235"/>
    </row>
    <row r="143" spans="3:32">
      <c r="C143" s="236"/>
      <c r="AA143" s="235"/>
      <c r="AB143" s="235"/>
      <c r="AD143" s="235"/>
      <c r="AE143" s="235"/>
      <c r="AF143" s="235"/>
    </row>
    <row r="144" spans="3:32">
      <c r="C144" s="236"/>
      <c r="AA144" s="235"/>
      <c r="AB144" s="235"/>
      <c r="AD144" s="235"/>
      <c r="AE144" s="235"/>
      <c r="AF144" s="235"/>
    </row>
    <row r="145" spans="3:32">
      <c r="C145" s="236"/>
      <c r="AA145" s="235"/>
      <c r="AB145" s="235"/>
      <c r="AD145" s="235"/>
      <c r="AE145" s="235"/>
      <c r="AF145" s="235"/>
    </row>
    <row r="146" spans="3:32">
      <c r="C146" s="236"/>
      <c r="AA146" s="235"/>
      <c r="AB146" s="235"/>
      <c r="AD146" s="235"/>
      <c r="AE146" s="235"/>
      <c r="AF146" s="235"/>
    </row>
    <row r="147" spans="3:32">
      <c r="C147" s="236"/>
      <c r="AA147" s="235"/>
      <c r="AB147" s="235"/>
      <c r="AD147" s="235"/>
      <c r="AE147" s="235"/>
      <c r="AF147" s="235"/>
    </row>
    <row r="148" spans="3:32">
      <c r="C148" s="236"/>
      <c r="AA148" s="235"/>
      <c r="AB148" s="235"/>
      <c r="AD148" s="235"/>
      <c r="AE148" s="235"/>
      <c r="AF148" s="235"/>
    </row>
    <row r="149" spans="3:32">
      <c r="C149" s="236"/>
      <c r="AA149" s="235"/>
      <c r="AB149" s="235"/>
      <c r="AD149" s="235"/>
      <c r="AE149" s="235"/>
      <c r="AF149" s="235"/>
    </row>
    <row r="150" spans="3:32">
      <c r="C150" s="236"/>
      <c r="AA150" s="235"/>
      <c r="AB150" s="235"/>
      <c r="AD150" s="235"/>
      <c r="AE150" s="235"/>
      <c r="AF150" s="235"/>
    </row>
    <row r="151" spans="3:32">
      <c r="C151" s="236"/>
      <c r="AA151" s="235"/>
      <c r="AB151" s="235"/>
      <c r="AD151" s="235"/>
      <c r="AE151" s="235"/>
      <c r="AF151" s="235"/>
    </row>
    <row r="152" spans="3:32">
      <c r="C152" s="236"/>
      <c r="AA152" s="235"/>
      <c r="AB152" s="235"/>
      <c r="AD152" s="235"/>
      <c r="AE152" s="235"/>
      <c r="AF152" s="235"/>
    </row>
    <row r="153" spans="3:32">
      <c r="C153" s="236"/>
      <c r="AA153" s="235"/>
      <c r="AB153" s="235"/>
      <c r="AD153" s="235"/>
      <c r="AE153" s="235"/>
      <c r="AF153" s="235"/>
    </row>
    <row r="154" spans="3:32">
      <c r="C154" s="236"/>
      <c r="AA154" s="235"/>
      <c r="AB154" s="235"/>
      <c r="AD154" s="235"/>
      <c r="AE154" s="235"/>
      <c r="AF154" s="235"/>
    </row>
    <row r="155" spans="3:32">
      <c r="C155" s="236"/>
      <c r="AA155" s="235"/>
      <c r="AB155" s="235"/>
      <c r="AD155" s="235"/>
      <c r="AE155" s="235"/>
      <c r="AF155" s="235"/>
    </row>
    <row r="156" spans="3:32">
      <c r="C156" s="236"/>
      <c r="AA156" s="235"/>
      <c r="AB156" s="235"/>
      <c r="AD156" s="235"/>
      <c r="AE156" s="235"/>
      <c r="AF156" s="235"/>
    </row>
    <row r="157" spans="3:32">
      <c r="C157" s="236"/>
      <c r="AA157" s="235"/>
      <c r="AB157" s="235"/>
      <c r="AD157" s="235"/>
      <c r="AE157" s="235"/>
      <c r="AF157" s="235"/>
    </row>
    <row r="158" spans="3:32">
      <c r="C158" s="236"/>
      <c r="AA158" s="235"/>
      <c r="AB158" s="235"/>
      <c r="AD158" s="235"/>
      <c r="AE158" s="235"/>
      <c r="AF158" s="235"/>
    </row>
    <row r="159" spans="3:32">
      <c r="C159" s="236"/>
      <c r="AA159" s="235"/>
      <c r="AB159" s="235"/>
      <c r="AD159" s="235"/>
      <c r="AE159" s="235"/>
      <c r="AF159" s="235"/>
    </row>
    <row r="160" spans="3:32">
      <c r="C160" s="236"/>
      <c r="AA160" s="235"/>
      <c r="AB160" s="235"/>
      <c r="AD160" s="235"/>
      <c r="AE160" s="235"/>
      <c r="AF160" s="235"/>
    </row>
    <row r="161" spans="3:32">
      <c r="C161" s="236"/>
      <c r="AA161" s="235"/>
      <c r="AB161" s="235"/>
      <c r="AD161" s="235"/>
      <c r="AE161" s="235"/>
      <c r="AF161" s="235"/>
    </row>
    <row r="162" spans="3:32">
      <c r="C162" s="236"/>
      <c r="AA162" s="235"/>
      <c r="AB162" s="235"/>
      <c r="AD162" s="235"/>
      <c r="AE162" s="235"/>
      <c r="AF162" s="235"/>
    </row>
    <row r="163" spans="3:32">
      <c r="C163" s="236"/>
      <c r="AA163" s="235"/>
      <c r="AB163" s="235"/>
      <c r="AD163" s="235"/>
      <c r="AE163" s="235"/>
      <c r="AF163" s="235"/>
    </row>
    <row r="164" spans="3:32">
      <c r="C164" s="236"/>
      <c r="AA164" s="235"/>
      <c r="AB164" s="235"/>
      <c r="AD164" s="235"/>
      <c r="AE164" s="235"/>
      <c r="AF164" s="235"/>
    </row>
    <row r="165" spans="3:32">
      <c r="C165" s="236"/>
      <c r="AA165" s="235"/>
      <c r="AB165" s="235"/>
      <c r="AD165" s="235"/>
      <c r="AE165" s="235"/>
      <c r="AF165" s="235"/>
    </row>
    <row r="166" spans="3:32">
      <c r="C166" s="236"/>
      <c r="AA166" s="235"/>
      <c r="AB166" s="235"/>
      <c r="AD166" s="235"/>
      <c r="AE166" s="235"/>
      <c r="AF166" s="235"/>
    </row>
    <row r="167" spans="3:32">
      <c r="C167" s="236"/>
      <c r="AA167" s="235"/>
      <c r="AB167" s="235"/>
      <c r="AD167" s="235"/>
      <c r="AE167" s="235"/>
      <c r="AF167" s="235"/>
    </row>
    <row r="168" spans="3:32">
      <c r="C168" s="236"/>
      <c r="AA168" s="235"/>
      <c r="AB168" s="235"/>
      <c r="AD168" s="235"/>
      <c r="AE168" s="235"/>
      <c r="AF168" s="235"/>
    </row>
    <row r="169" spans="3:32">
      <c r="C169" s="236"/>
      <c r="AA169" s="235"/>
      <c r="AB169" s="235"/>
      <c r="AD169" s="235"/>
      <c r="AE169" s="235"/>
      <c r="AF169" s="235"/>
    </row>
    <row r="170" spans="3:32">
      <c r="C170" s="236"/>
      <c r="AA170" s="235"/>
      <c r="AB170" s="235"/>
      <c r="AD170" s="235"/>
      <c r="AE170" s="235"/>
      <c r="AF170" s="235"/>
    </row>
    <row r="171" spans="3:32">
      <c r="C171" s="236"/>
      <c r="AA171" s="235"/>
      <c r="AB171" s="235"/>
      <c r="AD171" s="235"/>
      <c r="AE171" s="235"/>
      <c r="AF171" s="235"/>
    </row>
    <row r="172" spans="3:32">
      <c r="C172" s="236"/>
      <c r="AA172" s="235"/>
      <c r="AB172" s="235"/>
      <c r="AD172" s="235"/>
      <c r="AE172" s="235"/>
      <c r="AF172" s="235"/>
    </row>
    <row r="173" spans="3:32">
      <c r="C173" s="236"/>
      <c r="AA173" s="235"/>
      <c r="AB173" s="235"/>
      <c r="AD173" s="235"/>
      <c r="AE173" s="235"/>
      <c r="AF173" s="235"/>
    </row>
    <row r="174" spans="3:32">
      <c r="C174" s="236"/>
      <c r="AA174" s="235"/>
      <c r="AB174" s="235"/>
      <c r="AD174" s="235"/>
      <c r="AE174" s="235"/>
      <c r="AF174" s="235"/>
    </row>
    <row r="175" spans="3:32">
      <c r="C175" s="236"/>
      <c r="AA175" s="235"/>
      <c r="AB175" s="235"/>
      <c r="AD175" s="235"/>
      <c r="AE175" s="235"/>
      <c r="AF175" s="235"/>
    </row>
    <row r="176" spans="3:32">
      <c r="C176" s="236"/>
      <c r="AA176" s="235"/>
      <c r="AB176" s="235"/>
      <c r="AD176" s="235"/>
      <c r="AE176" s="235"/>
      <c r="AF176" s="235"/>
    </row>
    <row r="177" spans="3:32">
      <c r="C177" s="236"/>
      <c r="AA177" s="235"/>
      <c r="AB177" s="235"/>
      <c r="AD177" s="235"/>
      <c r="AE177" s="235"/>
      <c r="AF177" s="235"/>
    </row>
    <row r="178" spans="3:32">
      <c r="C178" s="236"/>
      <c r="AA178" s="235"/>
      <c r="AB178" s="235"/>
      <c r="AD178" s="235"/>
      <c r="AE178" s="235"/>
      <c r="AF178" s="235"/>
    </row>
    <row r="179" spans="3:32">
      <c r="C179" s="236"/>
      <c r="AA179" s="235"/>
      <c r="AB179" s="235"/>
      <c r="AD179" s="235"/>
      <c r="AE179" s="235"/>
      <c r="AF179" s="235"/>
    </row>
    <row r="180" spans="3:32">
      <c r="C180" s="236"/>
      <c r="AA180" s="235"/>
      <c r="AB180" s="235"/>
      <c r="AD180" s="235"/>
      <c r="AE180" s="235"/>
      <c r="AF180" s="235"/>
    </row>
    <row r="181" spans="3:32">
      <c r="C181" s="236"/>
      <c r="AA181" s="235"/>
      <c r="AB181" s="235"/>
      <c r="AD181" s="235"/>
      <c r="AE181" s="235"/>
      <c r="AF181" s="235"/>
    </row>
    <row r="182" spans="3:32">
      <c r="C182" s="236"/>
      <c r="AA182" s="235"/>
      <c r="AB182" s="235"/>
      <c r="AD182" s="235"/>
      <c r="AE182" s="235"/>
      <c r="AF182" s="235"/>
    </row>
    <row r="183" spans="3:32">
      <c r="C183" s="236"/>
      <c r="AA183" s="235"/>
      <c r="AB183" s="235"/>
      <c r="AD183" s="235"/>
      <c r="AE183" s="235"/>
      <c r="AF183" s="235"/>
    </row>
    <row r="184" spans="3:32">
      <c r="C184" s="236"/>
      <c r="AA184" s="235"/>
      <c r="AB184" s="235"/>
      <c r="AD184" s="235"/>
      <c r="AE184" s="235"/>
      <c r="AF184" s="235"/>
    </row>
    <row r="185" spans="3:32">
      <c r="C185" s="236"/>
      <c r="AA185" s="235"/>
      <c r="AB185" s="235"/>
      <c r="AD185" s="235"/>
      <c r="AE185" s="235"/>
      <c r="AF185" s="235"/>
    </row>
    <row r="186" spans="3:32">
      <c r="C186" s="236"/>
      <c r="AA186" s="235"/>
      <c r="AB186" s="235"/>
      <c r="AD186" s="235"/>
      <c r="AE186" s="235"/>
      <c r="AF186" s="235"/>
    </row>
    <row r="187" spans="3:32">
      <c r="C187" s="236"/>
      <c r="AA187" s="235"/>
      <c r="AB187" s="235"/>
      <c r="AD187" s="235"/>
      <c r="AE187" s="235"/>
      <c r="AF187" s="235"/>
    </row>
    <row r="188" spans="3:32">
      <c r="C188" s="236"/>
      <c r="AA188" s="235"/>
      <c r="AB188" s="235"/>
      <c r="AD188" s="235"/>
      <c r="AE188" s="235"/>
      <c r="AF188" s="235"/>
    </row>
    <row r="189" spans="3:32">
      <c r="C189" s="236"/>
      <c r="AA189" s="235"/>
      <c r="AB189" s="235"/>
      <c r="AD189" s="235"/>
      <c r="AE189" s="235"/>
      <c r="AF189" s="235"/>
    </row>
    <row r="190" spans="3:32">
      <c r="C190" s="236"/>
      <c r="AA190" s="235"/>
      <c r="AB190" s="235"/>
      <c r="AD190" s="235"/>
      <c r="AE190" s="235"/>
      <c r="AF190" s="235"/>
    </row>
    <row r="191" spans="3:32">
      <c r="C191" s="236"/>
      <c r="AA191" s="235"/>
      <c r="AB191" s="235"/>
      <c r="AD191" s="235"/>
    </row>
    <row r="192" spans="3:32">
      <c r="C192" s="236"/>
      <c r="AA192" s="235"/>
      <c r="AB192" s="235"/>
      <c r="AD192" s="235"/>
    </row>
    <row r="193" spans="3:32">
      <c r="C193" s="236"/>
      <c r="AA193" s="235"/>
      <c r="AB193" s="235"/>
      <c r="AD193" s="235"/>
    </row>
    <row r="194" spans="3:32">
      <c r="C194" s="236"/>
      <c r="AA194" s="235"/>
      <c r="AB194" s="235"/>
      <c r="AD194" s="235"/>
    </row>
    <row r="195" spans="3:32">
      <c r="C195" s="236"/>
      <c r="AA195" s="235"/>
      <c r="AB195" s="235"/>
      <c r="AD195" s="235"/>
    </row>
    <row r="196" spans="3:32">
      <c r="C196" s="236"/>
      <c r="AA196" s="235"/>
      <c r="AB196" s="235"/>
      <c r="AD196" s="235"/>
    </row>
    <row r="197" spans="3:32">
      <c r="C197" s="236"/>
      <c r="AA197" s="235"/>
      <c r="AB197" s="235"/>
      <c r="AD197" s="235"/>
      <c r="AE197" s="235"/>
      <c r="AF197" s="235"/>
    </row>
    <row r="198" spans="3:32">
      <c r="C198" s="236"/>
      <c r="AA198" s="235"/>
      <c r="AB198" s="235"/>
      <c r="AD198" s="235"/>
      <c r="AE198" s="235"/>
      <c r="AF198" s="235"/>
    </row>
    <row r="199" spans="3:32">
      <c r="C199" s="236"/>
      <c r="AA199" s="235"/>
      <c r="AB199" s="235"/>
      <c r="AD199" s="235"/>
    </row>
    <row r="200" spans="3:32">
      <c r="C200" s="236"/>
      <c r="AA200" s="235"/>
      <c r="AB200" s="235"/>
      <c r="AD200" s="235"/>
    </row>
    <row r="201" spans="3:32">
      <c r="C201" s="236"/>
      <c r="AA201" s="235"/>
      <c r="AB201" s="235"/>
      <c r="AD201" s="235"/>
    </row>
    <row r="202" spans="3:32">
      <c r="C202" s="236"/>
      <c r="AA202" s="235"/>
      <c r="AB202" s="235"/>
      <c r="AD202" s="235"/>
    </row>
    <row r="203" spans="3:32">
      <c r="C203" s="236"/>
      <c r="AA203" s="235"/>
      <c r="AB203" s="235"/>
      <c r="AD203" s="235"/>
    </row>
    <row r="204" spans="3:32">
      <c r="C204" s="236"/>
      <c r="AA204" s="235"/>
      <c r="AB204" s="235"/>
      <c r="AD204" s="235"/>
    </row>
    <row r="205" spans="3:32">
      <c r="C205" s="236"/>
      <c r="AA205" s="235"/>
      <c r="AB205" s="235"/>
      <c r="AD205" s="235"/>
    </row>
    <row r="206" spans="3:32">
      <c r="C206" s="236"/>
      <c r="AA206" s="235"/>
      <c r="AB206" s="235"/>
      <c r="AD206" s="235"/>
    </row>
    <row r="207" spans="3:32">
      <c r="C207" s="236"/>
      <c r="AA207" s="235"/>
      <c r="AB207" s="235"/>
      <c r="AD207" s="235"/>
    </row>
    <row r="208" spans="3:32">
      <c r="C208" s="236"/>
      <c r="AA208" s="235"/>
      <c r="AB208" s="235"/>
      <c r="AD208" s="235"/>
      <c r="AE208" s="235"/>
      <c r="AF208" s="235"/>
    </row>
    <row r="209" spans="3:32">
      <c r="C209" s="236"/>
      <c r="AA209" s="235"/>
      <c r="AB209" s="235"/>
      <c r="AD209" s="235"/>
      <c r="AE209" s="235"/>
      <c r="AF209" s="235"/>
    </row>
    <row r="210" spans="3:32">
      <c r="C210" s="236"/>
      <c r="AA210" s="235"/>
      <c r="AB210" s="235"/>
      <c r="AD210" s="235"/>
      <c r="AE210" s="235"/>
      <c r="AF210" s="235"/>
    </row>
    <row r="211" spans="3:32">
      <c r="C211" s="236"/>
      <c r="AA211" s="235"/>
      <c r="AB211" s="235"/>
      <c r="AD211" s="235"/>
      <c r="AE211" s="235"/>
      <c r="AF211" s="235"/>
    </row>
    <row r="212" spans="3:32">
      <c r="C212" s="236"/>
      <c r="AA212" s="235"/>
      <c r="AB212" s="235"/>
      <c r="AD212" s="235"/>
      <c r="AE212" s="235"/>
      <c r="AF212" s="235"/>
    </row>
    <row r="213" spans="3:32">
      <c r="C213" s="236"/>
      <c r="AA213" s="235"/>
      <c r="AB213" s="235"/>
      <c r="AD213" s="235"/>
      <c r="AE213" s="235"/>
      <c r="AF213" s="235"/>
    </row>
    <row r="214" spans="3:32">
      <c r="C214" s="236"/>
      <c r="AA214" s="235"/>
      <c r="AB214" s="235"/>
      <c r="AD214" s="235"/>
      <c r="AE214" s="235"/>
      <c r="AF214" s="235"/>
    </row>
    <row r="215" spans="3:32">
      <c r="C215" s="236"/>
      <c r="AA215" s="235"/>
      <c r="AB215" s="235"/>
      <c r="AD215" s="235"/>
    </row>
    <row r="216" spans="3:32">
      <c r="C216" s="236"/>
      <c r="AA216" s="235"/>
      <c r="AB216" s="235"/>
      <c r="AD216" s="235"/>
    </row>
    <row r="217" spans="3:32">
      <c r="C217" s="236"/>
      <c r="AA217" s="235"/>
      <c r="AB217" s="235"/>
      <c r="AD217" s="235"/>
    </row>
    <row r="218" spans="3:32">
      <c r="C218" s="236"/>
      <c r="AA218" s="235"/>
      <c r="AB218" s="235"/>
      <c r="AD218" s="235"/>
    </row>
    <row r="219" spans="3:32">
      <c r="C219" s="236"/>
      <c r="AA219" s="235"/>
      <c r="AB219" s="235"/>
      <c r="AD219" s="235"/>
      <c r="AE219" s="236"/>
      <c r="AF219" s="236"/>
    </row>
    <row r="220" spans="3:32">
      <c r="C220" s="236"/>
      <c r="AA220" s="235"/>
      <c r="AB220" s="235"/>
      <c r="AD220" s="235"/>
      <c r="AE220" s="236"/>
      <c r="AF220" s="236"/>
    </row>
    <row r="221" spans="3:32">
      <c r="C221" s="236"/>
      <c r="AA221" s="235"/>
      <c r="AB221" s="235"/>
      <c r="AD221" s="235"/>
      <c r="AE221" s="236"/>
      <c r="AF221" s="236"/>
    </row>
    <row r="222" spans="3:32">
      <c r="C222" s="236"/>
      <c r="AA222" s="235"/>
      <c r="AB222" s="235"/>
      <c r="AD222" s="235"/>
      <c r="AE222" s="236"/>
      <c r="AF222" s="236"/>
    </row>
    <row r="223" spans="3:32">
      <c r="C223" s="236"/>
      <c r="AA223" s="235"/>
      <c r="AB223" s="235"/>
      <c r="AD223" s="235"/>
      <c r="AE223" s="236"/>
      <c r="AF223" s="236"/>
    </row>
    <row r="224" spans="3:32">
      <c r="C224" s="236"/>
      <c r="AA224" s="235"/>
      <c r="AB224" s="235"/>
      <c r="AD224" s="235"/>
      <c r="AE224" s="236"/>
      <c r="AF224" s="236"/>
    </row>
    <row r="225" spans="3:32">
      <c r="C225" s="236"/>
      <c r="AA225" s="235"/>
      <c r="AB225" s="235"/>
      <c r="AD225" s="235"/>
      <c r="AE225" s="236"/>
      <c r="AF225" s="236"/>
    </row>
    <row r="226" spans="3:32">
      <c r="C226" s="236"/>
      <c r="AA226" s="235"/>
      <c r="AB226" s="235"/>
      <c r="AD226" s="235"/>
      <c r="AE226" s="236"/>
      <c r="AF226" s="236"/>
    </row>
    <row r="227" spans="3:32">
      <c r="C227" s="236"/>
      <c r="AA227" s="235"/>
      <c r="AB227" s="235"/>
      <c r="AD227" s="235"/>
      <c r="AE227" s="236"/>
      <c r="AF227" s="236"/>
    </row>
    <row r="228" spans="3:32">
      <c r="C228" s="236"/>
      <c r="AA228" s="235"/>
      <c r="AB228" s="235"/>
      <c r="AD228" s="235"/>
    </row>
    <row r="229" spans="3:32">
      <c r="C229" s="236"/>
      <c r="AA229" s="235"/>
      <c r="AB229" s="235"/>
      <c r="AD229" s="235"/>
    </row>
    <row r="230" spans="3:32">
      <c r="C230" s="236"/>
      <c r="AA230" s="235"/>
      <c r="AB230" s="235"/>
      <c r="AD230" s="235"/>
    </row>
    <row r="231" spans="3:32">
      <c r="C231" s="236"/>
      <c r="AA231" s="235"/>
      <c r="AB231" s="235"/>
      <c r="AD231" s="235"/>
    </row>
    <row r="232" spans="3:32">
      <c r="C232" s="236"/>
      <c r="AA232" s="235"/>
      <c r="AB232" s="235"/>
      <c r="AD232" s="235"/>
    </row>
    <row r="233" spans="3:32">
      <c r="C233" s="236"/>
      <c r="AA233" s="235"/>
      <c r="AB233" s="235"/>
      <c r="AD233" s="235"/>
    </row>
    <row r="234" spans="3:32">
      <c r="C234" s="236"/>
      <c r="AA234" s="235"/>
      <c r="AB234" s="235"/>
      <c r="AD234" s="235"/>
    </row>
    <row r="235" spans="3:32">
      <c r="C235" s="236"/>
      <c r="AA235" s="235"/>
      <c r="AB235" s="235"/>
      <c r="AD235" s="235"/>
    </row>
    <row r="236" spans="3:32">
      <c r="C236" s="236"/>
      <c r="AA236" s="235"/>
      <c r="AB236" s="235"/>
      <c r="AD236" s="235"/>
    </row>
    <row r="237" spans="3:32">
      <c r="C237" s="236"/>
      <c r="AA237" s="235"/>
      <c r="AB237" s="235"/>
      <c r="AD237" s="235"/>
    </row>
    <row r="238" spans="3:32">
      <c r="C238" s="236"/>
      <c r="AA238" s="235"/>
      <c r="AB238" s="235"/>
      <c r="AD238" s="235"/>
    </row>
    <row r="239" spans="3:32">
      <c r="C239" s="236"/>
      <c r="AA239" s="235"/>
      <c r="AB239" s="235"/>
      <c r="AD239" s="235"/>
    </row>
    <row r="240" spans="3:32">
      <c r="C240" s="236"/>
      <c r="AA240" s="235"/>
      <c r="AB240" s="235"/>
      <c r="AD240" s="235"/>
    </row>
    <row r="241" spans="3:30">
      <c r="C241" s="236"/>
      <c r="AA241" s="235"/>
      <c r="AB241" s="235"/>
      <c r="AD241" s="235"/>
    </row>
    <row r="242" spans="3:30">
      <c r="C242" s="236"/>
      <c r="AA242" s="235"/>
      <c r="AB242" s="235"/>
      <c r="AD242" s="235"/>
    </row>
    <row r="243" spans="3:30">
      <c r="C243" s="236"/>
      <c r="AA243" s="235"/>
      <c r="AB243" s="235"/>
      <c r="AD243" s="235"/>
    </row>
    <row r="244" spans="3:30">
      <c r="C244" s="236"/>
      <c r="AA244" s="235"/>
      <c r="AB244" s="235"/>
      <c r="AD244" s="235"/>
    </row>
    <row r="245" spans="3:30">
      <c r="C245" s="236"/>
      <c r="AA245" s="235"/>
      <c r="AB245" s="235"/>
      <c r="AD245" s="235"/>
    </row>
    <row r="246" spans="3:30">
      <c r="C246" s="236"/>
      <c r="AA246" s="235"/>
      <c r="AB246" s="235"/>
      <c r="AD246" s="235"/>
    </row>
    <row r="247" spans="3:30">
      <c r="C247" s="236"/>
      <c r="AA247" s="235"/>
      <c r="AB247" s="235"/>
      <c r="AD247" s="235"/>
    </row>
    <row r="248" spans="3:30">
      <c r="C248" s="236"/>
      <c r="AA248" s="235"/>
      <c r="AB248" s="235"/>
      <c r="AD248" s="235"/>
    </row>
    <row r="249" spans="3:30">
      <c r="C249" s="236"/>
      <c r="AA249" s="235"/>
      <c r="AB249" s="235"/>
      <c r="AD249" s="235"/>
    </row>
    <row r="250" spans="3:30">
      <c r="C250" s="236"/>
      <c r="AA250" s="235"/>
      <c r="AB250" s="235"/>
      <c r="AD250" s="235"/>
    </row>
    <row r="251" spans="3:30">
      <c r="C251" s="236"/>
      <c r="AA251" s="235"/>
      <c r="AB251" s="235"/>
      <c r="AD251" s="235"/>
    </row>
    <row r="252" spans="3:30">
      <c r="C252" s="236"/>
      <c r="AA252" s="235"/>
      <c r="AB252" s="235"/>
      <c r="AD252" s="235"/>
    </row>
    <row r="253" spans="3:30">
      <c r="C253" s="236"/>
      <c r="AA253" s="235"/>
      <c r="AB253" s="235"/>
      <c r="AD253" s="235"/>
    </row>
    <row r="254" spans="3:30">
      <c r="C254" s="236"/>
      <c r="AA254" s="235"/>
      <c r="AB254" s="235"/>
      <c r="AD254" s="235"/>
    </row>
    <row r="255" spans="3:30">
      <c r="C255" s="236"/>
      <c r="AA255" s="235"/>
      <c r="AB255" s="235"/>
      <c r="AD255" s="235"/>
    </row>
    <row r="256" spans="3:30">
      <c r="C256" s="236"/>
      <c r="AA256" s="235"/>
      <c r="AB256" s="235"/>
      <c r="AD256" s="235"/>
    </row>
    <row r="257" spans="3:30">
      <c r="C257" s="236"/>
      <c r="AA257" s="235"/>
      <c r="AB257" s="235"/>
      <c r="AD257" s="235"/>
    </row>
    <row r="258" spans="3:30">
      <c r="C258" s="236"/>
      <c r="AA258" s="235"/>
      <c r="AB258" s="235"/>
      <c r="AD258" s="235"/>
    </row>
    <row r="259" spans="3:30">
      <c r="C259" s="236"/>
      <c r="AA259" s="235"/>
      <c r="AB259" s="235"/>
      <c r="AD259" s="235"/>
    </row>
    <row r="260" spans="3:30">
      <c r="C260" s="236"/>
      <c r="AA260" s="235"/>
      <c r="AB260" s="235"/>
      <c r="AD260" s="235"/>
    </row>
    <row r="261" spans="3:30">
      <c r="C261" s="236"/>
      <c r="AA261" s="235"/>
      <c r="AB261" s="235"/>
      <c r="AD261" s="235"/>
    </row>
    <row r="262" spans="3:30">
      <c r="C262" s="236"/>
      <c r="AA262" s="235"/>
      <c r="AB262" s="235"/>
      <c r="AD262" s="235"/>
    </row>
    <row r="263" spans="3:30">
      <c r="C263" s="236"/>
      <c r="AA263" s="235"/>
      <c r="AB263" s="235"/>
      <c r="AD263" s="235"/>
    </row>
    <row r="264" spans="3:30">
      <c r="C264" s="236"/>
      <c r="AA264" s="235"/>
      <c r="AB264" s="235"/>
      <c r="AD264" s="235"/>
    </row>
    <row r="265" spans="3:30">
      <c r="C265" s="236"/>
      <c r="AA265" s="235"/>
      <c r="AB265" s="235"/>
      <c r="AD265" s="235"/>
    </row>
    <row r="266" spans="3:30">
      <c r="C266" s="236"/>
      <c r="AA266" s="235"/>
      <c r="AB266" s="235"/>
      <c r="AD266" s="235"/>
    </row>
    <row r="267" spans="3:30">
      <c r="C267" s="236"/>
      <c r="AA267" s="235"/>
      <c r="AB267" s="235"/>
      <c r="AD267" s="235"/>
    </row>
    <row r="268" spans="3:30">
      <c r="C268" s="236"/>
      <c r="AA268" s="235"/>
      <c r="AB268" s="235"/>
      <c r="AD268" s="235"/>
    </row>
    <row r="269" spans="3:30">
      <c r="C269" s="236"/>
      <c r="AA269" s="235"/>
      <c r="AB269" s="235"/>
      <c r="AD269" s="235"/>
    </row>
    <row r="270" spans="3:30">
      <c r="C270" s="236"/>
      <c r="AA270" s="235"/>
      <c r="AB270" s="235"/>
      <c r="AD270" s="235"/>
    </row>
    <row r="271" spans="3:30">
      <c r="C271" s="236"/>
      <c r="AA271" s="235"/>
      <c r="AB271" s="235"/>
      <c r="AD271" s="235"/>
    </row>
    <row r="272" spans="3:30">
      <c r="C272" s="236"/>
      <c r="AA272" s="235"/>
      <c r="AB272" s="235"/>
      <c r="AD272" s="235"/>
    </row>
    <row r="273" spans="3:30">
      <c r="C273" s="236"/>
      <c r="AA273" s="235"/>
      <c r="AB273" s="235"/>
      <c r="AD273" s="235"/>
    </row>
    <row r="274" spans="3:30">
      <c r="C274" s="236"/>
      <c r="AA274" s="235"/>
      <c r="AB274" s="235"/>
      <c r="AD274" s="235"/>
    </row>
    <row r="275" spans="3:30">
      <c r="C275" s="236"/>
      <c r="AA275" s="235"/>
      <c r="AB275" s="235"/>
      <c r="AD275" s="235"/>
    </row>
    <row r="276" spans="3:30">
      <c r="C276" s="236"/>
      <c r="AA276" s="235"/>
      <c r="AB276" s="235"/>
      <c r="AD276" s="235"/>
    </row>
    <row r="277" spans="3:30">
      <c r="C277" s="236"/>
      <c r="AA277" s="235"/>
      <c r="AB277" s="235"/>
      <c r="AD277" s="235"/>
    </row>
    <row r="278" spans="3:30">
      <c r="C278" s="236"/>
      <c r="AA278" s="235"/>
      <c r="AB278" s="235"/>
      <c r="AD278" s="235"/>
    </row>
    <row r="279" spans="3:30">
      <c r="C279" s="236"/>
      <c r="AA279" s="235"/>
      <c r="AB279" s="235"/>
      <c r="AD279" s="235"/>
    </row>
    <row r="280" spans="3:30">
      <c r="C280" s="236"/>
      <c r="AA280" s="235"/>
      <c r="AB280" s="235"/>
      <c r="AD280" s="235"/>
    </row>
    <row r="281" spans="3:30">
      <c r="C281" s="236"/>
      <c r="AA281" s="235"/>
      <c r="AB281" s="235"/>
      <c r="AD281" s="235"/>
    </row>
    <row r="282" spans="3:30">
      <c r="C282" s="236"/>
      <c r="AA282" s="235"/>
      <c r="AB282" s="235"/>
      <c r="AD282" s="235"/>
    </row>
    <row r="283" spans="3:30">
      <c r="C283" s="236"/>
      <c r="AA283" s="235"/>
      <c r="AB283" s="235"/>
      <c r="AD283" s="235"/>
    </row>
    <row r="284" spans="3:30">
      <c r="C284" s="236"/>
      <c r="AA284" s="235"/>
      <c r="AB284" s="235"/>
      <c r="AD284" s="235"/>
    </row>
    <row r="285" spans="3:30">
      <c r="C285" s="236"/>
      <c r="AA285" s="235"/>
      <c r="AB285" s="235"/>
      <c r="AD285" s="235"/>
    </row>
    <row r="286" spans="3:30">
      <c r="C286" s="236"/>
      <c r="AA286" s="235"/>
      <c r="AB286" s="235"/>
      <c r="AD286" s="235"/>
    </row>
    <row r="287" spans="3:30">
      <c r="C287" s="236"/>
      <c r="AA287" s="235"/>
      <c r="AB287" s="235"/>
      <c r="AD287" s="235"/>
    </row>
    <row r="288" spans="3:30">
      <c r="C288" s="236"/>
      <c r="AA288" s="235"/>
      <c r="AB288" s="235"/>
      <c r="AD288" s="235"/>
    </row>
    <row r="289" spans="3:30">
      <c r="C289" s="236"/>
      <c r="AA289" s="235"/>
      <c r="AB289" s="235"/>
      <c r="AD289" s="235"/>
    </row>
    <row r="290" spans="3:30">
      <c r="C290" s="236"/>
      <c r="AA290" s="235"/>
      <c r="AB290" s="235"/>
      <c r="AD290" s="235"/>
    </row>
    <row r="291" spans="3:30">
      <c r="C291" s="236"/>
      <c r="AA291" s="235"/>
      <c r="AB291" s="235"/>
      <c r="AD291" s="235"/>
    </row>
    <row r="292" spans="3:30">
      <c r="C292" s="236"/>
      <c r="AA292" s="235"/>
      <c r="AB292" s="235"/>
      <c r="AD292" s="235"/>
    </row>
    <row r="293" spans="3:30">
      <c r="C293" s="236"/>
      <c r="AA293" s="235"/>
      <c r="AB293" s="235"/>
      <c r="AD293" s="235"/>
    </row>
    <row r="294" spans="3:30">
      <c r="C294" s="236"/>
      <c r="AA294" s="235"/>
      <c r="AB294" s="235"/>
      <c r="AD294" s="235"/>
    </row>
    <row r="295" spans="3:30">
      <c r="C295" s="236"/>
      <c r="AA295" s="235"/>
      <c r="AB295" s="235"/>
      <c r="AD295" s="235"/>
    </row>
    <row r="296" spans="3:30">
      <c r="C296" s="236"/>
      <c r="AA296" s="235"/>
      <c r="AB296" s="235"/>
      <c r="AD296" s="235"/>
    </row>
    <row r="297" spans="3:30">
      <c r="C297" s="236"/>
      <c r="AA297" s="235"/>
      <c r="AB297" s="235"/>
      <c r="AD297" s="235"/>
    </row>
    <row r="298" spans="3:30">
      <c r="C298" s="236"/>
      <c r="AA298" s="235"/>
      <c r="AB298" s="235"/>
      <c r="AD298" s="235"/>
    </row>
    <row r="299" spans="3:30">
      <c r="C299" s="236"/>
      <c r="AA299" s="235"/>
      <c r="AB299" s="235"/>
      <c r="AD299" s="235"/>
    </row>
    <row r="300" spans="3:30">
      <c r="C300" s="236"/>
      <c r="AA300" s="235"/>
      <c r="AB300" s="235"/>
      <c r="AD300" s="235"/>
    </row>
    <row r="301" spans="3:30">
      <c r="C301" s="236"/>
      <c r="AA301" s="235"/>
      <c r="AB301" s="235"/>
      <c r="AD301" s="235"/>
    </row>
    <row r="302" spans="3:30">
      <c r="C302" s="236"/>
      <c r="AA302" s="235"/>
      <c r="AB302" s="235"/>
      <c r="AD302" s="235"/>
    </row>
    <row r="303" spans="3:30">
      <c r="C303" s="236"/>
      <c r="AA303" s="235"/>
      <c r="AB303" s="235"/>
      <c r="AD303" s="235"/>
    </row>
    <row r="304" spans="3:30">
      <c r="C304" s="236"/>
      <c r="AA304" s="235"/>
      <c r="AB304" s="235"/>
      <c r="AD304" s="235"/>
    </row>
    <row r="305" spans="3:30">
      <c r="C305" s="236"/>
      <c r="AA305" s="235"/>
      <c r="AB305" s="235"/>
      <c r="AD305" s="235"/>
    </row>
    <row r="306" spans="3:30">
      <c r="C306" s="236"/>
      <c r="AA306" s="235"/>
      <c r="AB306" s="235"/>
      <c r="AD306" s="235"/>
    </row>
    <row r="307" spans="3:30">
      <c r="C307" s="236"/>
      <c r="AA307" s="235"/>
      <c r="AB307" s="235"/>
      <c r="AD307" s="235"/>
    </row>
    <row r="308" spans="3:30">
      <c r="C308" s="236"/>
      <c r="AA308" s="235"/>
      <c r="AB308" s="235"/>
      <c r="AD308" s="235"/>
    </row>
    <row r="309" spans="3:30">
      <c r="C309" s="236"/>
      <c r="AA309" s="235"/>
      <c r="AB309" s="235"/>
      <c r="AD309" s="235"/>
    </row>
    <row r="310" spans="3:30">
      <c r="C310" s="236"/>
      <c r="AA310" s="235"/>
      <c r="AB310" s="235"/>
      <c r="AD310" s="235"/>
    </row>
    <row r="311" spans="3:30">
      <c r="C311" s="236"/>
      <c r="AA311" s="235"/>
      <c r="AB311" s="235"/>
      <c r="AD311" s="235"/>
    </row>
    <row r="312" spans="3:30">
      <c r="C312" s="236"/>
      <c r="AA312" s="235"/>
      <c r="AB312" s="235"/>
      <c r="AD312" s="235"/>
    </row>
    <row r="313" spans="3:30">
      <c r="C313" s="236"/>
      <c r="AA313" s="235"/>
      <c r="AB313" s="235"/>
      <c r="AD313" s="235"/>
    </row>
    <row r="314" spans="3:30">
      <c r="C314" s="236"/>
      <c r="AA314" s="235"/>
      <c r="AB314" s="235"/>
      <c r="AD314" s="235"/>
    </row>
    <row r="315" spans="3:30">
      <c r="C315" s="236"/>
      <c r="AA315" s="235"/>
      <c r="AB315" s="235"/>
      <c r="AD315" s="235"/>
    </row>
    <row r="316" spans="3:30">
      <c r="C316" s="236"/>
      <c r="AA316" s="235"/>
      <c r="AB316" s="235"/>
      <c r="AD316" s="235"/>
    </row>
    <row r="317" spans="3:30">
      <c r="C317" s="236"/>
      <c r="AA317" s="235"/>
      <c r="AB317" s="235"/>
      <c r="AD317" s="235"/>
    </row>
    <row r="318" spans="3:30">
      <c r="C318" s="236"/>
      <c r="AA318" s="235"/>
      <c r="AB318" s="235"/>
      <c r="AD318" s="235"/>
    </row>
    <row r="319" spans="3:30">
      <c r="C319" s="236"/>
      <c r="AA319" s="235"/>
      <c r="AB319" s="235"/>
      <c r="AD319" s="235"/>
    </row>
    <row r="320" spans="3:30">
      <c r="C320" s="236"/>
      <c r="AA320" s="235"/>
      <c r="AB320" s="235"/>
      <c r="AD320" s="235"/>
    </row>
    <row r="321" spans="3:30">
      <c r="C321" s="236"/>
      <c r="AA321" s="235"/>
      <c r="AB321" s="235"/>
      <c r="AD321" s="235"/>
    </row>
    <row r="322" spans="3:30">
      <c r="C322" s="236"/>
      <c r="AA322" s="235"/>
      <c r="AB322" s="235"/>
      <c r="AD322" s="235"/>
    </row>
    <row r="323" spans="3:30">
      <c r="C323" s="236"/>
      <c r="AA323" s="235"/>
      <c r="AB323" s="235"/>
      <c r="AD323" s="235"/>
    </row>
    <row r="324" spans="3:30">
      <c r="C324" s="236"/>
      <c r="AA324" s="235"/>
      <c r="AB324" s="235"/>
      <c r="AD324" s="235"/>
    </row>
    <row r="325" spans="3:30">
      <c r="C325" s="236"/>
      <c r="AA325" s="235"/>
      <c r="AB325" s="235"/>
      <c r="AD325" s="235"/>
    </row>
    <row r="326" spans="3:30">
      <c r="C326" s="236"/>
      <c r="AA326" s="235"/>
      <c r="AB326" s="235"/>
      <c r="AD326" s="235"/>
    </row>
    <row r="327" spans="3:30">
      <c r="C327" s="236"/>
      <c r="AA327" s="235"/>
      <c r="AB327" s="235"/>
      <c r="AD327" s="235"/>
    </row>
    <row r="328" spans="3:30">
      <c r="C328" s="236"/>
      <c r="AA328" s="235"/>
      <c r="AB328" s="235"/>
      <c r="AD328" s="235"/>
    </row>
    <row r="329" spans="3:30">
      <c r="C329" s="236"/>
      <c r="AA329" s="235"/>
      <c r="AB329" s="235"/>
      <c r="AD329" s="235"/>
    </row>
    <row r="330" spans="3:30">
      <c r="C330" s="236"/>
      <c r="AA330" s="235"/>
      <c r="AB330" s="235"/>
      <c r="AD330" s="235"/>
    </row>
    <row r="331" spans="3:30">
      <c r="C331" s="236"/>
      <c r="AA331" s="235"/>
      <c r="AB331" s="235"/>
      <c r="AD331" s="235"/>
    </row>
    <row r="332" spans="3:30">
      <c r="C332" s="236"/>
      <c r="AA332" s="235"/>
      <c r="AB332" s="235"/>
      <c r="AD332" s="235"/>
    </row>
    <row r="333" spans="3:30">
      <c r="C333" s="236"/>
      <c r="AA333" s="235"/>
      <c r="AB333" s="235"/>
      <c r="AD333" s="235"/>
    </row>
    <row r="334" spans="3:30">
      <c r="C334" s="236"/>
      <c r="AA334" s="235"/>
      <c r="AB334" s="235"/>
      <c r="AD334" s="235"/>
    </row>
    <row r="335" spans="3:30">
      <c r="C335" s="236"/>
      <c r="AA335" s="235"/>
      <c r="AB335" s="235"/>
      <c r="AD335" s="235"/>
    </row>
    <row r="336" spans="3:30">
      <c r="C336" s="236"/>
      <c r="AA336" s="235"/>
      <c r="AB336" s="235"/>
      <c r="AD336" s="235"/>
    </row>
    <row r="337" spans="3:30">
      <c r="C337" s="236"/>
      <c r="AA337" s="235"/>
      <c r="AB337" s="235"/>
      <c r="AD337" s="235"/>
    </row>
    <row r="338" spans="3:30">
      <c r="C338" s="236"/>
      <c r="AA338" s="235"/>
      <c r="AB338" s="235"/>
      <c r="AD338" s="235"/>
    </row>
    <row r="339" spans="3:30">
      <c r="C339" s="236"/>
      <c r="AA339" s="235"/>
      <c r="AB339" s="235"/>
      <c r="AD339" s="235"/>
    </row>
    <row r="340" spans="3:30">
      <c r="C340" s="236"/>
      <c r="AA340" s="235"/>
      <c r="AB340" s="235"/>
      <c r="AD340" s="235"/>
    </row>
    <row r="341" spans="3:30">
      <c r="C341" s="236"/>
      <c r="AA341" s="235"/>
      <c r="AB341" s="235"/>
      <c r="AD341" s="235"/>
    </row>
    <row r="342" spans="3:30">
      <c r="C342" s="236"/>
      <c r="AA342" s="235"/>
      <c r="AB342" s="235"/>
      <c r="AD342" s="235"/>
    </row>
    <row r="343" spans="3:30">
      <c r="C343" s="236"/>
      <c r="AA343" s="235"/>
      <c r="AB343" s="235"/>
      <c r="AD343" s="235"/>
    </row>
    <row r="344" spans="3:30">
      <c r="C344" s="236"/>
      <c r="AA344" s="235"/>
      <c r="AB344" s="235"/>
      <c r="AD344" s="235"/>
    </row>
    <row r="345" spans="3:30">
      <c r="C345" s="236"/>
      <c r="AA345" s="235"/>
      <c r="AB345" s="235"/>
      <c r="AD345" s="235"/>
    </row>
    <row r="346" spans="3:30">
      <c r="C346" s="236"/>
      <c r="AA346" s="235"/>
      <c r="AB346" s="235"/>
      <c r="AD346" s="235"/>
    </row>
    <row r="347" spans="3:30">
      <c r="C347" s="236"/>
      <c r="AA347" s="235"/>
      <c r="AB347" s="235"/>
      <c r="AD347" s="235"/>
    </row>
    <row r="348" spans="3:30">
      <c r="C348" s="236"/>
      <c r="AA348" s="235"/>
      <c r="AB348" s="235"/>
      <c r="AD348" s="235"/>
    </row>
    <row r="349" spans="3:30">
      <c r="C349" s="236"/>
      <c r="AA349" s="235"/>
      <c r="AB349" s="235"/>
      <c r="AD349" s="235"/>
    </row>
    <row r="350" spans="3:30">
      <c r="C350" s="236"/>
      <c r="AA350" s="235"/>
      <c r="AB350" s="235"/>
      <c r="AD350" s="235"/>
    </row>
    <row r="351" spans="3:30">
      <c r="C351" s="236"/>
      <c r="AA351" s="235"/>
      <c r="AB351" s="235"/>
      <c r="AD351" s="235"/>
    </row>
    <row r="352" spans="3:30">
      <c r="C352" s="236"/>
      <c r="AA352" s="235"/>
      <c r="AB352" s="235"/>
      <c r="AD352" s="235"/>
    </row>
    <row r="353" spans="3:30">
      <c r="C353" s="236"/>
      <c r="AA353" s="235"/>
      <c r="AB353" s="235"/>
      <c r="AD353" s="235"/>
    </row>
    <row r="354" spans="3:30">
      <c r="C354" s="236"/>
      <c r="AA354" s="235"/>
      <c r="AB354" s="235"/>
      <c r="AD354" s="235"/>
    </row>
    <row r="355" spans="3:30">
      <c r="C355" s="236"/>
      <c r="AA355" s="235"/>
      <c r="AB355" s="235"/>
      <c r="AD355" s="235"/>
    </row>
    <row r="356" spans="3:30">
      <c r="C356" s="236"/>
      <c r="AA356" s="235"/>
      <c r="AB356" s="235"/>
      <c r="AD356" s="235"/>
    </row>
    <row r="357" spans="3:30">
      <c r="C357" s="236"/>
      <c r="AA357" s="235"/>
      <c r="AB357" s="235"/>
      <c r="AD357" s="235"/>
    </row>
    <row r="358" spans="3:30">
      <c r="C358" s="236"/>
      <c r="AA358" s="235"/>
      <c r="AB358" s="235"/>
      <c r="AD358" s="235"/>
    </row>
    <row r="359" spans="3:30">
      <c r="C359" s="236"/>
      <c r="AA359" s="235"/>
      <c r="AB359" s="235"/>
      <c r="AD359" s="235"/>
    </row>
    <row r="360" spans="3:30">
      <c r="C360" s="236"/>
      <c r="AA360" s="235"/>
      <c r="AB360" s="235"/>
      <c r="AD360" s="235"/>
    </row>
    <row r="361" spans="3:30">
      <c r="C361" s="236"/>
      <c r="AA361" s="235"/>
      <c r="AB361" s="235"/>
      <c r="AD361" s="235"/>
    </row>
    <row r="362" spans="3:30">
      <c r="C362" s="236"/>
      <c r="AA362" s="235"/>
      <c r="AB362" s="235"/>
      <c r="AD362" s="235"/>
    </row>
    <row r="363" spans="3:30">
      <c r="C363" s="236"/>
      <c r="AA363" s="235"/>
      <c r="AB363" s="235"/>
      <c r="AD363" s="235"/>
    </row>
    <row r="364" spans="3:30">
      <c r="C364" s="236"/>
      <c r="AA364" s="235"/>
      <c r="AB364" s="235"/>
      <c r="AD364" s="235"/>
    </row>
    <row r="365" spans="3:30">
      <c r="C365" s="236"/>
      <c r="AA365" s="235"/>
      <c r="AB365" s="235"/>
      <c r="AD365" s="235"/>
    </row>
    <row r="366" spans="3:30">
      <c r="C366" s="236"/>
      <c r="AA366" s="235"/>
      <c r="AB366" s="235"/>
      <c r="AD366" s="235"/>
    </row>
    <row r="367" spans="3:30">
      <c r="C367" s="236"/>
      <c r="AA367" s="235"/>
      <c r="AB367" s="235"/>
      <c r="AD367" s="235"/>
    </row>
    <row r="368" spans="3:30">
      <c r="C368" s="236"/>
    </row>
    <row r="369" spans="3:3">
      <c r="C369" s="236"/>
    </row>
    <row r="370" spans="3:3">
      <c r="C370" s="236"/>
    </row>
    <row r="371" spans="3:3">
      <c r="C371" s="236"/>
    </row>
    <row r="372" spans="3:3">
      <c r="C372" s="236"/>
    </row>
    <row r="373" spans="3:3">
      <c r="C373" s="236"/>
    </row>
    <row r="374" spans="3:3">
      <c r="C374" s="236"/>
    </row>
    <row r="375" spans="3:3">
      <c r="C375" s="236"/>
    </row>
    <row r="376" spans="3:3">
      <c r="C376" s="236"/>
    </row>
    <row r="377" spans="3:3">
      <c r="C377" s="236"/>
    </row>
    <row r="378" spans="3:3">
      <c r="C378" s="236"/>
    </row>
    <row r="379" spans="3:3">
      <c r="C379" s="236"/>
    </row>
    <row r="380" spans="3:3">
      <c r="C380" s="236"/>
    </row>
    <row r="381" spans="3:3">
      <c r="C381" s="236"/>
    </row>
    <row r="382" spans="3:3">
      <c r="C382" s="236"/>
    </row>
    <row r="383" spans="3:3">
      <c r="C383" s="236"/>
    </row>
    <row r="384" spans="3:3">
      <c r="C384" s="236"/>
    </row>
    <row r="385" spans="3:3">
      <c r="C385" s="236"/>
    </row>
    <row r="386" spans="3:3">
      <c r="C386" s="236"/>
    </row>
    <row r="387" spans="3:3">
      <c r="C387" s="236"/>
    </row>
    <row r="388" spans="3:3">
      <c r="C388" s="236"/>
    </row>
    <row r="389" spans="3:3">
      <c r="C389" s="236"/>
    </row>
    <row r="390" spans="3:3">
      <c r="C390" s="236"/>
    </row>
    <row r="391" spans="3:3">
      <c r="C391" s="236"/>
    </row>
    <row r="392" spans="3:3">
      <c r="C392" s="236"/>
    </row>
    <row r="393" spans="3:3">
      <c r="C393" s="236"/>
    </row>
    <row r="394" spans="3:3">
      <c r="C394" s="236"/>
    </row>
    <row r="395" spans="3:3">
      <c r="C395" s="236"/>
    </row>
    <row r="396" spans="3:3">
      <c r="C396" s="236"/>
    </row>
    <row r="397" spans="3:3">
      <c r="C397" s="236"/>
    </row>
    <row r="398" spans="3:3">
      <c r="C398" s="236"/>
    </row>
    <row r="399" spans="3:3">
      <c r="C399" s="236"/>
    </row>
    <row r="400" spans="3:3">
      <c r="C400" s="236"/>
    </row>
    <row r="401" spans="3:3">
      <c r="C401" s="236"/>
    </row>
    <row r="402" spans="3:3">
      <c r="C402" s="236"/>
    </row>
    <row r="403" spans="3:3">
      <c r="C403" s="236"/>
    </row>
    <row r="404" spans="3:3">
      <c r="C404" s="236"/>
    </row>
    <row r="405" spans="3:3">
      <c r="C405" s="236"/>
    </row>
    <row r="406" spans="3:3">
      <c r="C406" s="236"/>
    </row>
    <row r="407" spans="3:3">
      <c r="C407" s="236"/>
    </row>
    <row r="408" spans="3:3">
      <c r="C408" s="236"/>
    </row>
    <row r="409" spans="3:3">
      <c r="C409" s="236"/>
    </row>
    <row r="410" spans="3:3">
      <c r="C410" s="236"/>
    </row>
    <row r="411" spans="3:3">
      <c r="C411" s="236"/>
    </row>
    <row r="412" spans="3:3">
      <c r="C412" s="236"/>
    </row>
    <row r="413" spans="3:3">
      <c r="C413" s="236"/>
    </row>
    <row r="414" spans="3:3">
      <c r="C414" s="236"/>
    </row>
    <row r="415" spans="3:3">
      <c r="C415" s="236"/>
    </row>
    <row r="416" spans="3:3">
      <c r="C416" s="236"/>
    </row>
    <row r="417" spans="3:3">
      <c r="C417" s="236"/>
    </row>
    <row r="418" spans="3:3">
      <c r="C418" s="236"/>
    </row>
    <row r="419" spans="3:3">
      <c r="C419" s="236"/>
    </row>
    <row r="420" spans="3:3">
      <c r="C420" s="236"/>
    </row>
    <row r="421" spans="3:3">
      <c r="C421" s="236"/>
    </row>
    <row r="422" spans="3:3">
      <c r="C422" s="236"/>
    </row>
    <row r="423" spans="3:3">
      <c r="C423" s="236"/>
    </row>
    <row r="424" spans="3:3">
      <c r="C424" s="236"/>
    </row>
    <row r="425" spans="3:3">
      <c r="C425" s="236"/>
    </row>
    <row r="426" spans="3:3">
      <c r="C426" s="236"/>
    </row>
    <row r="427" spans="3:3">
      <c r="C427" s="236"/>
    </row>
    <row r="428" spans="3:3">
      <c r="C428" s="236"/>
    </row>
    <row r="429" spans="3:3">
      <c r="C429" s="236"/>
    </row>
    <row r="430" spans="3:3">
      <c r="C430" s="236"/>
    </row>
    <row r="431" spans="3:3">
      <c r="C431" s="236"/>
    </row>
    <row r="432" spans="3:3">
      <c r="C432" s="236"/>
    </row>
    <row r="433" spans="3:3">
      <c r="C433" s="236"/>
    </row>
    <row r="434" spans="3:3">
      <c r="C434" s="236"/>
    </row>
    <row r="435" spans="3:3">
      <c r="C435" s="236"/>
    </row>
    <row r="436" spans="3:3">
      <c r="C436" s="236"/>
    </row>
    <row r="437" spans="3:3">
      <c r="C437" s="236"/>
    </row>
    <row r="438" spans="3:3">
      <c r="C438" s="236"/>
    </row>
    <row r="439" spans="3:3">
      <c r="C439" s="236"/>
    </row>
    <row r="440" spans="3:3">
      <c r="C440" s="236"/>
    </row>
    <row r="441" spans="3:3">
      <c r="C441" s="236"/>
    </row>
    <row r="442" spans="3:3">
      <c r="C442" s="236"/>
    </row>
    <row r="443" spans="3:3">
      <c r="C443" s="236"/>
    </row>
    <row r="444" spans="3:3">
      <c r="C444" s="236"/>
    </row>
    <row r="445" spans="3:3">
      <c r="C445" s="236"/>
    </row>
    <row r="446" spans="3:3">
      <c r="C446" s="236"/>
    </row>
    <row r="447" spans="3:3">
      <c r="C447" s="236"/>
    </row>
    <row r="448" spans="3:3">
      <c r="C448" s="236"/>
    </row>
    <row r="449" spans="3:3">
      <c r="C449" s="236"/>
    </row>
    <row r="450" spans="3:3">
      <c r="C450" s="236"/>
    </row>
    <row r="451" spans="3:3">
      <c r="C451" s="236"/>
    </row>
    <row r="452" spans="3:3">
      <c r="C452" s="236"/>
    </row>
    <row r="453" spans="3:3">
      <c r="C453" s="236"/>
    </row>
    <row r="454" spans="3:3">
      <c r="C454" s="236"/>
    </row>
    <row r="455" spans="3:3">
      <c r="C455" s="236"/>
    </row>
    <row r="456" spans="3:3">
      <c r="C456" s="236"/>
    </row>
    <row r="457" spans="3:3">
      <c r="C457" s="236"/>
    </row>
    <row r="458" spans="3:3">
      <c r="C458" s="236"/>
    </row>
    <row r="459" spans="3:3">
      <c r="C459" s="236"/>
    </row>
    <row r="460" spans="3:3">
      <c r="C460" s="236"/>
    </row>
    <row r="461" spans="3:3">
      <c r="C461" s="236"/>
    </row>
    <row r="462" spans="3:3">
      <c r="C462" s="236"/>
    </row>
    <row r="463" spans="3:3">
      <c r="C463" s="236"/>
    </row>
    <row r="464" spans="3:3">
      <c r="C464" s="236"/>
    </row>
    <row r="465" spans="3:3">
      <c r="C465" s="236"/>
    </row>
    <row r="466" spans="3:3">
      <c r="C466" s="236"/>
    </row>
    <row r="467" spans="3:3">
      <c r="C467" s="236"/>
    </row>
    <row r="468" spans="3:3">
      <c r="C468" s="236"/>
    </row>
    <row r="469" spans="3:3">
      <c r="C469" s="236"/>
    </row>
    <row r="470" spans="3:3">
      <c r="C470" s="236"/>
    </row>
    <row r="471" spans="3:3">
      <c r="C471" s="236"/>
    </row>
    <row r="472" spans="3:3">
      <c r="C472" s="236"/>
    </row>
    <row r="473" spans="3:3">
      <c r="C473" s="236"/>
    </row>
    <row r="474" spans="3:3">
      <c r="C474" s="236"/>
    </row>
    <row r="475" spans="3:3">
      <c r="C475" s="236"/>
    </row>
    <row r="476" spans="3:3">
      <c r="C476" s="236"/>
    </row>
    <row r="477" spans="3:3">
      <c r="C477" s="236"/>
    </row>
    <row r="478" spans="3:3">
      <c r="C478" s="236"/>
    </row>
    <row r="479" spans="3:3">
      <c r="C479" s="236"/>
    </row>
    <row r="480" spans="3:3">
      <c r="C480" s="236"/>
    </row>
    <row r="481" spans="3:3">
      <c r="C481" s="236"/>
    </row>
    <row r="482" spans="3:3">
      <c r="C482" s="236"/>
    </row>
    <row r="483" spans="3:3">
      <c r="C483" s="236"/>
    </row>
    <row r="484" spans="3:3">
      <c r="C484" s="236"/>
    </row>
    <row r="485" spans="3:3">
      <c r="C485" s="236"/>
    </row>
    <row r="486" spans="3:3">
      <c r="C486" s="236"/>
    </row>
    <row r="487" spans="3:3">
      <c r="C487" s="236"/>
    </row>
    <row r="488" spans="3:3">
      <c r="C488" s="236"/>
    </row>
    <row r="489" spans="3:3">
      <c r="C489" s="236"/>
    </row>
    <row r="490" spans="3:3">
      <c r="C490" s="236"/>
    </row>
    <row r="491" spans="3:3">
      <c r="C491" s="236"/>
    </row>
    <row r="492" spans="3:3">
      <c r="C492" s="236"/>
    </row>
    <row r="493" spans="3:3">
      <c r="C493" s="236"/>
    </row>
    <row r="494" spans="3:3">
      <c r="C494" s="236"/>
    </row>
    <row r="495" spans="3:3">
      <c r="C495" s="236"/>
    </row>
    <row r="496" spans="3:3">
      <c r="C496" s="236"/>
    </row>
    <row r="497" spans="3:3">
      <c r="C497" s="236"/>
    </row>
    <row r="498" spans="3:3">
      <c r="C498" s="236"/>
    </row>
    <row r="499" spans="3:3">
      <c r="C499" s="236"/>
    </row>
    <row r="500" spans="3:3">
      <c r="C500" s="236"/>
    </row>
    <row r="501" spans="3:3">
      <c r="C501" s="236"/>
    </row>
    <row r="502" spans="3:3">
      <c r="C502" s="236"/>
    </row>
    <row r="503" spans="3:3">
      <c r="C503" s="236"/>
    </row>
    <row r="504" spans="3:3">
      <c r="C504" s="236"/>
    </row>
    <row r="505" spans="3:3">
      <c r="C505" s="236"/>
    </row>
    <row r="506" spans="3:3">
      <c r="C506" s="236"/>
    </row>
    <row r="507" spans="3:3">
      <c r="C507" s="236"/>
    </row>
    <row r="508" spans="3:3">
      <c r="C508" s="236"/>
    </row>
    <row r="509" spans="3:3">
      <c r="C509" s="236"/>
    </row>
    <row r="510" spans="3:3">
      <c r="C510" s="236"/>
    </row>
    <row r="511" spans="3:3">
      <c r="C511" s="236"/>
    </row>
    <row r="512" spans="3:3">
      <c r="C512" s="236"/>
    </row>
    <row r="513" spans="3:3">
      <c r="C513" s="236"/>
    </row>
    <row r="514" spans="3:3">
      <c r="C514" s="236"/>
    </row>
    <row r="515" spans="3:3">
      <c r="C515" s="236"/>
    </row>
    <row r="516" spans="3:3">
      <c r="C516" s="236"/>
    </row>
    <row r="517" spans="3:3">
      <c r="C517" s="236"/>
    </row>
    <row r="518" spans="3:3">
      <c r="C518" s="236"/>
    </row>
    <row r="519" spans="3:3">
      <c r="C519" s="236"/>
    </row>
    <row r="520" spans="3:3">
      <c r="C520" s="236"/>
    </row>
    <row r="521" spans="3:3">
      <c r="C521" s="236"/>
    </row>
    <row r="522" spans="3:3">
      <c r="C522" s="236"/>
    </row>
    <row r="523" spans="3:3">
      <c r="C523" s="236"/>
    </row>
    <row r="524" spans="3:3">
      <c r="C524" s="236"/>
    </row>
    <row r="525" spans="3:3">
      <c r="C525" s="236"/>
    </row>
    <row r="526" spans="3:3">
      <c r="C526" s="236"/>
    </row>
    <row r="527" spans="3:3">
      <c r="C527" s="236"/>
    </row>
    <row r="528" spans="3:3">
      <c r="C528" s="236"/>
    </row>
    <row r="529" spans="3:3">
      <c r="C529" s="236"/>
    </row>
    <row r="530" spans="3:3">
      <c r="C530" s="236"/>
    </row>
    <row r="531" spans="3:3">
      <c r="C531" s="236"/>
    </row>
    <row r="532" spans="3:3">
      <c r="C532" s="236"/>
    </row>
    <row r="533" spans="3:3">
      <c r="C533" s="236"/>
    </row>
    <row r="534" spans="3:3">
      <c r="C534" s="236"/>
    </row>
    <row r="535" spans="3:3">
      <c r="C535" s="236"/>
    </row>
    <row r="536" spans="3:3">
      <c r="C536" s="236"/>
    </row>
    <row r="537" spans="3:3">
      <c r="C537" s="236"/>
    </row>
    <row r="538" spans="3:3">
      <c r="C538" s="236"/>
    </row>
    <row r="539" spans="3:3">
      <c r="C539" s="236"/>
    </row>
    <row r="540" spans="3:3">
      <c r="C540" s="236"/>
    </row>
    <row r="541" spans="3:3">
      <c r="C541" s="236"/>
    </row>
    <row r="542" spans="3:3">
      <c r="C542" s="236"/>
    </row>
    <row r="543" spans="3:3">
      <c r="C543" s="236"/>
    </row>
    <row r="544" spans="3:3">
      <c r="C544" s="236"/>
    </row>
    <row r="545" spans="3:3">
      <c r="C545" s="236"/>
    </row>
    <row r="546" spans="3:3">
      <c r="C546" s="236"/>
    </row>
    <row r="547" spans="3:3">
      <c r="C547" s="236"/>
    </row>
    <row r="548" spans="3:3">
      <c r="C548" s="236"/>
    </row>
    <row r="549" spans="3:3">
      <c r="C549" s="236"/>
    </row>
    <row r="550" spans="3:3">
      <c r="C550" s="236"/>
    </row>
    <row r="551" spans="3:3">
      <c r="C551" s="236"/>
    </row>
    <row r="552" spans="3:3">
      <c r="C552" s="236"/>
    </row>
    <row r="553" spans="3:3">
      <c r="C553" s="236"/>
    </row>
    <row r="554" spans="3:3">
      <c r="C554" s="236"/>
    </row>
    <row r="555" spans="3:3">
      <c r="C555" s="236"/>
    </row>
    <row r="556" spans="3:3">
      <c r="C556" s="236"/>
    </row>
    <row r="557" spans="3:3">
      <c r="C557" s="236"/>
    </row>
    <row r="558" spans="3:3">
      <c r="C558" s="236"/>
    </row>
    <row r="559" spans="3:3">
      <c r="C559" s="236"/>
    </row>
    <row r="560" spans="3:3">
      <c r="C560" s="236"/>
    </row>
    <row r="561" spans="3:3">
      <c r="C561" s="236"/>
    </row>
    <row r="562" spans="3:3">
      <c r="C562" s="236"/>
    </row>
    <row r="563" spans="3:3">
      <c r="C563" s="236"/>
    </row>
    <row r="564" spans="3:3">
      <c r="C564" s="236"/>
    </row>
    <row r="565" spans="3:3">
      <c r="C565" s="236"/>
    </row>
    <row r="566" spans="3:3">
      <c r="C566" s="236"/>
    </row>
    <row r="567" spans="3:3">
      <c r="C567" s="236"/>
    </row>
    <row r="568" spans="3:3">
      <c r="C568" s="236"/>
    </row>
    <row r="569" spans="3:3">
      <c r="C569" s="236"/>
    </row>
    <row r="570" spans="3:3">
      <c r="C570" s="236"/>
    </row>
    <row r="571" spans="3:3">
      <c r="C571" s="236"/>
    </row>
    <row r="572" spans="3:3">
      <c r="C572" s="236"/>
    </row>
    <row r="573" spans="3:3">
      <c r="C573" s="236"/>
    </row>
    <row r="574" spans="3:3">
      <c r="C574" s="236"/>
    </row>
    <row r="575" spans="3:3">
      <c r="C575" s="236"/>
    </row>
    <row r="576" spans="3:3">
      <c r="C576" s="236"/>
    </row>
    <row r="577" spans="3:3">
      <c r="C577" s="236"/>
    </row>
    <row r="578" spans="3:3">
      <c r="C578" s="236"/>
    </row>
    <row r="579" spans="3:3">
      <c r="C579" s="236"/>
    </row>
    <row r="580" spans="3:3">
      <c r="C580" s="236"/>
    </row>
    <row r="581" spans="3:3">
      <c r="C581" s="236"/>
    </row>
    <row r="582" spans="3:3">
      <c r="C582" s="236"/>
    </row>
    <row r="583" spans="3:3">
      <c r="C583" s="236"/>
    </row>
    <row r="584" spans="3:3">
      <c r="C584" s="236"/>
    </row>
    <row r="585" spans="3:3">
      <c r="C585" s="236"/>
    </row>
    <row r="586" spans="3:3">
      <c r="C586" s="236"/>
    </row>
    <row r="587" spans="3:3">
      <c r="C587" s="236"/>
    </row>
    <row r="588" spans="3:3">
      <c r="C588" s="236"/>
    </row>
    <row r="589" spans="3:3">
      <c r="C589" s="236"/>
    </row>
    <row r="590" spans="3:3">
      <c r="C590" s="236"/>
    </row>
    <row r="591" spans="3:3">
      <c r="C591" s="236"/>
    </row>
    <row r="592" spans="3:3">
      <c r="C592" s="236"/>
    </row>
    <row r="593" spans="3:3">
      <c r="C593" s="236"/>
    </row>
    <row r="594" spans="3:3">
      <c r="C594" s="236"/>
    </row>
    <row r="595" spans="3:3">
      <c r="C595" s="236"/>
    </row>
    <row r="596" spans="3:3">
      <c r="C596" s="236"/>
    </row>
    <row r="597" spans="3:3">
      <c r="C597" s="236"/>
    </row>
    <row r="598" spans="3:3">
      <c r="C598" s="236"/>
    </row>
    <row r="599" spans="3:3">
      <c r="C599" s="236"/>
    </row>
    <row r="600" spans="3:3">
      <c r="C600" s="236"/>
    </row>
    <row r="601" spans="3:3">
      <c r="C601" s="236"/>
    </row>
    <row r="602" spans="3:3">
      <c r="C602" s="236"/>
    </row>
    <row r="603" spans="3:3">
      <c r="C603" s="236"/>
    </row>
    <row r="604" spans="3:3">
      <c r="C604" s="236"/>
    </row>
    <row r="605" spans="3:3">
      <c r="C605" s="236"/>
    </row>
    <row r="606" spans="3:3">
      <c r="C606" s="236"/>
    </row>
    <row r="607" spans="3:3">
      <c r="C607" s="236"/>
    </row>
    <row r="608" spans="3:3">
      <c r="C608" s="236"/>
    </row>
    <row r="609" spans="3:3">
      <c r="C609" s="236"/>
    </row>
    <row r="610" spans="3:3">
      <c r="C610" s="236"/>
    </row>
    <row r="611" spans="3:3">
      <c r="C611" s="236"/>
    </row>
    <row r="612" spans="3:3">
      <c r="C612" s="236"/>
    </row>
    <row r="613" spans="3:3">
      <c r="C613" s="236"/>
    </row>
    <row r="614" spans="3:3">
      <c r="C614" s="236"/>
    </row>
    <row r="615" spans="3:3">
      <c r="C615" s="236"/>
    </row>
    <row r="616" spans="3:3">
      <c r="C616" s="236"/>
    </row>
    <row r="617" spans="3:3">
      <c r="C617" s="236"/>
    </row>
    <row r="618" spans="3:3">
      <c r="C618" s="236"/>
    </row>
    <row r="619" spans="3:3">
      <c r="C619" s="236"/>
    </row>
    <row r="620" spans="3:3">
      <c r="C620" s="236"/>
    </row>
    <row r="621" spans="3:3">
      <c r="C621" s="236"/>
    </row>
    <row r="622" spans="3:3">
      <c r="C622" s="236"/>
    </row>
    <row r="623" spans="3:3">
      <c r="C623" s="236"/>
    </row>
    <row r="624" spans="3:3">
      <c r="C624" s="236"/>
    </row>
    <row r="625" spans="3:3">
      <c r="C625" s="236"/>
    </row>
    <row r="626" spans="3:3">
      <c r="C626" s="236"/>
    </row>
    <row r="627" spans="3:3">
      <c r="C627" s="236"/>
    </row>
    <row r="628" spans="3:3">
      <c r="C628" s="236"/>
    </row>
    <row r="629" spans="3:3">
      <c r="C629" s="236"/>
    </row>
    <row r="630" spans="3:3">
      <c r="C630" s="236"/>
    </row>
    <row r="631" spans="3:3">
      <c r="C631" s="236"/>
    </row>
    <row r="632" spans="3:3">
      <c r="C632" s="236"/>
    </row>
    <row r="633" spans="3:3">
      <c r="C633" s="236"/>
    </row>
    <row r="634" spans="3:3">
      <c r="C634" s="236"/>
    </row>
    <row r="635" spans="3:3">
      <c r="C635" s="236"/>
    </row>
    <row r="636" spans="3:3">
      <c r="C636" s="236"/>
    </row>
    <row r="637" spans="3:3">
      <c r="C637" s="236"/>
    </row>
    <row r="638" spans="3:3">
      <c r="C638" s="236"/>
    </row>
    <row r="639" spans="3:3">
      <c r="C639" s="236"/>
    </row>
    <row r="640" spans="3:3">
      <c r="C640" s="236"/>
    </row>
    <row r="641" spans="3:3">
      <c r="C641" s="236"/>
    </row>
    <row r="642" spans="3:3">
      <c r="C642" s="236"/>
    </row>
    <row r="643" spans="3:3">
      <c r="C643" s="236"/>
    </row>
    <row r="644" spans="3:3">
      <c r="C644" s="236"/>
    </row>
    <row r="645" spans="3:3">
      <c r="C645" s="236"/>
    </row>
    <row r="646" spans="3:3">
      <c r="C646" s="236"/>
    </row>
    <row r="647" spans="3:3">
      <c r="C647" s="236"/>
    </row>
    <row r="648" spans="3:3">
      <c r="C648" s="236"/>
    </row>
    <row r="649" spans="3:3">
      <c r="C649" s="236"/>
    </row>
    <row r="650" spans="3:3">
      <c r="C650" s="236"/>
    </row>
    <row r="651" spans="3:3">
      <c r="C651" s="236"/>
    </row>
    <row r="652" spans="3:3">
      <c r="C652" s="236"/>
    </row>
    <row r="653" spans="3:3">
      <c r="C653" s="236"/>
    </row>
    <row r="654" spans="3:3">
      <c r="C654" s="236"/>
    </row>
    <row r="655" spans="3:3">
      <c r="C655" s="236"/>
    </row>
    <row r="656" spans="3:3">
      <c r="C656" s="236"/>
    </row>
    <row r="657" spans="3:3">
      <c r="C657" s="236"/>
    </row>
    <row r="658" spans="3:3">
      <c r="C658" s="236"/>
    </row>
    <row r="659" spans="3:3">
      <c r="C659" s="236"/>
    </row>
    <row r="660" spans="3:3">
      <c r="C660" s="236"/>
    </row>
    <row r="661" spans="3:3">
      <c r="C661" s="236"/>
    </row>
    <row r="662" spans="3:3">
      <c r="C662" s="236"/>
    </row>
    <row r="663" spans="3:3">
      <c r="C663" s="236"/>
    </row>
    <row r="664" spans="3:3">
      <c r="C664" s="236"/>
    </row>
    <row r="665" spans="3:3">
      <c r="C665" s="236"/>
    </row>
    <row r="666" spans="3:3">
      <c r="C666" s="236"/>
    </row>
    <row r="667" spans="3:3">
      <c r="C667" s="236"/>
    </row>
    <row r="668" spans="3:3">
      <c r="C668" s="236"/>
    </row>
    <row r="669" spans="3:3">
      <c r="C669" s="236"/>
    </row>
    <row r="670" spans="3:3">
      <c r="C670" s="236"/>
    </row>
    <row r="671" spans="3:3">
      <c r="C671" s="236"/>
    </row>
    <row r="672" spans="3:3">
      <c r="C672" s="236"/>
    </row>
    <row r="673" spans="3:3">
      <c r="C673" s="236"/>
    </row>
    <row r="674" spans="3:3">
      <c r="C674" s="236"/>
    </row>
    <row r="675" spans="3:3">
      <c r="C675" s="236"/>
    </row>
    <row r="676" spans="3:3">
      <c r="C676" s="236"/>
    </row>
    <row r="677" spans="3:3">
      <c r="C677" s="236"/>
    </row>
    <row r="678" spans="3:3">
      <c r="C678" s="236"/>
    </row>
    <row r="679" spans="3:3">
      <c r="C679" s="236"/>
    </row>
    <row r="680" spans="3:3">
      <c r="C680" s="236"/>
    </row>
    <row r="681" spans="3:3">
      <c r="C681" s="236"/>
    </row>
    <row r="682" spans="3:3">
      <c r="C682" s="236"/>
    </row>
    <row r="683" spans="3:3">
      <c r="C683" s="236"/>
    </row>
    <row r="684" spans="3:3">
      <c r="C684" s="236"/>
    </row>
    <row r="685" spans="3:3">
      <c r="C685" s="236"/>
    </row>
    <row r="686" spans="3:3">
      <c r="C686" s="236"/>
    </row>
    <row r="687" spans="3:3">
      <c r="C687" s="236"/>
    </row>
    <row r="688" spans="3:3">
      <c r="C688" s="236"/>
    </row>
    <row r="689" spans="3:3">
      <c r="C689" s="236"/>
    </row>
    <row r="690" spans="3:3">
      <c r="C690" s="236"/>
    </row>
    <row r="691" spans="3:3">
      <c r="C691" s="236"/>
    </row>
    <row r="692" spans="3:3">
      <c r="C692" s="236"/>
    </row>
    <row r="693" spans="3:3">
      <c r="C693" s="236"/>
    </row>
    <row r="694" spans="3:3">
      <c r="C694" s="236"/>
    </row>
    <row r="695" spans="3:3">
      <c r="C695" s="236"/>
    </row>
    <row r="696" spans="3:3">
      <c r="C696" s="236"/>
    </row>
    <row r="697" spans="3:3">
      <c r="C697" s="236"/>
    </row>
    <row r="698" spans="3:3">
      <c r="C698" s="236"/>
    </row>
    <row r="699" spans="3:3">
      <c r="C699" s="236"/>
    </row>
    <row r="700" spans="3:3">
      <c r="C700" s="236"/>
    </row>
    <row r="701" spans="3:3">
      <c r="C701" s="236"/>
    </row>
    <row r="702" spans="3:3">
      <c r="C702" s="236"/>
    </row>
    <row r="703" spans="3:3">
      <c r="C703" s="236"/>
    </row>
    <row r="704" spans="3:3">
      <c r="C704" s="236"/>
    </row>
    <row r="705" spans="3:3">
      <c r="C705" s="236"/>
    </row>
    <row r="706" spans="3:3">
      <c r="C706" s="236"/>
    </row>
    <row r="707" spans="3:3">
      <c r="C707" s="236"/>
    </row>
    <row r="708" spans="3:3">
      <c r="C708" s="236"/>
    </row>
    <row r="709" spans="3:3">
      <c r="C709" s="236"/>
    </row>
    <row r="710" spans="3:3">
      <c r="C710" s="236"/>
    </row>
    <row r="711" spans="3:3">
      <c r="C711" s="236"/>
    </row>
    <row r="712" spans="3:3">
      <c r="C712" s="236"/>
    </row>
    <row r="713" spans="3:3">
      <c r="C713" s="236"/>
    </row>
    <row r="714" spans="3:3">
      <c r="C714" s="236"/>
    </row>
    <row r="715" spans="3:3">
      <c r="C715" s="236"/>
    </row>
    <row r="716" spans="3:3">
      <c r="C716" s="236"/>
    </row>
    <row r="717" spans="3:3">
      <c r="C717" s="236"/>
    </row>
    <row r="718" spans="3:3">
      <c r="C718" s="236"/>
    </row>
    <row r="719" spans="3:3">
      <c r="C719" s="236"/>
    </row>
    <row r="720" spans="3:3">
      <c r="C720" s="236"/>
    </row>
    <row r="721" spans="3:3">
      <c r="C721" s="236"/>
    </row>
    <row r="722" spans="3:3">
      <c r="C722" s="236"/>
    </row>
    <row r="723" spans="3:3">
      <c r="C723" s="236"/>
    </row>
    <row r="724" spans="3:3">
      <c r="C724" s="236"/>
    </row>
    <row r="725" spans="3:3">
      <c r="C725" s="236"/>
    </row>
    <row r="726" spans="3:3">
      <c r="C726" s="236"/>
    </row>
    <row r="727" spans="3:3">
      <c r="C727" s="236"/>
    </row>
    <row r="728" spans="3:3">
      <c r="C728" s="236"/>
    </row>
    <row r="729" spans="3:3">
      <c r="C729" s="236"/>
    </row>
    <row r="730" spans="3:3">
      <c r="C730" s="236"/>
    </row>
    <row r="731" spans="3:3">
      <c r="C731" s="236"/>
    </row>
    <row r="732" spans="3:3">
      <c r="C732" s="236"/>
    </row>
    <row r="733" spans="3:3">
      <c r="C733" s="236"/>
    </row>
    <row r="734" spans="3:3">
      <c r="C734" s="236"/>
    </row>
    <row r="735" spans="3:3">
      <c r="C735" s="236"/>
    </row>
    <row r="736" spans="3:3">
      <c r="C736" s="236"/>
    </row>
    <row r="737" spans="3:3">
      <c r="C737" s="236"/>
    </row>
    <row r="738" spans="3:3">
      <c r="C738" s="236"/>
    </row>
    <row r="739" spans="3:3">
      <c r="C739" s="236"/>
    </row>
    <row r="740" spans="3:3">
      <c r="C740" s="236"/>
    </row>
    <row r="741" spans="3:3">
      <c r="C741" s="236"/>
    </row>
    <row r="742" spans="3:3">
      <c r="C742" s="236"/>
    </row>
    <row r="743" spans="3:3">
      <c r="C743" s="236"/>
    </row>
    <row r="744" spans="3:3">
      <c r="C744" s="236"/>
    </row>
    <row r="745" spans="3:3">
      <c r="C745" s="236"/>
    </row>
    <row r="746" spans="3:3">
      <c r="C746" s="236"/>
    </row>
    <row r="747" spans="3:3">
      <c r="C747" s="236"/>
    </row>
    <row r="748" spans="3:3">
      <c r="C748" s="236"/>
    </row>
    <row r="749" spans="3:3">
      <c r="C749" s="236"/>
    </row>
    <row r="750" spans="3:3">
      <c r="C750" s="236"/>
    </row>
    <row r="751" spans="3:3">
      <c r="C751" s="236"/>
    </row>
    <row r="752" spans="3:3">
      <c r="C752" s="236"/>
    </row>
    <row r="753" spans="3:3">
      <c r="C753" s="236"/>
    </row>
    <row r="754" spans="3:3">
      <c r="C754" s="236"/>
    </row>
    <row r="755" spans="3:3">
      <c r="C755" s="236"/>
    </row>
    <row r="756" spans="3:3">
      <c r="C756" s="236"/>
    </row>
    <row r="757" spans="3:3">
      <c r="C757" s="236"/>
    </row>
    <row r="758" spans="3:3">
      <c r="C758" s="236"/>
    </row>
    <row r="759" spans="3:3">
      <c r="C759" s="236"/>
    </row>
    <row r="760" spans="3:3">
      <c r="C760" s="236"/>
    </row>
    <row r="761" spans="3:3">
      <c r="C761" s="236"/>
    </row>
    <row r="762" spans="3:3">
      <c r="C762" s="236"/>
    </row>
    <row r="763" spans="3:3">
      <c r="C763" s="236"/>
    </row>
    <row r="764" spans="3:3">
      <c r="C764" s="236"/>
    </row>
    <row r="765" spans="3:3">
      <c r="C765" s="236"/>
    </row>
    <row r="766" spans="3:3">
      <c r="C766" s="236"/>
    </row>
    <row r="767" spans="3:3">
      <c r="C767" s="236"/>
    </row>
    <row r="768" spans="3:3">
      <c r="C768" s="236"/>
    </row>
    <row r="769" spans="3:3">
      <c r="C769" s="236"/>
    </row>
    <row r="770" spans="3:3">
      <c r="C770" s="236"/>
    </row>
    <row r="771" spans="3:3">
      <c r="C771" s="236"/>
    </row>
    <row r="772" spans="3:3">
      <c r="C772" s="236"/>
    </row>
    <row r="773" spans="3:3">
      <c r="C773" s="236"/>
    </row>
    <row r="774" spans="3:3">
      <c r="C774" s="236"/>
    </row>
    <row r="775" spans="3:3">
      <c r="C775" s="236"/>
    </row>
    <row r="776" spans="3:3">
      <c r="C776" s="236"/>
    </row>
    <row r="777" spans="3:3">
      <c r="C777" s="236"/>
    </row>
    <row r="778" spans="3:3">
      <c r="C778" s="236"/>
    </row>
    <row r="779" spans="3:3">
      <c r="C779" s="236"/>
    </row>
    <row r="780" spans="3:3">
      <c r="C780" s="236"/>
    </row>
    <row r="781" spans="3:3">
      <c r="C781" s="236"/>
    </row>
    <row r="782" spans="3:3">
      <c r="C782" s="236"/>
    </row>
    <row r="783" spans="3:3">
      <c r="C783" s="236"/>
    </row>
    <row r="784" spans="3:3">
      <c r="C784" s="236"/>
    </row>
    <row r="785" spans="3:3">
      <c r="C785" s="236"/>
    </row>
    <row r="786" spans="3:3">
      <c r="C786" s="236"/>
    </row>
    <row r="787" spans="3:3">
      <c r="C787" s="236"/>
    </row>
    <row r="788" spans="3:3">
      <c r="C788" s="236"/>
    </row>
    <row r="789" spans="3:3">
      <c r="C789" s="236"/>
    </row>
    <row r="790" spans="3:3">
      <c r="C790" s="236"/>
    </row>
    <row r="791" spans="3:3">
      <c r="C791" s="236"/>
    </row>
    <row r="792" spans="3:3">
      <c r="C792" s="236"/>
    </row>
    <row r="793" spans="3:3">
      <c r="C793" s="236"/>
    </row>
    <row r="794" spans="3:3">
      <c r="C794" s="236"/>
    </row>
    <row r="795" spans="3:3">
      <c r="C795" s="236"/>
    </row>
    <row r="796" spans="3:3">
      <c r="C796" s="236"/>
    </row>
    <row r="797" spans="3:3">
      <c r="C797" s="236"/>
    </row>
    <row r="798" spans="3:3">
      <c r="C798" s="236"/>
    </row>
    <row r="799" spans="3:3">
      <c r="C799" s="236"/>
    </row>
    <row r="800" spans="3:3">
      <c r="C800" s="236"/>
    </row>
    <row r="801" spans="3:3">
      <c r="C801" s="236"/>
    </row>
    <row r="802" spans="3:3">
      <c r="C802" s="236"/>
    </row>
    <row r="803" spans="3:3">
      <c r="C803" s="236"/>
    </row>
    <row r="804" spans="3:3">
      <c r="C804" s="236"/>
    </row>
    <row r="805" spans="3:3">
      <c r="C805" s="236"/>
    </row>
    <row r="806" spans="3:3">
      <c r="C806" s="236"/>
    </row>
    <row r="807" spans="3:3">
      <c r="C807" s="236"/>
    </row>
    <row r="808" spans="3:3">
      <c r="C808" s="236"/>
    </row>
    <row r="809" spans="3:3">
      <c r="C809" s="236"/>
    </row>
    <row r="810" spans="3:3">
      <c r="C810" s="236"/>
    </row>
    <row r="811" spans="3:3">
      <c r="C811" s="236"/>
    </row>
    <row r="812" spans="3:3">
      <c r="C812" s="236"/>
    </row>
    <row r="813" spans="3:3">
      <c r="C813" s="236"/>
    </row>
    <row r="814" spans="3:3">
      <c r="C814" s="236"/>
    </row>
    <row r="815" spans="3:3">
      <c r="C815" s="236"/>
    </row>
    <row r="816" spans="3:3">
      <c r="C816" s="236"/>
    </row>
    <row r="817" spans="3:3">
      <c r="C817" s="236"/>
    </row>
    <row r="818" spans="3:3">
      <c r="C818" s="236"/>
    </row>
    <row r="819" spans="3:3">
      <c r="C819" s="236"/>
    </row>
    <row r="820" spans="3:3">
      <c r="C820" s="236"/>
    </row>
    <row r="821" spans="3:3">
      <c r="C821" s="236"/>
    </row>
    <row r="822" spans="3:3">
      <c r="C822" s="236"/>
    </row>
    <row r="823" spans="3:3">
      <c r="C823" s="236"/>
    </row>
    <row r="824" spans="3:3">
      <c r="C824" s="236"/>
    </row>
    <row r="825" spans="3:3">
      <c r="C825" s="236"/>
    </row>
    <row r="826" spans="3:3">
      <c r="C826" s="236"/>
    </row>
    <row r="827" spans="3:3">
      <c r="C827" s="236"/>
    </row>
    <row r="828" spans="3:3">
      <c r="C828" s="236"/>
    </row>
    <row r="829" spans="3:3">
      <c r="C829" s="236"/>
    </row>
    <row r="830" spans="3:3">
      <c r="C830" s="236"/>
    </row>
    <row r="831" spans="3:3">
      <c r="C831" s="236"/>
    </row>
    <row r="832" spans="3:3">
      <c r="C832" s="236"/>
    </row>
    <row r="833" spans="3:3">
      <c r="C833" s="236"/>
    </row>
    <row r="834" spans="3:3">
      <c r="C834" s="236"/>
    </row>
    <row r="835" spans="3:3">
      <c r="C835" s="236"/>
    </row>
    <row r="836" spans="3:3">
      <c r="C836" s="236"/>
    </row>
    <row r="837" spans="3:3">
      <c r="C837" s="236"/>
    </row>
    <row r="838" spans="3:3">
      <c r="C838" s="236"/>
    </row>
    <row r="839" spans="3:3">
      <c r="C839" s="236"/>
    </row>
    <row r="840" spans="3:3">
      <c r="C840" s="236"/>
    </row>
    <row r="841" spans="3:3">
      <c r="C841" s="236"/>
    </row>
    <row r="842" spans="3:3">
      <c r="C842" s="236"/>
    </row>
    <row r="843" spans="3:3">
      <c r="C843" s="236"/>
    </row>
    <row r="844" spans="3:3">
      <c r="C844" s="236"/>
    </row>
    <row r="845" spans="3:3">
      <c r="C845" s="236"/>
    </row>
    <row r="846" spans="3:3">
      <c r="C846" s="236"/>
    </row>
    <row r="847" spans="3:3">
      <c r="C847" s="236"/>
    </row>
    <row r="848" spans="3:3">
      <c r="C848" s="236"/>
    </row>
    <row r="849" spans="3:3">
      <c r="C849" s="236"/>
    </row>
    <row r="850" spans="3:3">
      <c r="C850" s="236"/>
    </row>
    <row r="851" spans="3:3">
      <c r="C851" s="236"/>
    </row>
    <row r="852" spans="3:3">
      <c r="C852" s="236"/>
    </row>
    <row r="853" spans="3:3">
      <c r="C853" s="236"/>
    </row>
    <row r="854" spans="3:3">
      <c r="C854" s="236"/>
    </row>
    <row r="855" spans="3:3">
      <c r="C855" s="236"/>
    </row>
    <row r="856" spans="3:3">
      <c r="C856" s="236"/>
    </row>
    <row r="857" spans="3:3">
      <c r="C857" s="236"/>
    </row>
    <row r="858" spans="3:3">
      <c r="C858" s="236"/>
    </row>
    <row r="859" spans="3:3">
      <c r="C859" s="236"/>
    </row>
    <row r="860" spans="3:3">
      <c r="C860" s="236"/>
    </row>
    <row r="861" spans="3:3">
      <c r="C861" s="236"/>
    </row>
    <row r="862" spans="3:3">
      <c r="C862" s="236"/>
    </row>
    <row r="863" spans="3:3">
      <c r="C863" s="236"/>
    </row>
    <row r="864" spans="3:3">
      <c r="C864" s="236"/>
    </row>
    <row r="865" spans="3:3">
      <c r="C865" s="236"/>
    </row>
    <row r="866" spans="3:3">
      <c r="C866" s="236"/>
    </row>
    <row r="867" spans="3:3">
      <c r="C867" s="236"/>
    </row>
    <row r="868" spans="3:3">
      <c r="C868" s="236"/>
    </row>
    <row r="869" spans="3:3">
      <c r="C869" s="236"/>
    </row>
    <row r="870" spans="3:3">
      <c r="C870" s="236"/>
    </row>
    <row r="871" spans="3:3">
      <c r="C871" s="236"/>
    </row>
    <row r="872" spans="3:3">
      <c r="C872" s="236"/>
    </row>
    <row r="873" spans="3:3">
      <c r="C873" s="236"/>
    </row>
    <row r="874" spans="3:3">
      <c r="C874" s="236"/>
    </row>
    <row r="875" spans="3:3">
      <c r="C875" s="236"/>
    </row>
    <row r="876" spans="3:3">
      <c r="C876" s="236"/>
    </row>
    <row r="877" spans="3:3">
      <c r="C877" s="236"/>
    </row>
    <row r="878" spans="3:3">
      <c r="C878" s="236"/>
    </row>
    <row r="879" spans="3:3">
      <c r="C879" s="236"/>
    </row>
    <row r="880" spans="3:3">
      <c r="C880" s="236"/>
    </row>
    <row r="881" spans="3:3">
      <c r="C881" s="236"/>
    </row>
    <row r="882" spans="3:3">
      <c r="C882" s="236"/>
    </row>
    <row r="883" spans="3:3">
      <c r="C883" s="236"/>
    </row>
    <row r="884" spans="3:3">
      <c r="C884" s="236"/>
    </row>
    <row r="885" spans="3:3">
      <c r="C885" s="236"/>
    </row>
    <row r="886" spans="3:3">
      <c r="C886" s="236"/>
    </row>
    <row r="887" spans="3:3">
      <c r="C887" s="236"/>
    </row>
    <row r="888" spans="3:3">
      <c r="C888" s="236"/>
    </row>
    <row r="889" spans="3:3">
      <c r="C889" s="236"/>
    </row>
    <row r="890" spans="3:3">
      <c r="C890" s="236"/>
    </row>
    <row r="891" spans="3:3">
      <c r="C891" s="236"/>
    </row>
    <row r="892" spans="3:3">
      <c r="C892" s="236"/>
    </row>
    <row r="893" spans="3:3">
      <c r="C893" s="236"/>
    </row>
    <row r="894" spans="3:3">
      <c r="C894" s="236"/>
    </row>
    <row r="895" spans="3:3">
      <c r="C895" s="236"/>
    </row>
    <row r="896" spans="3:3">
      <c r="C896" s="236"/>
    </row>
    <row r="897" spans="3:3">
      <c r="C897" s="236"/>
    </row>
    <row r="898" spans="3:3">
      <c r="C898" s="236"/>
    </row>
    <row r="899" spans="3:3">
      <c r="C899" s="236"/>
    </row>
    <row r="900" spans="3:3">
      <c r="C900" s="236"/>
    </row>
    <row r="901" spans="3:3">
      <c r="C901" s="236"/>
    </row>
    <row r="902" spans="3:3">
      <c r="C902" s="236"/>
    </row>
    <row r="903" spans="3:3">
      <c r="C903" s="236"/>
    </row>
    <row r="904" spans="3:3">
      <c r="C904" s="236"/>
    </row>
    <row r="905" spans="3:3">
      <c r="C905" s="236"/>
    </row>
    <row r="906" spans="3:3">
      <c r="C906" s="236"/>
    </row>
    <row r="907" spans="3:3">
      <c r="C907" s="236"/>
    </row>
    <row r="908" spans="3:3">
      <c r="C908" s="236"/>
    </row>
    <row r="909" spans="3:3">
      <c r="C909" s="236"/>
    </row>
    <row r="910" spans="3:3">
      <c r="C910" s="236"/>
    </row>
    <row r="911" spans="3:3">
      <c r="C911" s="236"/>
    </row>
    <row r="912" spans="3:3">
      <c r="C912" s="236"/>
    </row>
    <row r="913" spans="3:3">
      <c r="C913" s="236"/>
    </row>
    <row r="914" spans="3:3">
      <c r="C914" s="236"/>
    </row>
    <row r="915" spans="3:3">
      <c r="C915" s="236"/>
    </row>
    <row r="916" spans="3:3">
      <c r="C916" s="236"/>
    </row>
    <row r="917" spans="3:3">
      <c r="C917" s="236"/>
    </row>
    <row r="918" spans="3:3">
      <c r="C918" s="236"/>
    </row>
    <row r="919" spans="3:3">
      <c r="C919" s="236"/>
    </row>
    <row r="920" spans="3:3">
      <c r="C920" s="236"/>
    </row>
    <row r="921" spans="3:3">
      <c r="C921" s="236"/>
    </row>
    <row r="922" spans="3:3">
      <c r="C922" s="236"/>
    </row>
    <row r="923" spans="3:3">
      <c r="C923" s="236"/>
    </row>
    <row r="924" spans="3:3">
      <c r="C924" s="236"/>
    </row>
    <row r="925" spans="3:3">
      <c r="C925" s="236"/>
    </row>
    <row r="926" spans="3:3">
      <c r="C926" s="236"/>
    </row>
    <row r="927" spans="3:3">
      <c r="C927" s="236"/>
    </row>
    <row r="928" spans="3:3">
      <c r="C928" s="236"/>
    </row>
    <row r="929" spans="3:3">
      <c r="C929" s="236"/>
    </row>
    <row r="930" spans="3:3">
      <c r="C930" s="236"/>
    </row>
    <row r="931" spans="3:3">
      <c r="C931" s="236"/>
    </row>
    <row r="932" spans="3:3">
      <c r="C932" s="236"/>
    </row>
    <row r="933" spans="3:3">
      <c r="C933" s="236"/>
    </row>
    <row r="934" spans="3:3">
      <c r="C934" s="236"/>
    </row>
    <row r="935" spans="3:3">
      <c r="C935" s="236"/>
    </row>
    <row r="936" spans="3:3">
      <c r="C936" s="236"/>
    </row>
    <row r="937" spans="3:3">
      <c r="C937" s="236"/>
    </row>
    <row r="938" spans="3:3">
      <c r="C938" s="236"/>
    </row>
    <row r="939" spans="3:3">
      <c r="C939" s="236"/>
    </row>
    <row r="940" spans="3:3">
      <c r="C940" s="236"/>
    </row>
    <row r="941" spans="3:3">
      <c r="C941" s="236"/>
    </row>
    <row r="942" spans="3:3">
      <c r="C942" s="236"/>
    </row>
    <row r="943" spans="3:3">
      <c r="C943" s="236"/>
    </row>
    <row r="944" spans="3:3">
      <c r="C944" s="236"/>
    </row>
    <row r="945" spans="3:3">
      <c r="C945" s="236"/>
    </row>
    <row r="946" spans="3:3">
      <c r="C946" s="236"/>
    </row>
    <row r="947" spans="3:3">
      <c r="C947" s="236"/>
    </row>
    <row r="948" spans="3:3">
      <c r="C948" s="236"/>
    </row>
    <row r="949" spans="3:3">
      <c r="C949" s="236"/>
    </row>
    <row r="950" spans="3:3">
      <c r="C950" s="236"/>
    </row>
    <row r="951" spans="3:3">
      <c r="C951" s="236"/>
    </row>
    <row r="952" spans="3:3">
      <c r="C952" s="236"/>
    </row>
    <row r="953" spans="3:3">
      <c r="C953" s="236"/>
    </row>
    <row r="954" spans="3:3">
      <c r="C954" s="236"/>
    </row>
    <row r="955" spans="3:3">
      <c r="C955" s="236"/>
    </row>
    <row r="956" spans="3:3">
      <c r="C956" s="236"/>
    </row>
    <row r="957" spans="3:3">
      <c r="C957" s="236"/>
    </row>
    <row r="958" spans="3:3">
      <c r="C958" s="236"/>
    </row>
    <row r="959" spans="3:3">
      <c r="C959" s="236"/>
    </row>
    <row r="960" spans="3:3">
      <c r="C960" s="236"/>
    </row>
    <row r="961" spans="3:3">
      <c r="C961" s="236"/>
    </row>
    <row r="962" spans="3:3">
      <c r="C962" s="236"/>
    </row>
    <row r="963" spans="3:3">
      <c r="C963" s="236"/>
    </row>
    <row r="964" spans="3:3">
      <c r="C964" s="236"/>
    </row>
    <row r="965" spans="3:3">
      <c r="C965" s="236"/>
    </row>
    <row r="966" spans="3:3">
      <c r="C966" s="236"/>
    </row>
    <row r="967" spans="3:3">
      <c r="C967" s="236"/>
    </row>
    <row r="968" spans="3:3">
      <c r="C968" s="236"/>
    </row>
    <row r="969" spans="3:3">
      <c r="C969" s="236"/>
    </row>
    <row r="970" spans="3:3">
      <c r="C970" s="236"/>
    </row>
    <row r="971" spans="3:3">
      <c r="C971" s="236"/>
    </row>
    <row r="972" spans="3:3">
      <c r="C972" s="236"/>
    </row>
    <row r="973" spans="3:3">
      <c r="C973" s="236"/>
    </row>
    <row r="974" spans="3:3">
      <c r="C974" s="236"/>
    </row>
    <row r="975" spans="3:3">
      <c r="C975" s="236"/>
    </row>
    <row r="976" spans="3:3">
      <c r="C976" s="236"/>
    </row>
    <row r="977" spans="3:3">
      <c r="C977" s="236"/>
    </row>
    <row r="978" spans="3:3">
      <c r="C978" s="236"/>
    </row>
    <row r="979" spans="3:3">
      <c r="C979" s="236"/>
    </row>
    <row r="980" spans="3:3">
      <c r="C980" s="236"/>
    </row>
    <row r="981" spans="3:3">
      <c r="C981" s="236"/>
    </row>
    <row r="982" spans="3:3">
      <c r="C982" s="236"/>
    </row>
    <row r="983" spans="3:3">
      <c r="C983" s="236"/>
    </row>
    <row r="984" spans="3:3">
      <c r="C984" s="236"/>
    </row>
    <row r="985" spans="3:3">
      <c r="C985" s="236"/>
    </row>
    <row r="986" spans="3:3">
      <c r="C986" s="236"/>
    </row>
    <row r="987" spans="3:3">
      <c r="C987" s="236"/>
    </row>
    <row r="988" spans="3:3">
      <c r="C988" s="236"/>
    </row>
    <row r="989" spans="3:3">
      <c r="C989" s="236"/>
    </row>
    <row r="990" spans="3:3">
      <c r="C990" s="236"/>
    </row>
    <row r="991" spans="3:3">
      <c r="C991" s="236"/>
    </row>
    <row r="992" spans="3:3">
      <c r="C992" s="236"/>
    </row>
    <row r="993" spans="3:3">
      <c r="C993" s="236"/>
    </row>
    <row r="994" spans="3:3">
      <c r="C994" s="236"/>
    </row>
    <row r="995" spans="3:3">
      <c r="C995" s="236"/>
    </row>
    <row r="996" spans="3:3">
      <c r="C996" s="236"/>
    </row>
    <row r="997" spans="3:3">
      <c r="C997" s="236"/>
    </row>
    <row r="998" spans="3:3">
      <c r="C998" s="236"/>
    </row>
    <row r="999" spans="3:3">
      <c r="C999" s="236"/>
    </row>
    <row r="1000" spans="3:3">
      <c r="C1000" s="236"/>
    </row>
    <row r="1001" spans="3:3">
      <c r="C1001" s="236"/>
    </row>
    <row r="1002" spans="3:3">
      <c r="C1002" s="236"/>
    </row>
    <row r="1003" spans="3:3">
      <c r="C1003" s="236"/>
    </row>
    <row r="1004" spans="3:3">
      <c r="C1004" s="236"/>
    </row>
    <row r="1005" spans="3:3">
      <c r="C1005" s="236"/>
    </row>
    <row r="1006" spans="3:3">
      <c r="C1006" s="236"/>
    </row>
    <row r="1007" spans="3:3">
      <c r="C1007" s="236"/>
    </row>
    <row r="1008" spans="3:3">
      <c r="C1008" s="236"/>
    </row>
    <row r="1009" spans="3:3">
      <c r="C1009" s="236"/>
    </row>
    <row r="1010" spans="3:3">
      <c r="C1010" s="236"/>
    </row>
    <row r="1011" spans="3:3">
      <c r="C1011" s="236"/>
    </row>
    <row r="1012" spans="3:3">
      <c r="C1012" s="236"/>
    </row>
    <row r="1013" spans="3:3">
      <c r="C1013" s="236"/>
    </row>
    <row r="1014" spans="3:3">
      <c r="C1014" s="236"/>
    </row>
    <row r="1015" spans="3:3">
      <c r="C1015" s="236"/>
    </row>
    <row r="1016" spans="3:3">
      <c r="C1016" s="236"/>
    </row>
    <row r="1017" spans="3:3">
      <c r="C1017" s="236"/>
    </row>
    <row r="1018" spans="3:3">
      <c r="C1018" s="236"/>
    </row>
    <row r="1019" spans="3:3">
      <c r="C1019" s="236"/>
    </row>
    <row r="1020" spans="3:3">
      <c r="C1020" s="236"/>
    </row>
    <row r="1021" spans="3:3">
      <c r="C1021" s="236"/>
    </row>
    <row r="1022" spans="3:3">
      <c r="C1022" s="236"/>
    </row>
    <row r="1023" spans="3:3">
      <c r="C1023" s="236"/>
    </row>
    <row r="1024" spans="3:3">
      <c r="C1024" s="236"/>
    </row>
    <row r="1025" spans="3:3">
      <c r="C1025" s="236"/>
    </row>
    <row r="1026" spans="3:3">
      <c r="C1026" s="236"/>
    </row>
    <row r="1027" spans="3:3">
      <c r="C1027" s="236"/>
    </row>
    <row r="1028" spans="3:3">
      <c r="C1028" s="236"/>
    </row>
    <row r="1029" spans="3:3">
      <c r="C1029" s="236"/>
    </row>
    <row r="1030" spans="3:3">
      <c r="C1030" s="236"/>
    </row>
    <row r="1031" spans="3:3">
      <c r="C1031" s="236"/>
    </row>
    <row r="1032" spans="3:3">
      <c r="C1032" s="236"/>
    </row>
    <row r="1033" spans="3:3">
      <c r="C1033" s="236"/>
    </row>
    <row r="1034" spans="3:3">
      <c r="C1034" s="236"/>
    </row>
    <row r="1035" spans="3:3">
      <c r="C1035" s="236"/>
    </row>
    <row r="1036" spans="3:3">
      <c r="C1036" s="236"/>
    </row>
    <row r="1037" spans="3:3">
      <c r="C1037" s="236"/>
    </row>
    <row r="1038" spans="3:3">
      <c r="C1038" s="236"/>
    </row>
    <row r="1039" spans="3:3">
      <c r="C1039" s="236"/>
    </row>
    <row r="1040" spans="3:3">
      <c r="C1040" s="236"/>
    </row>
    <row r="1041" spans="3:3">
      <c r="C1041" s="236"/>
    </row>
    <row r="1042" spans="3:3">
      <c r="C1042" s="236"/>
    </row>
    <row r="1043" spans="3:3">
      <c r="C1043" s="236"/>
    </row>
    <row r="1044" spans="3:3">
      <c r="C1044" s="236"/>
    </row>
    <row r="1045" spans="3:3">
      <c r="C1045" s="236"/>
    </row>
    <row r="1046" spans="3:3">
      <c r="C1046" s="236"/>
    </row>
    <row r="1047" spans="3:3">
      <c r="C1047" s="236"/>
    </row>
    <row r="1048" spans="3:3">
      <c r="C1048" s="236"/>
    </row>
    <row r="1049" spans="3:3">
      <c r="C1049" s="236"/>
    </row>
    <row r="1050" spans="3:3">
      <c r="C1050" s="236"/>
    </row>
    <row r="1051" spans="3:3">
      <c r="C1051" s="236"/>
    </row>
    <row r="1052" spans="3:3">
      <c r="C1052" s="236"/>
    </row>
    <row r="1053" spans="3:3">
      <c r="C1053" s="236"/>
    </row>
    <row r="1054" spans="3:3">
      <c r="C1054" s="236"/>
    </row>
    <row r="1055" spans="3:3">
      <c r="C1055" s="236"/>
    </row>
    <row r="1056" spans="3:3">
      <c r="C1056" s="236"/>
    </row>
    <row r="1057" spans="3:3">
      <c r="C1057" s="236"/>
    </row>
    <row r="1058" spans="3:3">
      <c r="C1058" s="236"/>
    </row>
    <row r="1059" spans="3:3">
      <c r="C1059" s="236"/>
    </row>
    <row r="1060" spans="3:3">
      <c r="C1060" s="236"/>
    </row>
    <row r="1061" spans="3:3">
      <c r="C1061" s="236"/>
    </row>
    <row r="1062" spans="3:3">
      <c r="C1062" s="236"/>
    </row>
    <row r="1063" spans="3:3">
      <c r="C1063" s="236"/>
    </row>
    <row r="1064" spans="3:3">
      <c r="C1064" s="236"/>
    </row>
    <row r="1065" spans="3:3">
      <c r="C1065" s="236"/>
    </row>
    <row r="1066" spans="3:3">
      <c r="C1066" s="236"/>
    </row>
    <row r="1067" spans="3:3">
      <c r="C1067" s="236"/>
    </row>
    <row r="1068" spans="3:3">
      <c r="C1068" s="236"/>
    </row>
    <row r="1069" spans="3:3">
      <c r="C1069" s="236"/>
    </row>
    <row r="1070" spans="3:3">
      <c r="C1070" s="236"/>
    </row>
    <row r="1071" spans="3:3">
      <c r="C1071" s="236"/>
    </row>
    <row r="1072" spans="3:3">
      <c r="C1072" s="236"/>
    </row>
    <row r="1073" spans="3:3">
      <c r="C1073" s="236"/>
    </row>
    <row r="1074" spans="3:3">
      <c r="C1074" s="236"/>
    </row>
    <row r="1075" spans="3:3">
      <c r="C1075" s="236"/>
    </row>
    <row r="1076" spans="3:3">
      <c r="C1076" s="236"/>
    </row>
    <row r="1077" spans="3:3">
      <c r="C1077" s="236"/>
    </row>
    <row r="1078" spans="3:3">
      <c r="C1078" s="236"/>
    </row>
    <row r="1079" spans="3:3">
      <c r="C1079" s="236"/>
    </row>
    <row r="1080" spans="3:3">
      <c r="C1080" s="236"/>
    </row>
    <row r="1081" spans="3:3">
      <c r="C1081" s="236"/>
    </row>
    <row r="1082" spans="3:3">
      <c r="C1082" s="236"/>
    </row>
    <row r="1083" spans="3:3">
      <c r="C1083" s="236"/>
    </row>
    <row r="1084" spans="3:3">
      <c r="C1084" s="236"/>
    </row>
    <row r="1085" spans="3:3">
      <c r="C1085" s="236"/>
    </row>
    <row r="1086" spans="3:3">
      <c r="C1086" s="236"/>
    </row>
    <row r="1087" spans="3:3">
      <c r="C1087" s="236"/>
    </row>
    <row r="1088" spans="3:3">
      <c r="C1088" s="236"/>
    </row>
    <row r="1089" spans="3:3">
      <c r="C1089" s="236"/>
    </row>
    <row r="1090" spans="3:3">
      <c r="C1090" s="236"/>
    </row>
    <row r="1091" spans="3:3">
      <c r="C1091" s="236"/>
    </row>
    <row r="1092" spans="3:3">
      <c r="C1092" s="236"/>
    </row>
    <row r="1093" spans="3:3">
      <c r="C1093" s="236"/>
    </row>
    <row r="1094" spans="3:3">
      <c r="C1094" s="236"/>
    </row>
    <row r="1095" spans="3:3">
      <c r="C1095" s="236"/>
    </row>
    <row r="1096" spans="3:3">
      <c r="C1096" s="236"/>
    </row>
    <row r="1097" spans="3:3">
      <c r="C1097" s="236"/>
    </row>
    <row r="1098" spans="3:3">
      <c r="C1098" s="236"/>
    </row>
    <row r="1099" spans="3:3">
      <c r="C1099" s="236"/>
    </row>
    <row r="1100" spans="3:3">
      <c r="C1100" s="236"/>
    </row>
    <row r="1101" spans="3:3">
      <c r="C1101" s="236"/>
    </row>
    <row r="1102" spans="3:3">
      <c r="C1102" s="236"/>
    </row>
    <row r="1103" spans="3:3">
      <c r="C1103" s="236"/>
    </row>
    <row r="1104" spans="3:3">
      <c r="C1104" s="236"/>
    </row>
    <row r="1105" spans="3:3">
      <c r="C1105" s="236"/>
    </row>
    <row r="1106" spans="3:3">
      <c r="C1106" s="236"/>
    </row>
    <row r="1107" spans="3:3">
      <c r="C1107" s="236"/>
    </row>
    <row r="1108" spans="3:3">
      <c r="C1108" s="236"/>
    </row>
    <row r="1109" spans="3:3">
      <c r="C1109" s="236"/>
    </row>
    <row r="1110" spans="3:3">
      <c r="C1110" s="236"/>
    </row>
    <row r="1111" spans="3:3">
      <c r="C1111" s="236"/>
    </row>
    <row r="1112" spans="3:3">
      <c r="C1112" s="236"/>
    </row>
    <row r="1113" spans="3:3">
      <c r="C1113" s="236"/>
    </row>
    <row r="1114" spans="3:3">
      <c r="C1114" s="236"/>
    </row>
    <row r="1115" spans="3:3">
      <c r="C1115" s="236"/>
    </row>
    <row r="1116" spans="3:3">
      <c r="C1116" s="236"/>
    </row>
    <row r="1117" spans="3:3">
      <c r="C1117" s="236"/>
    </row>
  </sheetData>
  <mergeCells count="9">
    <mergeCell ref="L46:N46"/>
    <mergeCell ref="I2:K2"/>
    <mergeCell ref="F2:H2"/>
    <mergeCell ref="AA2:AC2"/>
    <mergeCell ref="X2:Z2"/>
    <mergeCell ref="U2:W2"/>
    <mergeCell ref="R2:T2"/>
    <mergeCell ref="O2:Q2"/>
    <mergeCell ref="L2:N2"/>
  </mergeCells>
  <phoneticPr fontId="2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84BC0-5291-D342-B60F-EAEF7F9C9042}">
  <sheetPr>
    <pageSetUpPr fitToPage="1"/>
  </sheetPr>
  <dimension ref="A1:AV52"/>
  <sheetViews>
    <sheetView zoomScaleNormal="100" workbookViewId="0">
      <selection activeCell="G56" sqref="G56"/>
    </sheetView>
  </sheetViews>
  <sheetFormatPr baseColWidth="10" defaultColWidth="10.7109375" defaultRowHeight="16"/>
  <cols>
    <col min="1" max="6" width="11.7109375" style="135" customWidth="1"/>
    <col min="7" max="7" width="19.7109375" style="135" customWidth="1"/>
    <col min="8" max="8" width="7.7109375" style="135" customWidth="1"/>
    <col min="9" max="9" width="8.7109375" style="135" customWidth="1"/>
    <col min="10" max="10" width="2.140625" style="135" customWidth="1"/>
    <col min="11" max="12" width="8.7109375" style="135" customWidth="1"/>
    <col min="13" max="13" width="2.140625" style="135" customWidth="1"/>
    <col min="14" max="15" width="8.7109375" style="135" customWidth="1"/>
    <col min="16" max="16" width="2.140625" style="135" customWidth="1"/>
    <col min="17" max="18" width="8.7109375" style="135" customWidth="1"/>
    <col min="19" max="19" width="2.140625" style="135" customWidth="1"/>
    <col min="20" max="21" width="8.7109375" style="135" customWidth="1"/>
    <col min="22" max="22" width="2.140625" style="135" customWidth="1"/>
    <col min="23" max="24" width="8.7109375" style="135" customWidth="1"/>
    <col min="25" max="25" width="2.140625" style="135" customWidth="1"/>
    <col min="26" max="27" width="8.7109375" style="135" customWidth="1"/>
    <col min="28" max="28" width="2.140625" style="135" customWidth="1"/>
    <col min="29" max="30" width="8.7109375" style="135" customWidth="1"/>
    <col min="31" max="31" width="2.140625" style="135" customWidth="1"/>
    <col min="32" max="33" width="8.7109375" style="135" customWidth="1"/>
    <col min="34" max="16384" width="10.7109375" style="135"/>
  </cols>
  <sheetData>
    <row r="1" spans="1:41" ht="16" customHeight="1">
      <c r="A1" s="135" t="s">
        <v>404</v>
      </c>
    </row>
    <row r="2" spans="1:41" ht="34">
      <c r="A2" s="206" t="s">
        <v>102</v>
      </c>
      <c r="B2" s="206" t="s">
        <v>149</v>
      </c>
      <c r="C2" s="206" t="s">
        <v>220</v>
      </c>
      <c r="D2" s="206" t="s">
        <v>150</v>
      </c>
      <c r="E2" s="206" t="s">
        <v>151</v>
      </c>
      <c r="F2" s="206" t="s">
        <v>152</v>
      </c>
      <c r="G2" s="206" t="s">
        <v>142</v>
      </c>
      <c r="H2" s="80" t="s">
        <v>103</v>
      </c>
      <c r="I2" s="293" t="s">
        <v>0</v>
      </c>
      <c r="J2" s="293"/>
      <c r="K2" s="293"/>
      <c r="L2" s="293" t="s">
        <v>1</v>
      </c>
      <c r="M2" s="293"/>
      <c r="N2" s="293"/>
      <c r="O2" s="293" t="s">
        <v>2</v>
      </c>
      <c r="P2" s="293"/>
      <c r="Q2" s="293"/>
      <c r="R2" s="293" t="s">
        <v>3</v>
      </c>
      <c r="S2" s="293"/>
      <c r="T2" s="293"/>
      <c r="U2" s="293" t="s">
        <v>4</v>
      </c>
      <c r="V2" s="293"/>
      <c r="W2" s="293"/>
      <c r="X2" s="293" t="s">
        <v>5</v>
      </c>
      <c r="Y2" s="293"/>
      <c r="Z2" s="293"/>
      <c r="AA2" s="293" t="s">
        <v>183</v>
      </c>
      <c r="AB2" s="293"/>
      <c r="AC2" s="293"/>
      <c r="AD2" s="293" t="s">
        <v>184</v>
      </c>
      <c r="AE2" s="293"/>
      <c r="AF2" s="293"/>
      <c r="AG2" s="201" t="s">
        <v>185</v>
      </c>
      <c r="AH2" s="209"/>
      <c r="AJ2" s="225"/>
      <c r="AK2" s="225"/>
      <c r="AL2" s="225"/>
      <c r="AM2" s="225"/>
      <c r="AN2" s="225"/>
      <c r="AO2" s="225"/>
    </row>
    <row r="3" spans="1:41">
      <c r="A3" s="205" t="s">
        <v>261</v>
      </c>
      <c r="B3" s="136"/>
      <c r="C3" s="136"/>
      <c r="D3" s="136"/>
      <c r="E3" s="136"/>
      <c r="F3" s="136"/>
      <c r="G3" s="136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204"/>
    </row>
    <row r="4" spans="1:41">
      <c r="A4" s="135" t="s">
        <v>221</v>
      </c>
      <c r="B4" s="136">
        <v>298</v>
      </c>
      <c r="C4" s="190">
        <v>204</v>
      </c>
      <c r="D4" s="151">
        <f>66.001-(C4/1000)</f>
        <v>65.797000000000011</v>
      </c>
      <c r="E4" s="136" t="s">
        <v>155</v>
      </c>
      <c r="F4" s="136" t="s">
        <v>156</v>
      </c>
      <c r="G4" s="136" t="s">
        <v>275</v>
      </c>
      <c r="H4" s="200">
        <v>0.49854999999999999</v>
      </c>
      <c r="I4" s="202">
        <v>0.20719451892495111</v>
      </c>
      <c r="J4" s="128" t="s">
        <v>111</v>
      </c>
      <c r="K4" s="203">
        <v>1.7475648842638263E-3</v>
      </c>
      <c r="L4" s="202">
        <v>7.1773549376447685E-2</v>
      </c>
      <c r="M4" s="128" t="s">
        <v>111</v>
      </c>
      <c r="N4" s="203">
        <v>2.8315429331867412E-3</v>
      </c>
      <c r="O4" s="202">
        <v>9.1434689438619488E-2</v>
      </c>
      <c r="P4" s="128" t="s">
        <v>111</v>
      </c>
      <c r="Q4" s="203">
        <v>4.0826126697410892E-3</v>
      </c>
      <c r="R4" s="202">
        <v>0.31736498513675215</v>
      </c>
      <c r="S4" s="128" t="s">
        <v>111</v>
      </c>
      <c r="T4" s="203">
        <v>1.5448602419580017E-2</v>
      </c>
      <c r="U4" s="202">
        <v>0.96354787928161656</v>
      </c>
      <c r="V4" s="128" t="s">
        <v>111</v>
      </c>
      <c r="W4" s="203">
        <v>2.5579283524423076E-2</v>
      </c>
      <c r="X4" s="202">
        <v>8.5235555709393299E-2</v>
      </c>
      <c r="Y4" s="128" t="s">
        <v>111</v>
      </c>
      <c r="Z4" s="203">
        <v>1.2170113297175094E-3</v>
      </c>
      <c r="AA4" s="202">
        <v>2.0249462843762553</v>
      </c>
      <c r="AB4" s="128" t="s">
        <v>111</v>
      </c>
      <c r="AC4" s="203">
        <v>3.3580345469420868E-2</v>
      </c>
      <c r="AD4" s="202">
        <v>0.29382595783952475</v>
      </c>
      <c r="AE4" s="128" t="s">
        <v>111</v>
      </c>
      <c r="AF4" s="203">
        <v>4.1853993681478796E-4</v>
      </c>
      <c r="AG4" s="202">
        <f>AD4-AA4*(EXP(1.666*10^-11*D4*10^6)-1)</f>
        <v>0.29160503919219727</v>
      </c>
      <c r="AH4" s="202"/>
      <c r="AJ4" s="200"/>
      <c r="AK4" s="200"/>
      <c r="AL4" s="200"/>
      <c r="AM4" s="200"/>
      <c r="AN4" s="200"/>
      <c r="AO4" s="200"/>
    </row>
    <row r="5" spans="1:41">
      <c r="A5" s="135" t="s">
        <v>222</v>
      </c>
      <c r="B5" s="136">
        <v>280</v>
      </c>
      <c r="C5" s="190">
        <v>161.05263157894737</v>
      </c>
      <c r="D5" s="151">
        <f t="shared" ref="D5:D18" si="0">66.001-(C5/1000)</f>
        <v>65.839947368421051</v>
      </c>
      <c r="E5" s="136" t="s">
        <v>157</v>
      </c>
      <c r="F5" s="136" t="s">
        <v>158</v>
      </c>
      <c r="G5" s="136" t="s">
        <v>275</v>
      </c>
      <c r="H5" s="200">
        <v>0.48927999999999999</v>
      </c>
      <c r="I5" s="202">
        <v>0.25948515756734974</v>
      </c>
      <c r="J5" s="128" t="s">
        <v>111</v>
      </c>
      <c r="K5" s="203">
        <v>2.1065887733539624E-4</v>
      </c>
      <c r="L5" s="202">
        <v>9.572915569623093E-2</v>
      </c>
      <c r="M5" s="128" t="s">
        <v>111</v>
      </c>
      <c r="N5" s="203">
        <v>5.7594589839384674E-3</v>
      </c>
      <c r="O5" s="202">
        <v>0.13389887756268778</v>
      </c>
      <c r="P5" s="128" t="s">
        <v>111</v>
      </c>
      <c r="Q5" s="203">
        <v>3.8753960920295243E-3</v>
      </c>
      <c r="R5" s="202">
        <v>0.56850319826395856</v>
      </c>
      <c r="S5" s="128" t="s">
        <v>111</v>
      </c>
      <c r="T5" s="203">
        <v>4.1055751772973437E-2</v>
      </c>
      <c r="U5" s="202">
        <v>1.2659631529174997</v>
      </c>
      <c r="V5" s="128" t="s">
        <v>111</v>
      </c>
      <c r="W5" s="203">
        <v>2.79082914135063E-2</v>
      </c>
      <c r="X5" s="202">
        <v>6.486445776274706E-2</v>
      </c>
      <c r="Y5" s="128" t="s">
        <v>111</v>
      </c>
      <c r="Z5" s="203">
        <v>1.2402427593120274E-3</v>
      </c>
      <c r="AA5" s="202">
        <v>1.2298719369444522</v>
      </c>
      <c r="AB5" s="128" t="s">
        <v>111</v>
      </c>
      <c r="AC5" s="203">
        <v>2.3536989265561071E-2</v>
      </c>
      <c r="AD5" s="202">
        <v>0.29012372743436243</v>
      </c>
      <c r="AE5" s="128" t="s">
        <v>111</v>
      </c>
      <c r="AF5" s="203">
        <v>2.8580362830307737E-4</v>
      </c>
      <c r="AG5" s="202">
        <f t="shared" ref="AG5:AG45" si="1">AD5-AA5*(EXP(1.666*10^-11*D5*10^6)-1)</f>
        <v>0.28877394872598799</v>
      </c>
      <c r="AH5" s="202"/>
      <c r="AJ5" s="200"/>
      <c r="AK5" s="200"/>
      <c r="AL5" s="200"/>
      <c r="AM5" s="200"/>
      <c r="AN5" s="200"/>
      <c r="AO5" s="200"/>
    </row>
    <row r="6" spans="1:41">
      <c r="A6" s="135" t="s">
        <v>223</v>
      </c>
      <c r="B6" s="136">
        <v>270</v>
      </c>
      <c r="C6" s="190">
        <v>137.19298245614036</v>
      </c>
      <c r="D6" s="151">
        <f t="shared" si="0"/>
        <v>65.863807017543863</v>
      </c>
      <c r="E6" s="136" t="s">
        <v>157</v>
      </c>
      <c r="F6" s="136" t="s">
        <v>158</v>
      </c>
      <c r="G6" s="136" t="s">
        <v>275</v>
      </c>
      <c r="H6" s="200">
        <v>0.24931</v>
      </c>
      <c r="I6" s="202">
        <v>0.28045613436867084</v>
      </c>
      <c r="J6" s="128" t="s">
        <v>111</v>
      </c>
      <c r="K6" s="203">
        <v>3.6693297763406278E-4</v>
      </c>
      <c r="L6" s="202">
        <v>8.0530736245022924E-2</v>
      </c>
      <c r="M6" s="128" t="s">
        <v>111</v>
      </c>
      <c r="N6" s="203">
        <v>3.5853683824611801E-3</v>
      </c>
      <c r="O6" s="202">
        <v>8.2436350343574064E-2</v>
      </c>
      <c r="P6" s="128" t="s">
        <v>111</v>
      </c>
      <c r="Q6" s="203">
        <v>5.6043601406125529E-3</v>
      </c>
      <c r="R6" s="202">
        <v>0.32648047010830428</v>
      </c>
      <c r="S6" s="128" t="s">
        <v>111</v>
      </c>
      <c r="T6" s="203">
        <v>1.8239666890279487E-2</v>
      </c>
      <c r="U6" s="202">
        <v>1.1178567084188997</v>
      </c>
      <c r="V6" s="128" t="s">
        <v>111</v>
      </c>
      <c r="W6" s="203">
        <v>1.9990668322152648E-2</v>
      </c>
      <c r="X6" s="202">
        <v>2.838949103452805E-2</v>
      </c>
      <c r="Y6" s="128" t="s">
        <v>111</v>
      </c>
      <c r="Z6" s="203">
        <v>1.2206666195727837E-3</v>
      </c>
      <c r="AA6" s="202">
        <v>0.4970654525465571</v>
      </c>
      <c r="AB6" s="128" t="s">
        <v>111</v>
      </c>
      <c r="AC6" s="203">
        <v>2.1382279653879246E-2</v>
      </c>
      <c r="AD6" s="202">
        <v>0.27491313732186762</v>
      </c>
      <c r="AE6" s="128" t="s">
        <v>111</v>
      </c>
      <c r="AF6" s="203">
        <v>2.8493652659616897E-4</v>
      </c>
      <c r="AG6" s="202">
        <f t="shared" si="1"/>
        <v>0.27436741250728031</v>
      </c>
      <c r="AH6" s="202"/>
      <c r="AJ6" s="200"/>
      <c r="AK6" s="200"/>
      <c r="AL6" s="200"/>
      <c r="AM6" s="200"/>
      <c r="AN6" s="200"/>
      <c r="AO6" s="200"/>
    </row>
    <row r="7" spans="1:41">
      <c r="A7" s="135" t="s">
        <v>224</v>
      </c>
      <c r="B7" s="136">
        <v>258</v>
      </c>
      <c r="C7" s="190">
        <v>108.56140350877192</v>
      </c>
      <c r="D7" s="151">
        <f t="shared" si="0"/>
        <v>65.892438596491232</v>
      </c>
      <c r="E7" s="136" t="s">
        <v>157</v>
      </c>
      <c r="F7" s="136" t="s">
        <v>158</v>
      </c>
      <c r="G7" s="136" t="s">
        <v>275</v>
      </c>
      <c r="H7" s="200">
        <v>0.50312999999999997</v>
      </c>
      <c r="I7" s="202">
        <v>0.23850441679963003</v>
      </c>
      <c r="J7" s="128" t="s">
        <v>111</v>
      </c>
      <c r="K7" s="203">
        <v>7.3924825494980456E-5</v>
      </c>
      <c r="L7" s="202">
        <v>9.0461974283326155E-2</v>
      </c>
      <c r="M7" s="128" t="s">
        <v>111</v>
      </c>
      <c r="N7" s="203">
        <v>2.4362693494076886E-3</v>
      </c>
      <c r="O7" s="202">
        <v>0.11336551107866659</v>
      </c>
      <c r="P7" s="128" t="s">
        <v>111</v>
      </c>
      <c r="Q7" s="203">
        <v>3.1106022927625005E-3</v>
      </c>
      <c r="R7" s="202">
        <v>0.39551637896867892</v>
      </c>
      <c r="S7" s="128" t="s">
        <v>111</v>
      </c>
      <c r="T7" s="203">
        <v>1.2905374381820456E-2</v>
      </c>
      <c r="U7" s="202">
        <v>1.0816921014897942</v>
      </c>
      <c r="V7" s="128" t="s">
        <v>111</v>
      </c>
      <c r="W7" s="203">
        <v>1.6114721241454633E-2</v>
      </c>
      <c r="X7" s="202">
        <v>2.5553573298555399E-2</v>
      </c>
      <c r="Y7" s="128" t="s">
        <v>111</v>
      </c>
      <c r="Z7" s="203">
        <v>7.0710368020833632E-4</v>
      </c>
      <c r="AA7" s="202">
        <v>0.52615851680826831</v>
      </c>
      <c r="AB7" s="128" t="s">
        <v>111</v>
      </c>
      <c r="AC7" s="203">
        <v>1.456046707011999E-2</v>
      </c>
      <c r="AD7" s="202">
        <v>0.27564130468645415</v>
      </c>
      <c r="AE7" s="128" t="s">
        <v>111</v>
      </c>
      <c r="AF7" s="203">
        <v>1.0546651138773622E-4</v>
      </c>
      <c r="AG7" s="202">
        <f t="shared" si="1"/>
        <v>0.27506338753811227</v>
      </c>
      <c r="AH7" s="202"/>
      <c r="AJ7" s="200"/>
      <c r="AK7" s="200"/>
      <c r="AL7" s="200"/>
      <c r="AM7" s="200"/>
      <c r="AN7" s="200"/>
      <c r="AO7" s="200"/>
    </row>
    <row r="8" spans="1:41">
      <c r="A8" s="135" t="s">
        <v>225</v>
      </c>
      <c r="B8" s="136">
        <v>250</v>
      </c>
      <c r="C8" s="190">
        <v>89.473684210526315</v>
      </c>
      <c r="D8" s="151">
        <f t="shared" si="0"/>
        <v>65.911526315789473</v>
      </c>
      <c r="E8" s="136" t="s">
        <v>157</v>
      </c>
      <c r="F8" s="136" t="s">
        <v>158</v>
      </c>
      <c r="G8" s="136" t="s">
        <v>276</v>
      </c>
      <c r="H8" s="200">
        <v>0.25042999999999999</v>
      </c>
      <c r="I8" s="202">
        <v>0.30416326281377354</v>
      </c>
      <c r="J8" s="128" t="s">
        <v>111</v>
      </c>
      <c r="K8" s="203">
        <v>4.9512659066513576E-4</v>
      </c>
      <c r="L8" s="202">
        <v>6.1866171328933448E-2</v>
      </c>
      <c r="M8" s="128" t="s">
        <v>111</v>
      </c>
      <c r="N8" s="203">
        <v>2.2735483977228835E-3</v>
      </c>
      <c r="O8" s="202">
        <v>9.020521154652647E-2</v>
      </c>
      <c r="P8" s="128" t="s">
        <v>111</v>
      </c>
      <c r="Q8" s="203">
        <v>5.0094560821349063E-3</v>
      </c>
      <c r="R8" s="202">
        <v>0.2717929010970499</v>
      </c>
      <c r="S8" s="128" t="s">
        <v>111</v>
      </c>
      <c r="T8" s="203">
        <v>1.5058070438792575E-2</v>
      </c>
      <c r="U8" s="202">
        <v>0.93275534209683397</v>
      </c>
      <c r="V8" s="128" t="s">
        <v>111</v>
      </c>
      <c r="W8" s="203">
        <v>1.7506050078146127E-2</v>
      </c>
      <c r="X8" s="202">
        <v>0.14773716722199901</v>
      </c>
      <c r="Y8" s="128" t="s">
        <v>111</v>
      </c>
      <c r="Z8" s="203">
        <v>1.4115611043175854E-3</v>
      </c>
      <c r="AA8" s="202">
        <v>2.3822624909740924</v>
      </c>
      <c r="AB8" s="128" t="s">
        <v>111</v>
      </c>
      <c r="AC8" s="203">
        <v>2.308941187898848E-2</v>
      </c>
      <c r="AD8" s="202">
        <v>0.26566639030604094</v>
      </c>
      <c r="AE8" s="128" t="s">
        <v>111</v>
      </c>
      <c r="AF8" s="203">
        <v>3.5020813429767483E-4</v>
      </c>
      <c r="AG8" s="202">
        <f t="shared" si="1"/>
        <v>0.2630490243651854</v>
      </c>
      <c r="AH8" s="202"/>
      <c r="AJ8" s="200"/>
      <c r="AK8" s="200"/>
      <c r="AL8" s="200"/>
      <c r="AM8" s="200"/>
      <c r="AN8" s="200"/>
      <c r="AO8" s="200"/>
    </row>
    <row r="9" spans="1:41">
      <c r="A9" s="135" t="s">
        <v>226</v>
      </c>
      <c r="B9" s="136">
        <v>246</v>
      </c>
      <c r="C9" s="190">
        <v>79.929824561403507</v>
      </c>
      <c r="D9" s="151">
        <f t="shared" si="0"/>
        <v>65.921070175438601</v>
      </c>
      <c r="E9" s="136" t="s">
        <v>157</v>
      </c>
      <c r="F9" s="136" t="s">
        <v>171</v>
      </c>
      <c r="G9" s="136" t="s">
        <v>276</v>
      </c>
      <c r="H9" s="200">
        <v>0.49304999999999999</v>
      </c>
      <c r="I9" s="202">
        <v>0.30846502341413451</v>
      </c>
      <c r="J9" s="128" t="s">
        <v>111</v>
      </c>
      <c r="K9" s="203">
        <v>1.4967242865098694E-4</v>
      </c>
      <c r="L9" s="202">
        <v>7.2470028195393693E-2</v>
      </c>
      <c r="M9" s="128" t="s">
        <v>111</v>
      </c>
      <c r="N9" s="203">
        <v>3.1968093492919739E-3</v>
      </c>
      <c r="O9" s="202">
        <v>9.1559364279241287E-2</v>
      </c>
      <c r="P9" s="128" t="s">
        <v>111</v>
      </c>
      <c r="Q9" s="203">
        <v>3.1221789217182661E-3</v>
      </c>
      <c r="R9" s="202">
        <v>0.46180846938612718</v>
      </c>
      <c r="S9" s="128" t="s">
        <v>111</v>
      </c>
      <c r="T9" s="203">
        <v>1.0003357201758099E-2</v>
      </c>
      <c r="U9" s="202">
        <v>0.98088566188395943</v>
      </c>
      <c r="V9" s="128" t="s">
        <v>111</v>
      </c>
      <c r="W9" s="203">
        <v>2.0504695626156113E-2</v>
      </c>
      <c r="X9" s="202">
        <v>8.9015382173356403E-2</v>
      </c>
      <c r="Y9" s="128" t="s">
        <v>111</v>
      </c>
      <c r="Z9" s="203">
        <v>1.1944088844283074E-3</v>
      </c>
      <c r="AA9" s="202">
        <v>1.4142754623655198</v>
      </c>
      <c r="AB9" s="128" t="s">
        <v>111</v>
      </c>
      <c r="AC9" s="203">
        <v>1.8989159429337588E-2</v>
      </c>
      <c r="AD9" s="202">
        <v>0.25970805874544145</v>
      </c>
      <c r="AE9" s="128" t="s">
        <v>111</v>
      </c>
      <c r="AF9" s="203">
        <v>1.4341561678918313E-4</v>
      </c>
      <c r="AG9" s="202">
        <f t="shared" si="1"/>
        <v>0.25815398452814886</v>
      </c>
      <c r="AH9" s="202"/>
      <c r="AJ9" s="200"/>
      <c r="AK9" s="200"/>
      <c r="AL9" s="200"/>
      <c r="AM9" s="200"/>
      <c r="AN9" s="200"/>
      <c r="AO9" s="200"/>
    </row>
    <row r="10" spans="1:41">
      <c r="A10" s="135" t="s">
        <v>227</v>
      </c>
      <c r="B10" s="136">
        <v>241</v>
      </c>
      <c r="C10" s="190">
        <v>68</v>
      </c>
      <c r="D10" s="151">
        <f t="shared" si="0"/>
        <v>65.933000000000007</v>
      </c>
      <c r="E10" s="136" t="s">
        <v>157</v>
      </c>
      <c r="F10" s="136" t="s">
        <v>171</v>
      </c>
      <c r="G10" s="136" t="s">
        <v>276</v>
      </c>
      <c r="H10" s="200">
        <v>0.49695</v>
      </c>
      <c r="I10" s="202">
        <v>0.37063356584844459</v>
      </c>
      <c r="J10" s="128" t="s">
        <v>111</v>
      </c>
      <c r="K10" s="203">
        <v>1.4585617577550511E-4</v>
      </c>
      <c r="L10" s="202">
        <v>0.11096634711126714</v>
      </c>
      <c r="M10" s="128" t="s">
        <v>111</v>
      </c>
      <c r="N10" s="203">
        <v>3.5063350499684089E-3</v>
      </c>
      <c r="O10" s="202">
        <v>0.14819357449690496</v>
      </c>
      <c r="P10" s="128" t="s">
        <v>111</v>
      </c>
      <c r="Q10" s="203">
        <v>3.2393073052432979E-3</v>
      </c>
      <c r="R10" s="202">
        <v>0.44026455561282773</v>
      </c>
      <c r="S10" s="128" t="s">
        <v>111</v>
      </c>
      <c r="T10" s="203">
        <v>1.4487039351560461E-2</v>
      </c>
      <c r="U10" s="202">
        <v>1.0924230426105486</v>
      </c>
      <c r="V10" s="128" t="s">
        <v>111</v>
      </c>
      <c r="W10" s="203">
        <v>2.2282078321293239E-2</v>
      </c>
      <c r="X10" s="202">
        <v>6.538083237104908E-2</v>
      </c>
      <c r="Y10" s="128" t="s">
        <v>111</v>
      </c>
      <c r="Z10" s="203">
        <v>1.5090646198349647E-3</v>
      </c>
      <c r="AA10" s="202">
        <v>0.86498249271965222</v>
      </c>
      <c r="AB10" s="128" t="s">
        <v>111</v>
      </c>
      <c r="AC10" s="203">
        <v>1.9967689963771067E-2</v>
      </c>
      <c r="AD10" s="202">
        <v>0.26378025265669086</v>
      </c>
      <c r="AE10" s="128" t="s">
        <v>111</v>
      </c>
      <c r="AF10" s="203">
        <v>8.7113694159368649E-5</v>
      </c>
      <c r="AG10" s="202">
        <f t="shared" si="1"/>
        <v>0.26282959599189071</v>
      </c>
      <c r="AH10" s="202"/>
      <c r="AJ10" s="200"/>
      <c r="AK10" s="200"/>
      <c r="AL10" s="200"/>
      <c r="AM10" s="200"/>
      <c r="AN10" s="200"/>
      <c r="AO10" s="200"/>
    </row>
    <row r="11" spans="1:41">
      <c r="A11" s="135" t="s">
        <v>228</v>
      </c>
      <c r="B11" s="136">
        <v>221</v>
      </c>
      <c r="C11" s="190">
        <v>58.714285714285708</v>
      </c>
      <c r="D11" s="151">
        <f t="shared" si="0"/>
        <v>65.942285714285717</v>
      </c>
      <c r="E11" s="136" t="s">
        <v>229</v>
      </c>
      <c r="F11" s="136" t="s">
        <v>171</v>
      </c>
      <c r="G11" s="136" t="s">
        <v>276</v>
      </c>
      <c r="H11" s="200">
        <v>0.47983999999999999</v>
      </c>
      <c r="I11" s="202">
        <v>0.40243775549921834</v>
      </c>
      <c r="J11" s="128" t="s">
        <v>111</v>
      </c>
      <c r="K11" s="203">
        <v>1.5781225614067195E-4</v>
      </c>
      <c r="L11" s="202">
        <v>9.2937909488378212E-2</v>
      </c>
      <c r="M11" s="128" t="s">
        <v>111</v>
      </c>
      <c r="N11" s="203">
        <v>3.7001131839557088E-3</v>
      </c>
      <c r="O11" s="202">
        <v>0.15070814382644587</v>
      </c>
      <c r="P11" s="128" t="s">
        <v>111</v>
      </c>
      <c r="Q11" s="203">
        <v>4.1674990582217181E-3</v>
      </c>
      <c r="R11" s="202">
        <v>0.47946850522140944</v>
      </c>
      <c r="S11" s="128" t="s">
        <v>111</v>
      </c>
      <c r="T11" s="203">
        <v>1.1275986451853071E-2</v>
      </c>
      <c r="U11" s="202">
        <v>1.3070875590473165</v>
      </c>
      <c r="V11" s="128" t="s">
        <v>111</v>
      </c>
      <c r="W11" s="203">
        <v>3.2289409368374392E-2</v>
      </c>
      <c r="X11" s="202">
        <v>6.1422466611293837E-2</v>
      </c>
      <c r="Y11" s="128" t="s">
        <v>111</v>
      </c>
      <c r="Z11" s="203">
        <v>9.5242159310192256E-4</v>
      </c>
      <c r="AA11" s="202">
        <v>0.74679961615220647</v>
      </c>
      <c r="AB11" s="128" t="s">
        <v>111</v>
      </c>
      <c r="AC11" s="203">
        <v>1.1583635951191214E-2</v>
      </c>
      <c r="AD11" s="202">
        <v>0.24716221917688341</v>
      </c>
      <c r="AE11" s="128" t="s">
        <v>111</v>
      </c>
      <c r="AF11" s="203">
        <v>8.0489518167164986E-5</v>
      </c>
      <c r="AG11" s="202">
        <f t="shared" si="1"/>
        <v>0.24634133542545492</v>
      </c>
      <c r="AH11" s="202"/>
      <c r="AJ11" s="200"/>
      <c r="AK11" s="200"/>
      <c r="AL11" s="200"/>
      <c r="AM11" s="200"/>
      <c r="AN11" s="200"/>
      <c r="AO11" s="200"/>
    </row>
    <row r="12" spans="1:41">
      <c r="A12" s="135" t="s">
        <v>230</v>
      </c>
      <c r="B12" s="136">
        <v>185</v>
      </c>
      <c r="C12" s="190">
        <v>42</v>
      </c>
      <c r="D12" s="151">
        <f t="shared" si="0"/>
        <v>65.959000000000003</v>
      </c>
      <c r="E12" s="136" t="s">
        <v>229</v>
      </c>
      <c r="F12" s="136" t="s">
        <v>171</v>
      </c>
      <c r="G12" s="136" t="s">
        <v>276</v>
      </c>
      <c r="H12" s="200">
        <v>0.48266999999999999</v>
      </c>
      <c r="I12" s="202">
        <v>0.34549555786622754</v>
      </c>
      <c r="J12" s="128" t="s">
        <v>111</v>
      </c>
      <c r="K12" s="203">
        <v>1.1525712401787538E-4</v>
      </c>
      <c r="L12" s="202">
        <v>0.10031981720677187</v>
      </c>
      <c r="M12" s="128" t="s">
        <v>111</v>
      </c>
      <c r="N12" s="203">
        <v>2.9483141412513627E-3</v>
      </c>
      <c r="O12" s="202">
        <v>0.14292690628771745</v>
      </c>
      <c r="P12" s="128" t="s">
        <v>111</v>
      </c>
      <c r="Q12" s="203">
        <v>3.7310888582854683E-3</v>
      </c>
      <c r="R12" s="202">
        <v>0.47335212064425569</v>
      </c>
      <c r="S12" s="128" t="s">
        <v>111</v>
      </c>
      <c r="T12" s="203">
        <v>1.4007226548825264E-2</v>
      </c>
      <c r="U12" s="202">
        <v>1.175739283735405</v>
      </c>
      <c r="V12" s="128" t="s">
        <v>111</v>
      </c>
      <c r="W12" s="203">
        <v>2.5515471207003437E-2</v>
      </c>
      <c r="X12" s="202">
        <v>5.0775414727358394E-2</v>
      </c>
      <c r="Y12" s="128" t="s">
        <v>111</v>
      </c>
      <c r="Z12" s="203">
        <v>1.2149461913142554E-3</v>
      </c>
      <c r="AA12" s="202">
        <v>0.72047794281755528</v>
      </c>
      <c r="AB12" s="128" t="s">
        <v>111</v>
      </c>
      <c r="AC12" s="203">
        <v>1.7241159053405522E-2</v>
      </c>
      <c r="AD12" s="202">
        <v>0.26212879679593121</v>
      </c>
      <c r="AE12" s="128" t="s">
        <v>111</v>
      </c>
      <c r="AF12" s="203">
        <v>9.7455324736345217E-5</v>
      </c>
      <c r="AG12" s="202">
        <f t="shared" si="1"/>
        <v>0.26133664503985382</v>
      </c>
      <c r="AH12" s="202"/>
      <c r="AJ12" s="200"/>
      <c r="AK12" s="200"/>
      <c r="AL12" s="200"/>
      <c r="AM12" s="200"/>
      <c r="AN12" s="200"/>
      <c r="AO12" s="200"/>
    </row>
    <row r="13" spans="1:41">
      <c r="A13" s="135" t="s">
        <v>231</v>
      </c>
      <c r="B13" s="136">
        <v>130</v>
      </c>
      <c r="C13" s="190">
        <v>24.695652173913043</v>
      </c>
      <c r="D13" s="151">
        <f t="shared" si="0"/>
        <v>65.976304347826087</v>
      </c>
      <c r="E13" s="136" t="s">
        <v>161</v>
      </c>
      <c r="F13" s="136" t="s">
        <v>171</v>
      </c>
      <c r="G13" s="136" t="s">
        <v>276</v>
      </c>
      <c r="H13" s="200">
        <v>0.48203000000000001</v>
      </c>
      <c r="I13" s="202">
        <v>0.65795409279288342</v>
      </c>
      <c r="J13" s="128" t="s">
        <v>111</v>
      </c>
      <c r="K13" s="203">
        <v>3.2511348872507796E-4</v>
      </c>
      <c r="L13" s="202">
        <v>0.1440388097770324</v>
      </c>
      <c r="M13" s="128" t="s">
        <v>111</v>
      </c>
      <c r="N13" s="203">
        <v>5.1203866125800919E-3</v>
      </c>
      <c r="O13" s="202">
        <v>0.19991711395187806</v>
      </c>
      <c r="P13" s="128" t="s">
        <v>111</v>
      </c>
      <c r="Q13" s="203">
        <v>6.9094523573758337E-3</v>
      </c>
      <c r="R13" s="202">
        <v>0.61380303571967543</v>
      </c>
      <c r="S13" s="128" t="s">
        <v>111</v>
      </c>
      <c r="T13" s="203">
        <v>1.9008244464046878E-2</v>
      </c>
      <c r="U13" s="202">
        <v>1.831559505323799</v>
      </c>
      <c r="V13" s="128" t="s">
        <v>111</v>
      </c>
      <c r="W13" s="203">
        <v>3.9634169191591379E-2</v>
      </c>
      <c r="X13" s="202">
        <v>0.41288576847478986</v>
      </c>
      <c r="Y13" s="128" t="s">
        <v>111</v>
      </c>
      <c r="Z13" s="203">
        <v>6.2156995498345068E-3</v>
      </c>
      <c r="AA13" s="202">
        <v>3.07836847580367</v>
      </c>
      <c r="AB13" s="128" t="s">
        <v>111</v>
      </c>
      <c r="AC13" s="203">
        <v>4.6367589781532825E-2</v>
      </c>
      <c r="AD13" s="202">
        <v>0.2670981984465966</v>
      </c>
      <c r="AE13" s="128" t="s">
        <v>111</v>
      </c>
      <c r="AF13" s="203">
        <v>5.6466510838626416E-5</v>
      </c>
      <c r="AG13" s="202">
        <f t="shared" si="1"/>
        <v>0.26371270258270918</v>
      </c>
      <c r="AH13" s="202"/>
      <c r="AJ13" s="200"/>
      <c r="AK13" s="200"/>
      <c r="AL13" s="200"/>
      <c r="AM13" s="200"/>
      <c r="AN13" s="200"/>
      <c r="AO13" s="200"/>
    </row>
    <row r="14" spans="1:41">
      <c r="A14" s="135" t="s">
        <v>232</v>
      </c>
      <c r="B14" s="136">
        <v>88</v>
      </c>
      <c r="C14" s="190">
        <v>18</v>
      </c>
      <c r="D14" s="151">
        <f t="shared" si="0"/>
        <v>65.983000000000004</v>
      </c>
      <c r="E14" s="136" t="s">
        <v>161</v>
      </c>
      <c r="F14" s="136" t="s">
        <v>171</v>
      </c>
      <c r="G14" s="136" t="s">
        <v>275</v>
      </c>
      <c r="H14" s="200">
        <v>0.25391999999999998</v>
      </c>
      <c r="I14" s="202">
        <v>0.3267251514620218</v>
      </c>
      <c r="J14" s="128" t="s">
        <v>111</v>
      </c>
      <c r="K14" s="203">
        <v>5.1246460559181998E-4</v>
      </c>
      <c r="L14" s="202">
        <v>0.14204658166181858</v>
      </c>
      <c r="M14" s="128" t="s">
        <v>111</v>
      </c>
      <c r="N14" s="203">
        <v>5.1623006275120656E-3</v>
      </c>
      <c r="O14" s="202">
        <v>0.18148074398055825</v>
      </c>
      <c r="P14" s="128" t="s">
        <v>111</v>
      </c>
      <c r="Q14" s="203">
        <v>1.0137902019825947E-2</v>
      </c>
      <c r="R14" s="202">
        <v>0.46559133590090601</v>
      </c>
      <c r="S14" s="128" t="s">
        <v>111</v>
      </c>
      <c r="T14" s="203">
        <v>1.7982942230312313E-2</v>
      </c>
      <c r="U14" s="202">
        <v>1.2744370570988914</v>
      </c>
      <c r="V14" s="128" t="s">
        <v>111</v>
      </c>
      <c r="W14" s="203">
        <v>3.0509863992286224E-2</v>
      </c>
      <c r="X14" s="202">
        <v>5.9616432370945625E-2</v>
      </c>
      <c r="Y14" s="128" t="s">
        <v>111</v>
      </c>
      <c r="Z14" s="203">
        <v>1.7202166744538019E-3</v>
      </c>
      <c r="AA14" s="202">
        <v>0.89056634686817793</v>
      </c>
      <c r="AB14" s="128" t="s">
        <v>111</v>
      </c>
      <c r="AC14" s="203">
        <v>2.5734997520661673E-2</v>
      </c>
      <c r="AD14" s="202">
        <v>0.22759979618537468</v>
      </c>
      <c r="AE14" s="128" t="s">
        <v>111</v>
      </c>
      <c r="AF14" s="203">
        <v>3.3054070573663996E-4</v>
      </c>
      <c r="AG14" s="202">
        <f t="shared" si="1"/>
        <v>0.22662027899760118</v>
      </c>
      <c r="AH14" s="202"/>
      <c r="AJ14" s="200"/>
      <c r="AK14" s="200"/>
      <c r="AL14" s="200"/>
      <c r="AM14" s="200"/>
      <c r="AN14" s="200"/>
      <c r="AO14" s="200"/>
    </row>
    <row r="15" spans="1:41">
      <c r="A15" s="135" t="s">
        <v>233</v>
      </c>
      <c r="B15" s="136">
        <v>52</v>
      </c>
      <c r="C15" s="190">
        <v>12.795180722891567</v>
      </c>
      <c r="D15" s="151">
        <f t="shared" si="0"/>
        <v>65.988204819277115</v>
      </c>
      <c r="E15" s="136" t="s">
        <v>162</v>
      </c>
      <c r="F15" s="136" t="s">
        <v>171</v>
      </c>
      <c r="G15" s="136" t="s">
        <v>275</v>
      </c>
      <c r="H15" s="200">
        <v>0.48721999999999999</v>
      </c>
      <c r="I15" s="202">
        <v>0.3672876702536067</v>
      </c>
      <c r="J15" s="128" t="s">
        <v>111</v>
      </c>
      <c r="K15" s="203">
        <v>1.2984810058527487E-4</v>
      </c>
      <c r="L15" s="202">
        <v>0.18904020533662871</v>
      </c>
      <c r="M15" s="128" t="s">
        <v>111</v>
      </c>
      <c r="N15" s="203">
        <v>4.2879267252993397E-3</v>
      </c>
      <c r="O15" s="202">
        <v>0.26298214887777516</v>
      </c>
      <c r="P15" s="128" t="s">
        <v>111</v>
      </c>
      <c r="Q15" s="203">
        <v>7.110379485849627E-3</v>
      </c>
      <c r="R15" s="202">
        <v>0.52822436566638076</v>
      </c>
      <c r="S15" s="128" t="s">
        <v>111</v>
      </c>
      <c r="T15" s="203">
        <v>9.3368906212152915E-3</v>
      </c>
      <c r="U15" s="202">
        <v>0.99035927600184404</v>
      </c>
      <c r="V15" s="128" t="s">
        <v>111</v>
      </c>
      <c r="W15" s="203">
        <v>4.2618008772672454E-3</v>
      </c>
      <c r="X15" s="202">
        <v>0.15651530370315547</v>
      </c>
      <c r="Y15" s="128" t="s">
        <v>111</v>
      </c>
      <c r="Z15" s="203">
        <v>1.1878129131593501E-3</v>
      </c>
      <c r="AA15" s="202">
        <v>2.0836884990381837</v>
      </c>
      <c r="AB15" s="128" t="s">
        <v>111</v>
      </c>
      <c r="AC15" s="203">
        <v>1.5830504128388451E-2</v>
      </c>
      <c r="AD15" s="202">
        <v>0.24190793454369355</v>
      </c>
      <c r="AE15" s="128" t="s">
        <v>111</v>
      </c>
      <c r="AF15" s="203">
        <v>6.4779144750254369E-5</v>
      </c>
      <c r="AG15" s="202">
        <f t="shared" si="1"/>
        <v>0.23961594384393986</v>
      </c>
      <c r="AH15" s="202"/>
      <c r="AJ15" s="200"/>
      <c r="AK15" s="200"/>
      <c r="AL15" s="200"/>
      <c r="AM15" s="200"/>
      <c r="AN15" s="200"/>
      <c r="AO15" s="200"/>
    </row>
    <row r="16" spans="1:41">
      <c r="A16" s="135" t="s">
        <v>234</v>
      </c>
      <c r="B16" s="136">
        <v>15</v>
      </c>
      <c r="C16" s="190">
        <v>7.4457831325301207</v>
      </c>
      <c r="D16" s="151">
        <f t="shared" si="0"/>
        <v>65.99355421686748</v>
      </c>
      <c r="E16" s="136" t="s">
        <v>162</v>
      </c>
      <c r="F16" s="136" t="s">
        <v>171</v>
      </c>
      <c r="G16" s="136" t="s">
        <v>273</v>
      </c>
      <c r="H16" s="200">
        <v>0.254</v>
      </c>
      <c r="I16" s="202">
        <v>0.2475490745931061</v>
      </c>
      <c r="J16" s="128" t="s">
        <v>111</v>
      </c>
      <c r="K16" s="203">
        <v>2.2593673252796344E-3</v>
      </c>
      <c r="L16" s="202">
        <v>0.19285567639246662</v>
      </c>
      <c r="M16" s="128" t="s">
        <v>111</v>
      </c>
      <c r="N16" s="203">
        <v>6.2026195891734066E-3</v>
      </c>
      <c r="O16" s="202">
        <v>0.18058001877903096</v>
      </c>
      <c r="P16" s="128" t="s">
        <v>111</v>
      </c>
      <c r="Q16" s="203">
        <v>6.0865252078939926E-3</v>
      </c>
      <c r="R16" s="202">
        <v>0.21922570052342269</v>
      </c>
      <c r="S16" s="128" t="s">
        <v>111</v>
      </c>
      <c r="T16" s="203">
        <v>1.4838069394610208E-2</v>
      </c>
      <c r="U16" s="202">
        <v>0.67026801144981474</v>
      </c>
      <c r="V16" s="128" t="s">
        <v>111</v>
      </c>
      <c r="W16" s="203">
        <v>1.3659546854080176E-2</v>
      </c>
      <c r="X16" s="202">
        <v>0.10901763754248919</v>
      </c>
      <c r="Y16" s="128" t="s">
        <v>111</v>
      </c>
      <c r="Z16" s="203">
        <v>1.7876534136337132E-3</v>
      </c>
      <c r="AA16" s="202">
        <v>2.1420302968495237</v>
      </c>
      <c r="AB16" s="128" t="s">
        <v>111</v>
      </c>
      <c r="AC16" s="203">
        <v>4.019890747934083E-2</v>
      </c>
      <c r="AD16" s="202">
        <v>0.20095506646869782</v>
      </c>
      <c r="AE16" s="128" t="s">
        <v>111</v>
      </c>
      <c r="AF16" s="203">
        <v>7.5978141368865382E-4</v>
      </c>
      <c r="AG16" s="202">
        <f t="shared" si="1"/>
        <v>0.19859871054768488</v>
      </c>
      <c r="AH16" s="202"/>
      <c r="AJ16" s="200"/>
      <c r="AK16" s="200"/>
      <c r="AL16" s="200"/>
      <c r="AM16" s="200"/>
      <c r="AN16" s="200"/>
      <c r="AO16" s="200"/>
    </row>
    <row r="17" spans="1:41">
      <c r="A17" s="135" t="s">
        <v>235</v>
      </c>
      <c r="B17" s="136">
        <v>3</v>
      </c>
      <c r="C17" s="190">
        <v>3.5999999999999996</v>
      </c>
      <c r="D17" s="151">
        <f t="shared" si="0"/>
        <v>65.997399999999999</v>
      </c>
      <c r="E17" s="136" t="s">
        <v>236</v>
      </c>
      <c r="F17" s="136" t="s">
        <v>237</v>
      </c>
      <c r="G17" s="136" t="s">
        <v>274</v>
      </c>
      <c r="H17" s="200">
        <v>0.48393999999999998</v>
      </c>
      <c r="I17" s="202">
        <v>2.9001485348614571</v>
      </c>
      <c r="J17" s="128" t="s">
        <v>111</v>
      </c>
      <c r="K17" s="203">
        <v>5.5210652813895813E-3</v>
      </c>
      <c r="L17" s="202">
        <v>1.7424444606696146</v>
      </c>
      <c r="M17" s="128" t="s">
        <v>111</v>
      </c>
      <c r="N17" s="203">
        <v>0.21115132766856923</v>
      </c>
      <c r="O17" s="202">
        <v>2.0416437767959983</v>
      </c>
      <c r="P17" s="128" t="s">
        <v>111</v>
      </c>
      <c r="Q17" s="203">
        <v>8.008287016328422E-2</v>
      </c>
      <c r="R17" s="202">
        <v>3.0148381246484228</v>
      </c>
      <c r="S17" s="128" t="s">
        <v>111</v>
      </c>
      <c r="T17" s="203">
        <v>6.4312668746960219E-2</v>
      </c>
      <c r="U17" s="202">
        <v>2.7877480561768766</v>
      </c>
      <c r="V17" s="128" t="s">
        <v>111</v>
      </c>
      <c r="W17" s="203">
        <v>3.9857513072958289E-2</v>
      </c>
      <c r="X17" s="202">
        <v>0.39557898844051997</v>
      </c>
      <c r="Y17" s="128" t="s">
        <v>111</v>
      </c>
      <c r="Z17" s="203">
        <v>3.2869671227568481E-3</v>
      </c>
      <c r="AA17" s="202">
        <v>0.66061895368350776</v>
      </c>
      <c r="AB17" s="128" t="s">
        <v>111</v>
      </c>
      <c r="AC17" s="203">
        <v>5.6314764679121733E-3</v>
      </c>
      <c r="AD17" s="202">
        <v>0.16802252457036773</v>
      </c>
      <c r="AE17" s="128" t="s">
        <v>111</v>
      </c>
      <c r="AF17" s="203">
        <v>2.2368934808419949E-5</v>
      </c>
      <c r="AG17" s="202">
        <f t="shared" si="1"/>
        <v>0.167295763539304</v>
      </c>
      <c r="AH17" s="202"/>
      <c r="AJ17" s="200"/>
      <c r="AK17" s="200"/>
      <c r="AL17" s="200"/>
      <c r="AM17" s="200"/>
      <c r="AN17" s="200"/>
      <c r="AO17" s="200"/>
    </row>
    <row r="18" spans="1:41">
      <c r="A18" s="135" t="s">
        <v>238</v>
      </c>
      <c r="B18" s="136">
        <v>1</v>
      </c>
      <c r="C18" s="190">
        <v>1.2000000000000002</v>
      </c>
      <c r="D18" s="151">
        <f t="shared" si="0"/>
        <v>65.999800000000008</v>
      </c>
      <c r="E18" s="136" t="s">
        <v>236</v>
      </c>
      <c r="F18" s="136" t="s">
        <v>237</v>
      </c>
      <c r="G18" s="136" t="s">
        <v>274</v>
      </c>
      <c r="H18" s="200">
        <v>0.48054999999999998</v>
      </c>
      <c r="I18" s="202">
        <v>1.1841725849517957</v>
      </c>
      <c r="J18" s="128" t="s">
        <v>111</v>
      </c>
      <c r="K18" s="203">
        <v>2.0288243296530759E-2</v>
      </c>
      <c r="L18" s="202">
        <v>0.73057519840837915</v>
      </c>
      <c r="M18" s="128" t="s">
        <v>111</v>
      </c>
      <c r="N18" s="203">
        <v>4.1794796421888131E-2</v>
      </c>
      <c r="O18" s="202">
        <v>1.0323680109481932</v>
      </c>
      <c r="P18" s="128" t="s">
        <v>111</v>
      </c>
      <c r="Q18" s="203">
        <v>1.5948609175916409E-2</v>
      </c>
      <c r="R18" s="202">
        <v>2.3336490477577811</v>
      </c>
      <c r="S18" s="128" t="s">
        <v>111</v>
      </c>
      <c r="T18" s="203">
        <v>8.3359041832186329E-2</v>
      </c>
      <c r="U18" s="202">
        <v>1.4255388985078827</v>
      </c>
      <c r="V18" s="128" t="s">
        <v>111</v>
      </c>
      <c r="W18" s="203">
        <v>2.8184644105845664E-2</v>
      </c>
      <c r="X18" s="202">
        <v>0.90963670059228086</v>
      </c>
      <c r="Y18" s="128" t="s">
        <v>111</v>
      </c>
      <c r="Z18" s="203">
        <v>9.8819281712685132E-3</v>
      </c>
      <c r="AA18" s="202">
        <v>3.7461864533995022</v>
      </c>
      <c r="AB18" s="128" t="s">
        <v>111</v>
      </c>
      <c r="AC18" s="203">
        <v>7.5997936189090495E-2</v>
      </c>
      <c r="AD18" s="202">
        <v>0.22140759734419005</v>
      </c>
      <c r="AE18" s="128" t="s">
        <v>111</v>
      </c>
      <c r="AF18" s="203">
        <v>3.5009094341953428E-4</v>
      </c>
      <c r="AG18" s="202">
        <f t="shared" si="1"/>
        <v>0.21728618760324306</v>
      </c>
      <c r="AH18" s="202"/>
      <c r="AJ18" s="200"/>
      <c r="AK18" s="200"/>
      <c r="AL18" s="200"/>
      <c r="AM18" s="200"/>
      <c r="AN18" s="200"/>
      <c r="AO18" s="200"/>
    </row>
    <row r="19" spans="1:41">
      <c r="B19" s="136"/>
      <c r="C19" s="190"/>
      <c r="D19" s="151"/>
      <c r="E19" s="136"/>
      <c r="F19" s="136"/>
      <c r="G19" s="136"/>
      <c r="H19" s="200"/>
      <c r="I19" s="202"/>
      <c r="J19" s="128"/>
      <c r="K19" s="203"/>
      <c r="L19" s="202"/>
      <c r="M19" s="128"/>
      <c r="N19" s="203"/>
      <c r="O19" s="202"/>
      <c r="P19" s="128"/>
      <c r="Q19" s="203"/>
      <c r="R19" s="202"/>
      <c r="S19" s="128"/>
      <c r="T19" s="203"/>
      <c r="U19" s="202"/>
      <c r="V19" s="128"/>
      <c r="W19" s="203"/>
      <c r="X19" s="202"/>
      <c r="Y19" s="128"/>
      <c r="Z19" s="203"/>
      <c r="AA19" s="202"/>
      <c r="AB19" s="128"/>
      <c r="AC19" s="203"/>
      <c r="AD19" s="202"/>
      <c r="AE19" s="128"/>
      <c r="AF19" s="202"/>
      <c r="AG19" s="202"/>
      <c r="AH19" s="202"/>
      <c r="AJ19" s="200"/>
      <c r="AK19" s="200"/>
      <c r="AL19" s="200"/>
      <c r="AM19" s="200"/>
      <c r="AN19" s="200"/>
      <c r="AO19" s="200"/>
    </row>
    <row r="20" spans="1:41">
      <c r="A20" s="191" t="s">
        <v>262</v>
      </c>
      <c r="C20" s="136"/>
      <c r="D20" s="136"/>
      <c r="E20" s="136"/>
      <c r="F20" s="136"/>
      <c r="G20" s="136"/>
      <c r="AG20" s="202"/>
      <c r="AH20" s="202"/>
      <c r="AJ20" s="200"/>
      <c r="AK20" s="200"/>
      <c r="AL20" s="200"/>
      <c r="AM20" s="200"/>
      <c r="AN20" s="200"/>
      <c r="AO20" s="200"/>
    </row>
    <row r="21" spans="1:41">
      <c r="A21" s="135" t="s">
        <v>250</v>
      </c>
      <c r="B21" s="136">
        <v>110</v>
      </c>
      <c r="C21" s="197">
        <v>83.111111111111114</v>
      </c>
      <c r="D21" s="151">
        <f t="shared" ref="D21:D25" si="2">66.001-(C21/1000)</f>
        <v>65.917888888888896</v>
      </c>
      <c r="E21" s="136" t="s">
        <v>157</v>
      </c>
      <c r="F21" s="136" t="s">
        <v>158</v>
      </c>
      <c r="G21" s="136" t="s">
        <v>385</v>
      </c>
      <c r="H21" s="200">
        <v>0.25062000000000001</v>
      </c>
      <c r="I21" s="202">
        <v>0.20754033711631789</v>
      </c>
      <c r="J21" s="128" t="s">
        <v>111</v>
      </c>
      <c r="K21" s="203">
        <v>8.250505884164638E-4</v>
      </c>
      <c r="L21" s="202">
        <v>0.14093579339718201</v>
      </c>
      <c r="M21" s="128" t="s">
        <v>111</v>
      </c>
      <c r="N21" s="203">
        <v>6.2186727241384096E-3</v>
      </c>
      <c r="O21" s="202">
        <v>0.17802044146419943</v>
      </c>
      <c r="P21" s="128" t="s">
        <v>111</v>
      </c>
      <c r="Q21" s="203">
        <v>6.1140271897512869E-3</v>
      </c>
      <c r="R21" s="202">
        <v>0.89699957935152885</v>
      </c>
      <c r="S21" s="128" t="s">
        <v>111</v>
      </c>
      <c r="T21" s="203">
        <v>1.9523821213118131E-2</v>
      </c>
      <c r="U21" s="202">
        <v>1.9076666108209075</v>
      </c>
      <c r="V21" s="128" t="s">
        <v>111</v>
      </c>
      <c r="W21" s="203">
        <v>3.9880958853933439E-2</v>
      </c>
      <c r="X21" s="202">
        <v>0.17891514851437892</v>
      </c>
      <c r="Y21" s="128" t="s">
        <v>111</v>
      </c>
      <c r="Z21" s="203">
        <v>2.3895644247313814E-3</v>
      </c>
      <c r="AA21" s="202">
        <v>4.2344815237401665</v>
      </c>
      <c r="AB21" s="128" t="s">
        <v>111</v>
      </c>
      <c r="AC21" s="203">
        <v>5.9007224717862836E-2</v>
      </c>
      <c r="AD21" s="202">
        <v>0.27733724000462884</v>
      </c>
      <c r="AE21" s="128" t="s">
        <v>111</v>
      </c>
      <c r="AF21" s="203">
        <v>9.5340939467419838E-4</v>
      </c>
      <c r="AG21" s="202">
        <f t="shared" si="1"/>
        <v>0.27268441176695818</v>
      </c>
      <c r="AH21" s="202"/>
      <c r="AJ21" s="200"/>
      <c r="AK21" s="200"/>
      <c r="AL21" s="200"/>
      <c r="AM21" s="200"/>
      <c r="AN21" s="200"/>
      <c r="AO21" s="200"/>
    </row>
    <row r="22" spans="1:41">
      <c r="A22" s="135" t="s">
        <v>251</v>
      </c>
      <c r="B22" s="136">
        <v>100</v>
      </c>
      <c r="C22" s="197">
        <v>68</v>
      </c>
      <c r="D22" s="151">
        <f t="shared" si="2"/>
        <v>65.933000000000007</v>
      </c>
      <c r="E22" s="136" t="s">
        <v>157</v>
      </c>
      <c r="F22" s="136" t="s">
        <v>171</v>
      </c>
      <c r="G22" s="136" t="s">
        <v>385</v>
      </c>
      <c r="H22" s="200">
        <v>0.48468</v>
      </c>
      <c r="I22" s="202">
        <v>0.23665140713341143</v>
      </c>
      <c r="J22" s="128" t="s">
        <v>111</v>
      </c>
      <c r="K22" s="203">
        <v>1.9107027425210232E-3</v>
      </c>
      <c r="L22" s="202">
        <v>5.3252514138877605E-2</v>
      </c>
      <c r="M22" s="128" t="s">
        <v>111</v>
      </c>
      <c r="N22" s="203">
        <v>3.4038279245005819E-3</v>
      </c>
      <c r="O22" s="202">
        <v>5.5277106528476991E-2</v>
      </c>
      <c r="P22" s="128" t="s">
        <v>111</v>
      </c>
      <c r="Q22" s="203">
        <v>3.2452769192197507E-3</v>
      </c>
      <c r="R22" s="202">
        <v>0.28243233216435376</v>
      </c>
      <c r="S22" s="128" t="s">
        <v>111</v>
      </c>
      <c r="T22" s="203">
        <v>1.0152909279382664E-2</v>
      </c>
      <c r="U22" s="202">
        <v>0.85603796097209273</v>
      </c>
      <c r="V22" s="128" t="s">
        <v>111</v>
      </c>
      <c r="W22" s="203">
        <v>2.088610846194517E-2</v>
      </c>
      <c r="X22" s="202">
        <v>0.60124877850961445</v>
      </c>
      <c r="Y22" s="128" t="s">
        <v>111</v>
      </c>
      <c r="Z22" s="203">
        <v>8.0784327860251685E-3</v>
      </c>
      <c r="AA22" s="202">
        <v>12.471805246425811</v>
      </c>
      <c r="AB22" s="128" t="s">
        <v>111</v>
      </c>
      <c r="AC22" s="203">
        <v>0.19549990558737809</v>
      </c>
      <c r="AD22" s="202">
        <v>0.27245414556337</v>
      </c>
      <c r="AE22" s="128" t="s">
        <v>111</v>
      </c>
      <c r="AF22" s="203">
        <v>9.3611822813946532E-4</v>
      </c>
      <c r="AG22" s="202">
        <f t="shared" si="1"/>
        <v>0.25874704180185293</v>
      </c>
      <c r="AH22" s="202"/>
      <c r="AJ22" s="200"/>
      <c r="AK22" s="200"/>
      <c r="AL22" s="200"/>
      <c r="AM22" s="200"/>
      <c r="AN22" s="200"/>
      <c r="AO22" s="200"/>
    </row>
    <row r="23" spans="1:41">
      <c r="A23" s="135" t="s">
        <v>252</v>
      </c>
      <c r="B23" s="136">
        <v>73</v>
      </c>
      <c r="C23" s="197">
        <v>29</v>
      </c>
      <c r="D23" s="151">
        <f t="shared" si="2"/>
        <v>65.972000000000008</v>
      </c>
      <c r="E23" s="136" t="s">
        <v>229</v>
      </c>
      <c r="F23" s="136" t="s">
        <v>171</v>
      </c>
      <c r="G23" s="136" t="s">
        <v>385</v>
      </c>
      <c r="H23" s="200">
        <v>0.20574000000000001</v>
      </c>
      <c r="I23" s="202">
        <v>0.30551434416110113</v>
      </c>
      <c r="J23" s="128" t="s">
        <v>111</v>
      </c>
      <c r="K23" s="203">
        <v>4.2615343628819261E-4</v>
      </c>
      <c r="L23" s="202">
        <v>5.8273691267430081E-2</v>
      </c>
      <c r="M23" s="128" t="s">
        <v>111</v>
      </c>
      <c r="N23" s="203">
        <v>3.006573872895752E-3</v>
      </c>
      <c r="O23" s="202">
        <v>6.0451928025570138E-2</v>
      </c>
      <c r="P23" s="128" t="s">
        <v>111</v>
      </c>
      <c r="Q23" s="203">
        <v>6.1632480928140018E-3</v>
      </c>
      <c r="R23" s="202">
        <v>0.3379506870284591</v>
      </c>
      <c r="S23" s="128" t="s">
        <v>111</v>
      </c>
      <c r="T23" s="203">
        <v>1.5927658366003763E-2</v>
      </c>
      <c r="U23" s="202">
        <v>0.96714727930153344</v>
      </c>
      <c r="V23" s="128" t="s">
        <v>111</v>
      </c>
      <c r="W23" s="203">
        <v>1.1826469251006886E-2</v>
      </c>
      <c r="X23" s="202">
        <v>0.98314161339836437</v>
      </c>
      <c r="Y23" s="128" t="s">
        <v>111</v>
      </c>
      <c r="Z23" s="203">
        <v>1.2814455331722327E-2</v>
      </c>
      <c r="AA23" s="202">
        <v>15.791586072315804</v>
      </c>
      <c r="AB23" s="128" t="s">
        <v>111</v>
      </c>
      <c r="AC23" s="203">
        <v>0.20700582790480845</v>
      </c>
      <c r="AD23" s="202">
        <v>0.26988421161861698</v>
      </c>
      <c r="AE23" s="128" t="s">
        <v>111</v>
      </c>
      <c r="AF23" s="203">
        <v>2.5023451240019368E-4</v>
      </c>
      <c r="AG23" s="202">
        <f t="shared" si="1"/>
        <v>0.25251824003077772</v>
      </c>
      <c r="AH23" s="202"/>
      <c r="AJ23" s="200"/>
      <c r="AK23" s="200"/>
      <c r="AL23" s="200"/>
      <c r="AM23" s="200"/>
      <c r="AN23" s="200"/>
      <c r="AO23" s="200"/>
    </row>
    <row r="24" spans="1:41">
      <c r="A24" s="135" t="s">
        <v>253</v>
      </c>
      <c r="B24" s="136">
        <v>21</v>
      </c>
      <c r="C24" s="197">
        <v>18</v>
      </c>
      <c r="D24" s="151">
        <f t="shared" si="2"/>
        <v>65.983000000000004</v>
      </c>
      <c r="E24" s="136" t="s">
        <v>161</v>
      </c>
      <c r="F24" s="136" t="s">
        <v>171</v>
      </c>
      <c r="G24" s="136" t="s">
        <v>385</v>
      </c>
      <c r="H24" s="200">
        <v>0.25327</v>
      </c>
      <c r="I24" s="202">
        <v>0.70633265136240297</v>
      </c>
      <c r="J24" s="128" t="s">
        <v>111</v>
      </c>
      <c r="K24" s="203">
        <v>4.3621230399988392E-3</v>
      </c>
      <c r="L24" s="202">
        <v>0.31211159237334113</v>
      </c>
      <c r="M24" s="128" t="s">
        <v>111</v>
      </c>
      <c r="N24" s="203">
        <v>1.1958770003883856E-2</v>
      </c>
      <c r="O24" s="202">
        <v>0.43948468885341951</v>
      </c>
      <c r="P24" s="128" t="s">
        <v>111</v>
      </c>
      <c r="Q24" s="203">
        <v>8.5037903914357647E-3</v>
      </c>
      <c r="R24" s="202">
        <v>0.90347227849697642</v>
      </c>
      <c r="S24" s="128" t="s">
        <v>111</v>
      </c>
      <c r="T24" s="203">
        <v>2.7039213833688437E-2</v>
      </c>
      <c r="U24" s="202">
        <v>2.046064414851644</v>
      </c>
      <c r="V24" s="128" t="s">
        <v>111</v>
      </c>
      <c r="W24" s="203">
        <v>3.5090974927988919E-2</v>
      </c>
      <c r="X24" s="202">
        <v>0.84047003570361656</v>
      </c>
      <c r="Y24" s="128" t="s">
        <v>111</v>
      </c>
      <c r="Z24" s="203">
        <v>1.5233414184035534E-2</v>
      </c>
      <c r="AA24" s="202">
        <v>5.8493904901981404</v>
      </c>
      <c r="AB24" s="128" t="s">
        <v>111</v>
      </c>
      <c r="AC24" s="203">
        <v>0.1120048747515449</v>
      </c>
      <c r="AD24" s="202">
        <v>0.28349426204152739</v>
      </c>
      <c r="AE24" s="128" t="s">
        <v>111</v>
      </c>
      <c r="AF24" s="203">
        <v>2.8957325012027302E-4</v>
      </c>
      <c r="AG24" s="202">
        <f t="shared" si="1"/>
        <v>0.2770606273737713</v>
      </c>
      <c r="AH24" s="202"/>
      <c r="AJ24" s="200"/>
      <c r="AK24" s="200"/>
      <c r="AL24" s="200"/>
      <c r="AM24" s="200"/>
      <c r="AN24" s="200"/>
      <c r="AO24" s="200"/>
    </row>
    <row r="25" spans="1:41">
      <c r="A25" s="135" t="s">
        <v>260</v>
      </c>
      <c r="B25" s="136">
        <v>4</v>
      </c>
      <c r="C25" s="197">
        <v>6</v>
      </c>
      <c r="D25" s="151">
        <f t="shared" si="2"/>
        <v>65.995000000000005</v>
      </c>
      <c r="E25" s="136" t="s">
        <v>162</v>
      </c>
      <c r="F25" s="136" t="s">
        <v>171</v>
      </c>
      <c r="G25" s="136" t="s">
        <v>274</v>
      </c>
      <c r="H25" s="200">
        <v>0.48599999999999999</v>
      </c>
      <c r="I25" s="202">
        <v>1.1709320572365607</v>
      </c>
      <c r="J25" s="128" t="s">
        <v>111</v>
      </c>
      <c r="K25" s="203">
        <v>1.5722545445050078E-3</v>
      </c>
      <c r="L25" s="202">
        <v>1.1601305502249253</v>
      </c>
      <c r="M25" s="128" t="s">
        <v>111</v>
      </c>
      <c r="N25" s="203">
        <v>4.9218573670482296E-2</v>
      </c>
      <c r="O25" s="202">
        <v>1.0856558088322563</v>
      </c>
      <c r="P25" s="128" t="s">
        <v>111</v>
      </c>
      <c r="Q25" s="203">
        <v>2.8716722770170112E-2</v>
      </c>
      <c r="R25" s="202">
        <v>1.5008514455400779</v>
      </c>
      <c r="S25" s="128" t="s">
        <v>111</v>
      </c>
      <c r="T25" s="203">
        <v>2.726703160542104E-2</v>
      </c>
      <c r="U25" s="202">
        <v>2.7810670633598624</v>
      </c>
      <c r="V25" s="128" t="s">
        <v>111</v>
      </c>
      <c r="W25" s="203">
        <v>4.2117581919404429E-2</v>
      </c>
      <c r="X25" s="202">
        <v>2.0213923781778829</v>
      </c>
      <c r="Y25" s="128" t="s">
        <v>111</v>
      </c>
      <c r="Z25" s="203">
        <v>7.4832750835342327E-2</v>
      </c>
      <c r="AA25" s="202">
        <v>8.4335636099822171</v>
      </c>
      <c r="AB25" s="128" t="s">
        <v>111</v>
      </c>
      <c r="AC25" s="203">
        <v>0.31241917899051758</v>
      </c>
      <c r="AD25" s="202">
        <v>0.2349223304426421</v>
      </c>
      <c r="AE25" s="128" t="s">
        <v>111</v>
      </c>
      <c r="AF25" s="203">
        <v>3.9181008773439552E-5</v>
      </c>
      <c r="AG25" s="202">
        <f t="shared" si="1"/>
        <v>0.22564472443428246</v>
      </c>
      <c r="AH25" s="202"/>
      <c r="AJ25" s="200"/>
      <c r="AK25" s="200"/>
      <c r="AL25" s="200"/>
      <c r="AM25" s="200"/>
      <c r="AN25" s="200"/>
      <c r="AO25" s="200"/>
    </row>
    <row r="26" spans="1:41">
      <c r="A26" s="135" t="s">
        <v>254</v>
      </c>
      <c r="B26" s="136">
        <v>1</v>
      </c>
      <c r="C26" s="197">
        <v>1.5</v>
      </c>
      <c r="D26" s="151">
        <f>66.001-(C26/1000)</f>
        <v>65.999500000000012</v>
      </c>
      <c r="E26" s="136" t="s">
        <v>236</v>
      </c>
      <c r="F26" s="136" t="s">
        <v>237</v>
      </c>
      <c r="G26" s="136" t="s">
        <v>274</v>
      </c>
      <c r="H26" s="200">
        <v>0.48375000000000001</v>
      </c>
      <c r="I26" s="202">
        <v>2.3017583242251471</v>
      </c>
      <c r="J26" s="128" t="s">
        <v>111</v>
      </c>
      <c r="K26" s="203">
        <v>6.1263034303575409E-3</v>
      </c>
      <c r="L26" s="202">
        <v>2.2457764665504611</v>
      </c>
      <c r="M26" s="128" t="s">
        <v>111</v>
      </c>
      <c r="N26" s="203">
        <v>0.80605492435417225</v>
      </c>
      <c r="O26" s="202">
        <v>2.127069058033404</v>
      </c>
      <c r="P26" s="128" t="s">
        <v>111</v>
      </c>
      <c r="Q26" s="203">
        <v>6.9897261911433264E-2</v>
      </c>
      <c r="R26" s="202">
        <v>2.3839428559912732</v>
      </c>
      <c r="S26" s="128" t="s">
        <v>111</v>
      </c>
      <c r="T26" s="203">
        <v>0.1052934637911415</v>
      </c>
      <c r="U26" s="202">
        <v>3.5469022066829754</v>
      </c>
      <c r="V26" s="128" t="s">
        <v>111</v>
      </c>
      <c r="W26" s="203">
        <v>0.20440724867687829</v>
      </c>
      <c r="X26" s="202">
        <v>1.386958802966511</v>
      </c>
      <c r="Y26" s="128" t="s">
        <v>111</v>
      </c>
      <c r="Z26" s="203">
        <v>5.0342983687842263E-2</v>
      </c>
      <c r="AA26" s="202">
        <v>2.9286462648905998</v>
      </c>
      <c r="AB26" s="128" t="s">
        <v>111</v>
      </c>
      <c r="AC26" s="203">
        <v>0.10658761540796431</v>
      </c>
      <c r="AD26" s="202">
        <v>0.19512913872443599</v>
      </c>
      <c r="AE26" s="128" t="s">
        <v>111</v>
      </c>
      <c r="AF26" s="203">
        <v>3.6844456881848985E-5</v>
      </c>
      <c r="AG26" s="202">
        <f t="shared" si="1"/>
        <v>0.19190716979699585</v>
      </c>
      <c r="AH26" s="202"/>
      <c r="AJ26" s="200"/>
      <c r="AK26" s="200"/>
      <c r="AL26" s="200"/>
      <c r="AM26" s="200"/>
      <c r="AN26" s="200"/>
      <c r="AO26" s="200"/>
    </row>
    <row r="27" spans="1:41">
      <c r="B27" s="136"/>
      <c r="C27" s="190"/>
      <c r="D27" s="151"/>
      <c r="E27" s="136"/>
      <c r="F27" s="136"/>
      <c r="G27" s="136"/>
      <c r="H27" s="200"/>
      <c r="I27" s="202"/>
      <c r="J27" s="128"/>
      <c r="K27" s="203"/>
      <c r="L27" s="202"/>
      <c r="M27" s="128"/>
      <c r="N27" s="203"/>
      <c r="O27" s="202"/>
      <c r="P27" s="128"/>
      <c r="Q27" s="203"/>
      <c r="R27" s="202"/>
      <c r="S27" s="128"/>
      <c r="T27" s="203"/>
      <c r="U27" s="202"/>
      <c r="V27" s="128"/>
      <c r="W27" s="203"/>
      <c r="X27" s="202"/>
      <c r="Y27" s="128"/>
      <c r="Z27" s="203"/>
      <c r="AA27" s="202"/>
      <c r="AB27" s="128"/>
      <c r="AC27" s="203"/>
      <c r="AD27" s="202"/>
      <c r="AE27" s="128"/>
      <c r="AF27" s="202"/>
      <c r="AG27" s="202"/>
      <c r="AH27" s="202"/>
      <c r="AJ27" s="200"/>
      <c r="AK27" s="200"/>
      <c r="AL27" s="200"/>
      <c r="AM27" s="200"/>
      <c r="AN27" s="200"/>
      <c r="AO27" s="200"/>
    </row>
    <row r="28" spans="1:41">
      <c r="A28" s="191" t="s">
        <v>263</v>
      </c>
      <c r="C28" s="136"/>
      <c r="D28" s="136"/>
      <c r="E28" s="136"/>
      <c r="F28" s="136"/>
      <c r="G28" s="136"/>
      <c r="AG28" s="202"/>
      <c r="AH28" s="202"/>
      <c r="AJ28" s="200"/>
      <c r="AK28" s="200"/>
      <c r="AL28" s="200"/>
      <c r="AM28" s="200"/>
      <c r="AN28" s="200"/>
      <c r="AO28" s="200"/>
    </row>
    <row r="29" spans="1:41">
      <c r="A29" s="135" t="s">
        <v>239</v>
      </c>
      <c r="B29" s="136">
        <v>197.5</v>
      </c>
      <c r="C29" s="193">
        <v>204</v>
      </c>
      <c r="D29" s="194">
        <f t="shared" ref="D29:D37" si="3">66.001-(C29/1000)</f>
        <v>65.797000000000011</v>
      </c>
      <c r="E29" s="136" t="s">
        <v>155</v>
      </c>
      <c r="F29" s="136" t="s">
        <v>156</v>
      </c>
      <c r="G29" s="136" t="s">
        <v>275</v>
      </c>
      <c r="H29" s="135">
        <v>0.47865999999999997</v>
      </c>
      <c r="I29" s="202">
        <v>0.167505130804114</v>
      </c>
      <c r="J29" s="202"/>
      <c r="K29" s="203">
        <v>4.1105352289208958E-4</v>
      </c>
      <c r="L29" s="202">
        <v>4.8724793280419815E-2</v>
      </c>
      <c r="M29" s="128" t="s">
        <v>111</v>
      </c>
      <c r="N29" s="203">
        <v>4.0223619420363278E-3</v>
      </c>
      <c r="O29" s="202">
        <v>2.9686719542379166E-2</v>
      </c>
      <c r="P29" s="128" t="s">
        <v>111</v>
      </c>
      <c r="Q29" s="203">
        <v>2.8738071185506241E-3</v>
      </c>
      <c r="R29" s="202">
        <v>0.28345866007263992</v>
      </c>
      <c r="S29" s="128" t="s">
        <v>111</v>
      </c>
      <c r="T29" s="203">
        <v>3.0367130016400175E-2</v>
      </c>
      <c r="U29" s="202">
        <v>0.95320010254831644</v>
      </c>
      <c r="V29" s="128" t="s">
        <v>111</v>
      </c>
      <c r="W29" s="203">
        <v>2.3838913088872617E-2</v>
      </c>
      <c r="X29" s="202">
        <v>0.12645720829004292</v>
      </c>
      <c r="Y29" s="128" t="s">
        <v>111</v>
      </c>
      <c r="Z29" s="203">
        <v>7.7983919605247153E-3</v>
      </c>
      <c r="AA29" s="202">
        <v>3.731494444298991</v>
      </c>
      <c r="AB29" s="128" t="s">
        <v>111</v>
      </c>
      <c r="AC29" s="203">
        <v>0.23029677139331625</v>
      </c>
      <c r="AD29" s="202">
        <v>0.32628669593442516</v>
      </c>
      <c r="AE29" s="128" t="s">
        <v>111</v>
      </c>
      <c r="AF29" s="203">
        <v>3.1654042813919481E-4</v>
      </c>
      <c r="AG29" s="202">
        <f t="shared" si="1"/>
        <v>0.3221940710299106</v>
      </c>
      <c r="AH29" s="202"/>
      <c r="AJ29" s="200"/>
      <c r="AK29" s="200"/>
      <c r="AL29" s="200"/>
      <c r="AM29" s="200"/>
      <c r="AN29" s="200"/>
      <c r="AO29" s="200"/>
    </row>
    <row r="30" spans="1:41">
      <c r="A30" s="135" t="s">
        <v>240</v>
      </c>
      <c r="B30" s="136">
        <v>172.5</v>
      </c>
      <c r="C30" s="193">
        <v>170</v>
      </c>
      <c r="D30" s="194">
        <f t="shared" si="3"/>
        <v>65.831000000000003</v>
      </c>
      <c r="E30" s="136" t="s">
        <v>157</v>
      </c>
      <c r="F30" s="136" t="s">
        <v>158</v>
      </c>
      <c r="G30" s="136" t="s">
        <v>275</v>
      </c>
      <c r="H30" s="135">
        <v>0.25296000000000002</v>
      </c>
      <c r="I30" s="202">
        <v>0.20377495283398578</v>
      </c>
      <c r="J30" s="202"/>
      <c r="K30" s="203">
        <v>3.5241630101210368E-4</v>
      </c>
      <c r="L30" s="202">
        <v>4.7591155964022046E-2</v>
      </c>
      <c r="M30" s="128" t="s">
        <v>111</v>
      </c>
      <c r="N30" s="203">
        <v>1.9557610918224232E-3</v>
      </c>
      <c r="O30" s="202">
        <v>4.6143974714592015E-2</v>
      </c>
      <c r="P30" s="128" t="s">
        <v>111</v>
      </c>
      <c r="Q30" s="203">
        <v>5.2520650464647428E-3</v>
      </c>
      <c r="R30" s="202">
        <v>0.45617346782702139</v>
      </c>
      <c r="S30" s="128" t="s">
        <v>111</v>
      </c>
      <c r="T30" s="203">
        <v>1.5036215576225601E-2</v>
      </c>
      <c r="U30" s="202">
        <v>1.0519946472869324</v>
      </c>
      <c r="V30" s="128" t="s">
        <v>111</v>
      </c>
      <c r="W30" s="203">
        <v>2.2597941812410573E-2</v>
      </c>
      <c r="X30" s="202">
        <v>0.42076176782624991</v>
      </c>
      <c r="Y30" s="128" t="s">
        <v>111</v>
      </c>
      <c r="Z30" s="203">
        <v>4.6823653007951301E-3</v>
      </c>
      <c r="AA30" s="202">
        <v>10.213800815965778</v>
      </c>
      <c r="AB30" s="128" t="s">
        <v>111</v>
      </c>
      <c r="AC30" s="203">
        <v>0.11502668542892049</v>
      </c>
      <c r="AD30" s="202">
        <v>0.33234772243628696</v>
      </c>
      <c r="AE30" s="128" t="s">
        <v>111</v>
      </c>
      <c r="AF30" s="203">
        <v>5.3585274662859561E-4</v>
      </c>
      <c r="AG30" s="202">
        <f t="shared" si="1"/>
        <v>0.32113964790247568</v>
      </c>
      <c r="AH30" s="202"/>
      <c r="AJ30" s="200"/>
      <c r="AK30" s="200"/>
      <c r="AL30" s="200"/>
      <c r="AM30" s="200"/>
      <c r="AN30" s="200"/>
      <c r="AO30" s="200"/>
    </row>
    <row r="31" spans="1:41">
      <c r="A31" s="135" t="s">
        <v>241</v>
      </c>
      <c r="B31" s="136">
        <v>147.5</v>
      </c>
      <c r="C31" s="193">
        <v>136</v>
      </c>
      <c r="D31" s="194">
        <f t="shared" si="3"/>
        <v>65.865000000000009</v>
      </c>
      <c r="E31" s="136" t="s">
        <v>157</v>
      </c>
      <c r="F31" s="136" t="s">
        <v>158</v>
      </c>
      <c r="G31" s="136" t="s">
        <v>275</v>
      </c>
      <c r="H31" s="135">
        <v>0.49045</v>
      </c>
      <c r="I31" s="202">
        <v>0.20475511650879713</v>
      </c>
      <c r="J31" s="202"/>
      <c r="K31" s="203">
        <v>1.5040656423543998E-4</v>
      </c>
      <c r="L31" s="202">
        <v>4.3356541320547268E-2</v>
      </c>
      <c r="M31" s="128" t="s">
        <v>111</v>
      </c>
      <c r="N31" s="203">
        <v>1.6003063720255719E-3</v>
      </c>
      <c r="O31" s="202">
        <v>5.0123156305979154E-2</v>
      </c>
      <c r="P31" s="128" t="s">
        <v>111</v>
      </c>
      <c r="Q31" s="203">
        <v>2.842356519347953E-3</v>
      </c>
      <c r="R31" s="202">
        <v>0.6424077161474091</v>
      </c>
      <c r="S31" s="128" t="s">
        <v>111</v>
      </c>
      <c r="T31" s="203">
        <v>1.2966750015069074E-2</v>
      </c>
      <c r="U31" s="202">
        <v>1.0996772487452611</v>
      </c>
      <c r="V31" s="128" t="s">
        <v>111</v>
      </c>
      <c r="W31" s="203">
        <v>3.2112534242647803E-2</v>
      </c>
      <c r="X31" s="202">
        <v>0.17806645368261917</v>
      </c>
      <c r="Y31" s="128" t="s">
        <v>111</v>
      </c>
      <c r="Z31" s="203">
        <v>1.5057807426854741E-3</v>
      </c>
      <c r="AA31" s="202">
        <v>4.294704043560901</v>
      </c>
      <c r="AB31" s="128" t="s">
        <v>111</v>
      </c>
      <c r="AC31" s="203">
        <v>3.6454006521487385E-2</v>
      </c>
      <c r="AD31" s="202">
        <v>0.31938289423966831</v>
      </c>
      <c r="AE31" s="128" t="s">
        <v>111</v>
      </c>
      <c r="AF31" s="203">
        <v>1.4980714974055509E-4</v>
      </c>
      <c r="AG31" s="202">
        <f t="shared" si="1"/>
        <v>0.31466768212670032</v>
      </c>
      <c r="AH31" s="202"/>
      <c r="AJ31" s="200"/>
      <c r="AK31" s="200"/>
      <c r="AL31" s="200"/>
      <c r="AM31" s="200"/>
      <c r="AN31" s="200"/>
      <c r="AO31" s="200"/>
    </row>
    <row r="32" spans="1:41">
      <c r="A32" s="135" t="s">
        <v>242</v>
      </c>
      <c r="B32" s="136">
        <v>122.5</v>
      </c>
      <c r="C32" s="193">
        <v>102</v>
      </c>
      <c r="D32" s="194">
        <f t="shared" si="3"/>
        <v>65.899000000000001</v>
      </c>
      <c r="E32" s="136" t="s">
        <v>157</v>
      </c>
      <c r="F32" s="136" t="s">
        <v>158</v>
      </c>
      <c r="G32" s="136" t="s">
        <v>275</v>
      </c>
      <c r="H32" s="135">
        <v>0.25535999999999998</v>
      </c>
      <c r="I32" s="202">
        <v>0.16798969550599904</v>
      </c>
      <c r="J32" s="202"/>
      <c r="K32" s="203">
        <v>3.4471126089306967E-4</v>
      </c>
      <c r="L32" s="202">
        <v>3.6402557887064091E-2</v>
      </c>
      <c r="M32" s="128" t="s">
        <v>111</v>
      </c>
      <c r="N32" s="203">
        <v>1.7074882985598061E-3</v>
      </c>
      <c r="O32" s="202">
        <v>3.5845162319574173E-2</v>
      </c>
      <c r="P32" s="128" t="s">
        <v>111</v>
      </c>
      <c r="Q32" s="203">
        <v>5.1456021828363121E-3</v>
      </c>
      <c r="R32" s="202">
        <v>0.29133625605070407</v>
      </c>
      <c r="S32" s="128" t="s">
        <v>111</v>
      </c>
      <c r="T32" s="203">
        <v>1.3757265750891671E-2</v>
      </c>
      <c r="U32" s="202">
        <v>1.0436805269410792</v>
      </c>
      <c r="V32" s="128" t="s">
        <v>111</v>
      </c>
      <c r="W32" s="203">
        <v>2.9550186773022534E-2</v>
      </c>
      <c r="X32" s="202">
        <v>0.32818208605225968</v>
      </c>
      <c r="Y32" s="128" t="s">
        <v>111</v>
      </c>
      <c r="Z32" s="203">
        <v>4.4430671976953108E-3</v>
      </c>
      <c r="AA32" s="202">
        <v>9.6313297645627358</v>
      </c>
      <c r="AB32" s="128" t="s">
        <v>111</v>
      </c>
      <c r="AC32" s="203">
        <v>0.13188222274544781</v>
      </c>
      <c r="AD32" s="202">
        <v>0.3061531420189329</v>
      </c>
      <c r="AE32" s="128" t="s">
        <v>111</v>
      </c>
      <c r="AF32" s="203">
        <v>5.5732483105938591E-4</v>
      </c>
      <c r="AG32" s="202">
        <f t="shared" si="1"/>
        <v>0.29557331670380022</v>
      </c>
      <c r="AH32" s="202"/>
      <c r="AJ32" s="200"/>
      <c r="AK32" s="200"/>
      <c r="AL32" s="200"/>
      <c r="AM32" s="200"/>
      <c r="AN32" s="200"/>
      <c r="AO32" s="200"/>
    </row>
    <row r="33" spans="1:48">
      <c r="A33" s="135" t="s">
        <v>243</v>
      </c>
      <c r="B33" s="136">
        <v>97.5</v>
      </c>
      <c r="C33" s="193">
        <v>68</v>
      </c>
      <c r="D33" s="194">
        <f t="shared" si="3"/>
        <v>65.933000000000007</v>
      </c>
      <c r="E33" s="136" t="s">
        <v>157</v>
      </c>
      <c r="F33" s="136" t="s">
        <v>158</v>
      </c>
      <c r="G33" s="136" t="s">
        <v>275</v>
      </c>
      <c r="H33" s="135">
        <v>0.24965000000000001</v>
      </c>
      <c r="I33" s="202">
        <v>0.22549458649616697</v>
      </c>
      <c r="J33" s="202"/>
      <c r="K33" s="203">
        <v>3.69629546446177E-4</v>
      </c>
      <c r="L33" s="202">
        <v>4.5900592602295787E-2</v>
      </c>
      <c r="M33" s="128" t="s">
        <v>111</v>
      </c>
      <c r="N33" s="203">
        <v>2.1147201485024478E-3</v>
      </c>
      <c r="O33" s="202">
        <v>4.4051875592656345E-2</v>
      </c>
      <c r="P33" s="128" t="s">
        <v>111</v>
      </c>
      <c r="Q33" s="203">
        <v>5.4529262696935959E-3</v>
      </c>
      <c r="R33" s="202">
        <v>0.31865035210582687</v>
      </c>
      <c r="S33" s="128" t="s">
        <v>111</v>
      </c>
      <c r="T33" s="203">
        <v>1.3070292877830804E-2</v>
      </c>
      <c r="U33" s="202">
        <v>1.0248845398371615</v>
      </c>
      <c r="V33" s="128" t="s">
        <v>111</v>
      </c>
      <c r="W33" s="203">
        <v>2.6900383368661712E-2</v>
      </c>
      <c r="X33" s="202">
        <v>0.1692894248582166</v>
      </c>
      <c r="Y33" s="128" t="s">
        <v>111</v>
      </c>
      <c r="Z33" s="203">
        <v>2.2555664676115086E-3</v>
      </c>
      <c r="AA33" s="202">
        <v>3.6936254230337817</v>
      </c>
      <c r="AB33" s="128" t="s">
        <v>111</v>
      </c>
      <c r="AC33" s="203">
        <v>4.9583908059822768E-2</v>
      </c>
      <c r="AD33" s="202">
        <v>0.29000692802796124</v>
      </c>
      <c r="AE33" s="128" t="s">
        <v>111</v>
      </c>
      <c r="AF33" s="203">
        <v>4.2712145408274615E-4</v>
      </c>
      <c r="AG33" s="202">
        <f t="shared" si="1"/>
        <v>0.28594745901530882</v>
      </c>
      <c r="AH33" s="202"/>
      <c r="AJ33" s="200"/>
      <c r="AK33" s="200"/>
      <c r="AL33" s="200"/>
      <c r="AM33" s="200"/>
      <c r="AN33" s="200"/>
      <c r="AO33" s="200"/>
    </row>
    <row r="34" spans="1:48">
      <c r="A34" s="135" t="s">
        <v>244</v>
      </c>
      <c r="B34" s="136">
        <v>67.5</v>
      </c>
      <c r="C34" s="193">
        <v>29</v>
      </c>
      <c r="D34" s="194">
        <f t="shared" si="3"/>
        <v>65.972000000000008</v>
      </c>
      <c r="E34" s="136" t="s">
        <v>229</v>
      </c>
      <c r="F34" s="136" t="s">
        <v>171</v>
      </c>
      <c r="G34" s="136" t="s">
        <v>275</v>
      </c>
      <c r="H34" s="135">
        <v>0.24951999999999999</v>
      </c>
      <c r="I34" s="202">
        <v>0.24170628884286618</v>
      </c>
      <c r="J34" s="202"/>
      <c r="K34" s="203">
        <v>3.8022537875032102E-4</v>
      </c>
      <c r="L34" s="202">
        <v>5.48914572967487E-2</v>
      </c>
      <c r="M34" s="128" t="s">
        <v>111</v>
      </c>
      <c r="N34" s="203">
        <v>3.4591903692279369E-3</v>
      </c>
      <c r="O34" s="202">
        <v>5.7921156856729543E-2</v>
      </c>
      <c r="P34" s="128" t="s">
        <v>111</v>
      </c>
      <c r="Q34" s="203">
        <v>5.273875000481148E-3</v>
      </c>
      <c r="R34" s="202">
        <v>0.30580923694674544</v>
      </c>
      <c r="S34" s="128" t="s">
        <v>111</v>
      </c>
      <c r="T34" s="203">
        <v>1.5029043298696058E-2</v>
      </c>
      <c r="U34" s="202">
        <v>0.93846900517920195</v>
      </c>
      <c r="V34" s="128" t="s">
        <v>111</v>
      </c>
      <c r="W34" s="203">
        <v>2.5980958478812051E-2</v>
      </c>
      <c r="X34" s="202">
        <v>0.14837839514002232</v>
      </c>
      <c r="Y34" s="128" t="s">
        <v>111</v>
      </c>
      <c r="Z34" s="203">
        <v>1.6990483260940004E-3</v>
      </c>
      <c r="AA34" s="202">
        <v>3.0076654385086279</v>
      </c>
      <c r="AB34" s="128" t="s">
        <v>111</v>
      </c>
      <c r="AC34" s="203">
        <v>3.4763586081066736E-2</v>
      </c>
      <c r="AD34" s="202">
        <v>0.25740903247245067</v>
      </c>
      <c r="AE34" s="128" t="s">
        <v>111</v>
      </c>
      <c r="AF34" s="203">
        <v>3.8939157087175547E-4</v>
      </c>
      <c r="AG34" s="202">
        <f t="shared" si="1"/>
        <v>0.25410150957312438</v>
      </c>
      <c r="AH34" s="202"/>
      <c r="AJ34" s="200"/>
      <c r="AK34" s="200"/>
      <c r="AL34" s="200"/>
      <c r="AM34" s="200"/>
      <c r="AN34" s="200"/>
      <c r="AO34" s="200"/>
    </row>
    <row r="35" spans="1:48">
      <c r="A35" s="135" t="s">
        <v>245</v>
      </c>
      <c r="B35" s="136">
        <v>32.5</v>
      </c>
      <c r="C35" s="195">
        <v>18</v>
      </c>
      <c r="D35" s="194">
        <f t="shared" si="3"/>
        <v>65.983000000000004</v>
      </c>
      <c r="E35" s="136" t="s">
        <v>161</v>
      </c>
      <c r="F35" s="136" t="s">
        <v>171</v>
      </c>
      <c r="G35" s="136" t="s">
        <v>275</v>
      </c>
      <c r="H35" s="135">
        <v>0.25222</v>
      </c>
      <c r="I35" s="202">
        <v>0.39276515868532164</v>
      </c>
      <c r="J35" s="202"/>
      <c r="K35" s="203">
        <v>6.6955638049902321E-4</v>
      </c>
      <c r="L35" s="202">
        <v>9.8920244769323873E-2</v>
      </c>
      <c r="M35" s="128" t="s">
        <v>111</v>
      </c>
      <c r="N35" s="203">
        <v>3.0439179086991465E-3</v>
      </c>
      <c r="O35" s="202">
        <v>0.1543259214783341</v>
      </c>
      <c r="P35" s="128" t="s">
        <v>111</v>
      </c>
      <c r="Q35" s="203">
        <v>5.3227930838125569E-3</v>
      </c>
      <c r="R35" s="202">
        <v>0.51822527124776541</v>
      </c>
      <c r="S35" s="128" t="s">
        <v>111</v>
      </c>
      <c r="T35" s="203">
        <v>1.983948979002614E-2</v>
      </c>
      <c r="U35" s="202">
        <v>1.0707268415211593</v>
      </c>
      <c r="V35" s="128" t="s">
        <v>111</v>
      </c>
      <c r="W35" s="203">
        <v>4.0315422830556696E-2</v>
      </c>
      <c r="X35" s="202">
        <v>0.25826417526406742</v>
      </c>
      <c r="Y35" s="128" t="s">
        <v>111</v>
      </c>
      <c r="Z35" s="203">
        <v>3.1517113028626275E-3</v>
      </c>
      <c r="AA35" s="202">
        <v>3.2177981159887152</v>
      </c>
      <c r="AB35" s="128" t="s">
        <v>111</v>
      </c>
      <c r="AC35" s="203">
        <v>3.9649492070229296E-2</v>
      </c>
      <c r="AD35" s="202">
        <v>0.24809493364483531</v>
      </c>
      <c r="AE35" s="128" t="s">
        <v>111</v>
      </c>
      <c r="AF35" s="203">
        <v>1.7366095764151379E-4</v>
      </c>
      <c r="AG35" s="202">
        <f t="shared" si="1"/>
        <v>0.24455573797178939</v>
      </c>
      <c r="AH35" s="202"/>
      <c r="AJ35" s="200"/>
      <c r="AK35" s="200"/>
      <c r="AL35" s="200"/>
      <c r="AM35" s="200"/>
      <c r="AN35" s="200"/>
      <c r="AO35" s="200"/>
    </row>
    <row r="36" spans="1:48">
      <c r="A36" s="135" t="s">
        <v>246</v>
      </c>
      <c r="B36" s="136">
        <v>16.5</v>
      </c>
      <c r="C36" s="196">
        <v>11.904761904761905</v>
      </c>
      <c r="D36" s="194">
        <f t="shared" si="3"/>
        <v>65.989095238095246</v>
      </c>
      <c r="E36" s="136" t="s">
        <v>162</v>
      </c>
      <c r="F36" s="136" t="s">
        <v>171</v>
      </c>
      <c r="G36" s="136" t="s">
        <v>275</v>
      </c>
      <c r="H36" s="192">
        <v>0.48298999999999997</v>
      </c>
      <c r="I36" s="202">
        <v>0.47270271626075161</v>
      </c>
      <c r="J36" s="202"/>
      <c r="K36" s="203">
        <v>4.7497140563271896E-4</v>
      </c>
      <c r="L36" s="202">
        <v>0.15878678492512568</v>
      </c>
      <c r="M36" s="128" t="s">
        <v>111</v>
      </c>
      <c r="N36" s="203">
        <v>7.0742762900091131E-3</v>
      </c>
      <c r="O36" s="202">
        <v>0.3078807141379945</v>
      </c>
      <c r="P36" s="128" t="s">
        <v>111</v>
      </c>
      <c r="Q36" s="203">
        <v>7.6224531202219187E-3</v>
      </c>
      <c r="R36" s="202">
        <v>0.60373747546467693</v>
      </c>
      <c r="S36" s="128" t="s">
        <v>111</v>
      </c>
      <c r="T36" s="203">
        <v>1.108467441488676E-2</v>
      </c>
      <c r="U36" s="202">
        <v>1.2836832020283806</v>
      </c>
      <c r="V36" s="128" t="s">
        <v>111</v>
      </c>
      <c r="W36" s="203">
        <v>2.7237432132137862E-2</v>
      </c>
      <c r="X36" s="202">
        <v>0.42336718349537567</v>
      </c>
      <c r="Y36" s="128" t="s">
        <v>111</v>
      </c>
      <c r="Z36" s="203">
        <v>9.7702390711090683E-3</v>
      </c>
      <c r="AA36" s="202">
        <v>4.3693789848297744</v>
      </c>
      <c r="AB36" s="128" t="s">
        <v>111</v>
      </c>
      <c r="AC36" s="203">
        <v>0.10092970027734739</v>
      </c>
      <c r="AD36" s="202">
        <v>0.22416315128211128</v>
      </c>
      <c r="AE36" s="128" t="s">
        <v>111</v>
      </c>
      <c r="AF36" s="203">
        <v>7.5066669688123033E-5</v>
      </c>
      <c r="AG36" s="202">
        <f t="shared" si="1"/>
        <v>0.2193569092701283</v>
      </c>
      <c r="AH36" s="202"/>
      <c r="AJ36" s="200"/>
      <c r="AK36" s="200"/>
      <c r="AL36" s="200"/>
      <c r="AM36" s="200"/>
      <c r="AN36" s="200"/>
      <c r="AO36" s="200"/>
    </row>
    <row r="37" spans="1:48">
      <c r="A37" s="135" t="s">
        <v>247</v>
      </c>
      <c r="B37" s="136">
        <v>1</v>
      </c>
      <c r="C37" s="136">
        <v>6</v>
      </c>
      <c r="D37" s="194">
        <f t="shared" si="3"/>
        <v>65.995000000000005</v>
      </c>
      <c r="E37" s="136" t="s">
        <v>162</v>
      </c>
      <c r="F37" s="136" t="s">
        <v>171</v>
      </c>
      <c r="G37" s="136" t="s">
        <v>275</v>
      </c>
      <c r="H37" s="135">
        <v>0.48575000000000002</v>
      </c>
      <c r="I37" s="202">
        <v>0.49322326991152815</v>
      </c>
      <c r="J37" s="202"/>
      <c r="K37" s="203">
        <v>7.9770642569905307E-4</v>
      </c>
      <c r="L37" s="202">
        <v>0.29168860302590094</v>
      </c>
      <c r="M37" s="128" t="s">
        <v>111</v>
      </c>
      <c r="N37" s="203">
        <v>1.6288938129010909E-2</v>
      </c>
      <c r="O37" s="202">
        <v>0.44601331499817137</v>
      </c>
      <c r="P37" s="128" t="s">
        <v>111</v>
      </c>
      <c r="Q37" s="203">
        <v>8.0252984295572302E-3</v>
      </c>
      <c r="R37" s="202">
        <v>0.48370971311372474</v>
      </c>
      <c r="S37" s="128" t="s">
        <v>111</v>
      </c>
      <c r="T37" s="203">
        <v>1.1745790193794165E-2</v>
      </c>
      <c r="U37" s="202">
        <v>1.1760326016777445</v>
      </c>
      <c r="V37" s="128" t="s">
        <v>111</v>
      </c>
      <c r="W37" s="203">
        <v>2.1500858442427755E-2</v>
      </c>
      <c r="X37" s="202">
        <v>0.60622720241823369</v>
      </c>
      <c r="Y37" s="128" t="s">
        <v>111</v>
      </c>
      <c r="Z37" s="203">
        <v>9.5958880795874984E-3</v>
      </c>
      <c r="AA37" s="202">
        <v>6.0701118384157757</v>
      </c>
      <c r="AB37" s="128" t="s">
        <v>111</v>
      </c>
      <c r="AC37" s="203">
        <v>9.6583225939445475E-2</v>
      </c>
      <c r="AD37" s="202">
        <v>0.31972549652723842</v>
      </c>
      <c r="AE37" s="128" t="s">
        <v>111</v>
      </c>
      <c r="AF37" s="203">
        <v>1.1729308736704858E-4</v>
      </c>
      <c r="AG37" s="202">
        <f t="shared" si="1"/>
        <v>0.31304787972514969</v>
      </c>
      <c r="AH37" s="202"/>
      <c r="AJ37" s="200"/>
      <c r="AK37" s="200"/>
      <c r="AL37" s="200"/>
      <c r="AM37" s="200"/>
      <c r="AN37" s="200"/>
      <c r="AO37" s="200"/>
    </row>
    <row r="38" spans="1:48">
      <c r="B38" s="136"/>
      <c r="C38" s="136" t="s">
        <v>248</v>
      </c>
      <c r="D38" s="136"/>
      <c r="E38" s="136" t="s">
        <v>249</v>
      </c>
      <c r="F38" s="136" t="s">
        <v>249</v>
      </c>
      <c r="G38" s="136"/>
      <c r="AG38" s="202"/>
      <c r="AH38" s="202"/>
      <c r="AJ38" s="200"/>
      <c r="AK38" s="200"/>
      <c r="AL38" s="200"/>
      <c r="AM38" s="200"/>
      <c r="AN38" s="200"/>
      <c r="AO38" s="200"/>
    </row>
    <row r="39" spans="1:48">
      <c r="B39" s="136"/>
      <c r="C39" s="136"/>
      <c r="D39" s="214"/>
      <c r="E39" s="136"/>
      <c r="F39" s="136"/>
      <c r="G39" s="136"/>
      <c r="AG39" s="202"/>
      <c r="AH39" s="202"/>
      <c r="AJ39" s="200"/>
      <c r="AK39" s="200"/>
      <c r="AL39" s="200"/>
      <c r="AM39" s="200"/>
      <c r="AN39" s="200"/>
      <c r="AO39" s="200"/>
    </row>
    <row r="40" spans="1:48">
      <c r="A40" s="191" t="s">
        <v>264</v>
      </c>
      <c r="C40" s="136"/>
      <c r="D40" s="136"/>
      <c r="E40" s="136"/>
      <c r="F40" s="136"/>
      <c r="G40" s="136"/>
      <c r="H40" s="157"/>
      <c r="AG40" s="202"/>
      <c r="AH40" s="202"/>
      <c r="AJ40" s="200"/>
      <c r="AK40" s="200"/>
      <c r="AL40" s="200"/>
      <c r="AM40" s="200"/>
      <c r="AN40" s="200"/>
      <c r="AO40" s="200"/>
    </row>
    <row r="41" spans="1:48">
      <c r="A41" s="135" t="s">
        <v>255</v>
      </c>
      <c r="B41" s="136">
        <v>198</v>
      </c>
      <c r="C41" s="198">
        <v>68</v>
      </c>
      <c r="D41" s="199">
        <f>66.001-(C41/1000)</f>
        <v>65.933000000000007</v>
      </c>
      <c r="E41" s="136" t="s">
        <v>157</v>
      </c>
      <c r="F41" s="136" t="s">
        <v>158</v>
      </c>
      <c r="G41" s="136" t="s">
        <v>275</v>
      </c>
      <c r="H41" s="157">
        <v>0.25267000000000001</v>
      </c>
      <c r="I41" s="202">
        <v>0.27937461546018483</v>
      </c>
      <c r="J41" s="128" t="s">
        <v>111</v>
      </c>
      <c r="K41" s="203">
        <v>5.5407931305039406E-4</v>
      </c>
      <c r="L41" s="202">
        <v>4.5956171887968411E-2</v>
      </c>
      <c r="M41" s="128" t="s">
        <v>111</v>
      </c>
      <c r="N41" s="203">
        <v>2.2828554020746178E-3</v>
      </c>
      <c r="O41" s="202">
        <v>5.8688101235143869E-2</v>
      </c>
      <c r="P41" s="128" t="s">
        <v>111</v>
      </c>
      <c r="Q41" s="203">
        <v>5.0377801947048577E-3</v>
      </c>
      <c r="R41" s="202">
        <v>0.29406038502683957</v>
      </c>
      <c r="S41" s="128" t="s">
        <v>111</v>
      </c>
      <c r="T41" s="203">
        <v>1.7434666938236618E-2</v>
      </c>
      <c r="U41" s="202">
        <v>1.0045953172549325</v>
      </c>
      <c r="V41" s="128" t="s">
        <v>111</v>
      </c>
      <c r="W41" s="203">
        <v>6.5276227230029338E-3</v>
      </c>
      <c r="X41" s="202">
        <v>7.8140083442865549E-2</v>
      </c>
      <c r="Y41" s="128" t="s">
        <v>111</v>
      </c>
      <c r="Z41" s="203">
        <v>1.3637347372666255E-3</v>
      </c>
      <c r="AA41" s="202">
        <v>1.3802709083196882</v>
      </c>
      <c r="AB41" s="128" t="s">
        <v>111</v>
      </c>
      <c r="AC41" s="203">
        <v>2.4244131759551681E-2</v>
      </c>
      <c r="AD41" s="202">
        <v>0.31380375036872837</v>
      </c>
      <c r="AE41" s="128" t="s">
        <v>111</v>
      </c>
      <c r="AF41" s="203">
        <v>5.5025100845423891E-4</v>
      </c>
      <c r="AG41" s="202">
        <f t="shared" si="1"/>
        <v>0.31228676736702832</v>
      </c>
      <c r="AH41" s="202"/>
      <c r="AJ41" s="200"/>
      <c r="AK41" s="200"/>
      <c r="AL41" s="200"/>
      <c r="AM41" s="200"/>
      <c r="AN41" s="200"/>
      <c r="AO41" s="200"/>
    </row>
    <row r="42" spans="1:48">
      <c r="A42" s="135" t="s">
        <v>256</v>
      </c>
      <c r="B42" s="136">
        <v>78</v>
      </c>
      <c r="C42" s="198">
        <v>29</v>
      </c>
      <c r="D42" s="199">
        <f t="shared" ref="D42:D45" si="4">66.001-(C42/1000)</f>
        <v>65.972000000000008</v>
      </c>
      <c r="E42" s="136" t="s">
        <v>229</v>
      </c>
      <c r="F42" s="136" t="s">
        <v>171</v>
      </c>
      <c r="G42" s="136" t="s">
        <v>275</v>
      </c>
      <c r="H42" s="157">
        <v>0.25144</v>
      </c>
      <c r="I42" s="202">
        <v>0.30312556555102083</v>
      </c>
      <c r="J42" s="128" t="s">
        <v>111</v>
      </c>
      <c r="K42" s="203">
        <v>5.1922412052166859E-4</v>
      </c>
      <c r="L42" s="202">
        <v>7.3378659248340722E-2</v>
      </c>
      <c r="M42" s="128" t="s">
        <v>111</v>
      </c>
      <c r="N42" s="203">
        <v>3.333240054087673E-3</v>
      </c>
      <c r="O42" s="202">
        <v>0.11275993279763784</v>
      </c>
      <c r="P42" s="128" t="s">
        <v>111</v>
      </c>
      <c r="Q42" s="203">
        <v>6.4130077931203499E-3</v>
      </c>
      <c r="R42" s="202">
        <v>0.31757527379296879</v>
      </c>
      <c r="S42" s="128" t="s">
        <v>111</v>
      </c>
      <c r="T42" s="203">
        <v>1.4864456073743912E-2</v>
      </c>
      <c r="U42" s="202">
        <v>1.3091103544090805</v>
      </c>
      <c r="V42" s="128" t="s">
        <v>111</v>
      </c>
      <c r="W42" s="203">
        <v>3.4282384893443499E-2</v>
      </c>
      <c r="X42" s="202">
        <v>0.10989492793920615</v>
      </c>
      <c r="Y42" s="128" t="s">
        <v>111</v>
      </c>
      <c r="Z42" s="203">
        <v>1.7225483977088597E-3</v>
      </c>
      <c r="AA42" s="202">
        <v>1.7773880440215686</v>
      </c>
      <c r="AB42" s="128" t="s">
        <v>111</v>
      </c>
      <c r="AC42" s="203">
        <v>2.8025530955514556E-2</v>
      </c>
      <c r="AD42" s="202">
        <v>0.26244299602931653</v>
      </c>
      <c r="AE42" s="128" t="s">
        <v>111</v>
      </c>
      <c r="AF42" s="203">
        <v>4.2926616678082286E-4</v>
      </c>
      <c r="AG42" s="202">
        <f t="shared" si="1"/>
        <v>0.26048840640597559</v>
      </c>
      <c r="AH42" s="202"/>
      <c r="AJ42" s="200"/>
      <c r="AK42" s="200"/>
      <c r="AL42" s="200"/>
      <c r="AM42" s="200"/>
      <c r="AN42" s="200"/>
      <c r="AO42" s="200"/>
    </row>
    <row r="43" spans="1:48">
      <c r="A43" s="135" t="s">
        <v>257</v>
      </c>
      <c r="B43" s="136">
        <v>33</v>
      </c>
      <c r="C43" s="196">
        <v>18</v>
      </c>
      <c r="D43" s="199">
        <f t="shared" si="4"/>
        <v>65.983000000000004</v>
      </c>
      <c r="E43" s="136" t="s">
        <v>161</v>
      </c>
      <c r="F43" s="136" t="s">
        <v>171</v>
      </c>
      <c r="G43" s="136" t="s">
        <v>275</v>
      </c>
      <c r="H43" s="157">
        <v>0.48507</v>
      </c>
      <c r="I43" s="202">
        <v>0.33661340453724065</v>
      </c>
      <c r="J43" s="128" t="s">
        <v>111</v>
      </c>
      <c r="K43" s="203">
        <v>2.2305583357824424E-4</v>
      </c>
      <c r="L43" s="202">
        <v>0.12043996632450552</v>
      </c>
      <c r="M43" s="128" t="s">
        <v>111</v>
      </c>
      <c r="N43" s="203">
        <v>3.8287780538054051E-3</v>
      </c>
      <c r="O43" s="202">
        <v>0.16258449884852669</v>
      </c>
      <c r="P43" s="128" t="s">
        <v>111</v>
      </c>
      <c r="Q43" s="203">
        <v>3.6854750305424324E-3</v>
      </c>
      <c r="R43" s="202">
        <v>0.50894313465878327</v>
      </c>
      <c r="S43" s="128" t="s">
        <v>111</v>
      </c>
      <c r="T43" s="203">
        <v>1.4835211273525318E-2</v>
      </c>
      <c r="U43" s="202">
        <v>1.518660296600395</v>
      </c>
      <c r="V43" s="128" t="s">
        <v>111</v>
      </c>
      <c r="W43" s="203">
        <v>6.1708421327815267E-2</v>
      </c>
      <c r="X43" s="202">
        <v>0.15208074399833996</v>
      </c>
      <c r="Y43" s="128" t="s">
        <v>111</v>
      </c>
      <c r="Z43" s="203">
        <v>1.6688895475873656E-3</v>
      </c>
      <c r="AA43" s="202">
        <v>2.2194539139079166</v>
      </c>
      <c r="AB43" s="128" t="s">
        <v>111</v>
      </c>
      <c r="AC43" s="203">
        <v>2.4400001391025914E-2</v>
      </c>
      <c r="AD43" s="202">
        <v>0.27819497764128975</v>
      </c>
      <c r="AE43" s="128" t="s">
        <v>111</v>
      </c>
      <c r="AF43" s="203">
        <v>9.8968582829733753E-5</v>
      </c>
      <c r="AG43" s="202">
        <f t="shared" si="1"/>
        <v>0.27575384199340769</v>
      </c>
      <c r="AH43" s="202"/>
      <c r="AJ43" s="200"/>
      <c r="AK43" s="200"/>
      <c r="AL43" s="200"/>
      <c r="AM43" s="200"/>
      <c r="AN43" s="200"/>
      <c r="AO43" s="200"/>
    </row>
    <row r="44" spans="1:48">
      <c r="A44" s="135" t="s">
        <v>258</v>
      </c>
      <c r="B44" s="136">
        <v>18</v>
      </c>
      <c r="C44" s="196">
        <v>11.333333333333332</v>
      </c>
      <c r="D44" s="199">
        <f t="shared" si="4"/>
        <v>65.989666666666665</v>
      </c>
      <c r="E44" s="136" t="s">
        <v>162</v>
      </c>
      <c r="F44" s="136" t="s">
        <v>171</v>
      </c>
      <c r="G44" s="136" t="s">
        <v>275</v>
      </c>
      <c r="H44" s="157">
        <v>0.24864</v>
      </c>
      <c r="I44" s="202">
        <v>0.31383772584902953</v>
      </c>
      <c r="J44" s="128" t="s">
        <v>111</v>
      </c>
      <c r="K44" s="203">
        <v>1.1468252757700153E-3</v>
      </c>
      <c r="L44" s="202">
        <v>0.16576166223036967</v>
      </c>
      <c r="M44" s="128" t="s">
        <v>111</v>
      </c>
      <c r="N44" s="203">
        <v>6.8266629279339179E-3</v>
      </c>
      <c r="O44" s="202">
        <v>0.26603481493338754</v>
      </c>
      <c r="P44" s="128" t="s">
        <v>111</v>
      </c>
      <c r="Q44" s="203">
        <v>4.984311725279451E-3</v>
      </c>
      <c r="R44" s="202">
        <v>1.1140639443199192</v>
      </c>
      <c r="S44" s="128" t="s">
        <v>111</v>
      </c>
      <c r="T44" s="203">
        <v>3.5567807977235688E-2</v>
      </c>
      <c r="U44" s="202">
        <v>1.6398572360462409</v>
      </c>
      <c r="V44" s="128" t="s">
        <v>111</v>
      </c>
      <c r="W44" s="203">
        <v>3.4540257436057237E-2</v>
      </c>
      <c r="X44" s="202">
        <v>0.21049595541886457</v>
      </c>
      <c r="Y44" s="128" t="s">
        <v>111</v>
      </c>
      <c r="Z44" s="203">
        <v>2.2866865502497039E-3</v>
      </c>
      <c r="AA44" s="202">
        <v>3.2926662188168851</v>
      </c>
      <c r="AB44" s="128" t="s">
        <v>111</v>
      </c>
      <c r="AC44" s="203">
        <v>3.7738760598548714E-2</v>
      </c>
      <c r="AD44" s="202">
        <v>0.27290188546071897</v>
      </c>
      <c r="AE44" s="128" t="s">
        <v>111</v>
      </c>
      <c r="AF44" s="203">
        <v>5.4245844946929078E-4</v>
      </c>
      <c r="AG44" s="202">
        <f t="shared" si="1"/>
        <v>0.26927997766071582</v>
      </c>
      <c r="AH44" s="202"/>
      <c r="AJ44" s="200"/>
      <c r="AK44" s="200"/>
      <c r="AL44" s="200"/>
      <c r="AM44" s="200"/>
      <c r="AN44" s="200"/>
      <c r="AO44" s="200"/>
    </row>
    <row r="45" spans="1:48">
      <c r="A45" s="135" t="s">
        <v>259</v>
      </c>
      <c r="B45" s="136">
        <v>6</v>
      </c>
      <c r="C45" s="198">
        <v>6</v>
      </c>
      <c r="D45" s="199">
        <f t="shared" si="4"/>
        <v>65.995000000000005</v>
      </c>
      <c r="E45" s="136" t="s">
        <v>162</v>
      </c>
      <c r="F45" s="136" t="s">
        <v>171</v>
      </c>
      <c r="G45" s="136" t="s">
        <v>275</v>
      </c>
      <c r="H45" s="157">
        <v>0.49469000000000002</v>
      </c>
      <c r="I45" s="202">
        <v>0.44734002352202862</v>
      </c>
      <c r="J45" s="128" t="s">
        <v>111</v>
      </c>
      <c r="K45" s="203">
        <v>3.469303463838223E-4</v>
      </c>
      <c r="L45" s="202">
        <v>0.30397861652419994</v>
      </c>
      <c r="M45" s="128" t="s">
        <v>111</v>
      </c>
      <c r="N45" s="203">
        <v>1.1983694554981427E-2</v>
      </c>
      <c r="O45" s="202">
        <v>0.38518292016061639</v>
      </c>
      <c r="P45" s="128" t="s">
        <v>111</v>
      </c>
      <c r="Q45" s="203">
        <v>5.606126466201916E-3</v>
      </c>
      <c r="R45" s="202">
        <v>0.66889716028810842</v>
      </c>
      <c r="S45" s="128" t="s">
        <v>111</v>
      </c>
      <c r="T45" s="203">
        <v>1.6402133366796561E-2</v>
      </c>
      <c r="U45" s="202">
        <v>1.6026583282728168</v>
      </c>
      <c r="V45" s="128" t="s">
        <v>111</v>
      </c>
      <c r="W45" s="203">
        <v>2.9480975570487695E-2</v>
      </c>
      <c r="X45" s="202">
        <v>0.38153297271572573</v>
      </c>
      <c r="Y45" s="128" t="s">
        <v>111</v>
      </c>
      <c r="Z45" s="203">
        <v>5.0116162956612142E-3</v>
      </c>
      <c r="AA45" s="202">
        <v>4.1838899880378193</v>
      </c>
      <c r="AB45" s="128" t="s">
        <v>111</v>
      </c>
      <c r="AC45" s="203">
        <v>5.505308175393165E-2</v>
      </c>
      <c r="AD45" s="202">
        <v>0.26709198753112384</v>
      </c>
      <c r="AE45" s="128" t="s">
        <v>111</v>
      </c>
      <c r="AF45" s="203">
        <v>6.3241654507828482E-5</v>
      </c>
      <c r="AG45" s="202">
        <f t="shared" si="1"/>
        <v>0.26248936820121316</v>
      </c>
      <c r="AH45" s="202"/>
      <c r="AJ45" s="200"/>
      <c r="AK45" s="200"/>
      <c r="AL45" s="200"/>
      <c r="AM45" s="200"/>
      <c r="AN45" s="200"/>
      <c r="AO45" s="200"/>
    </row>
    <row r="46" spans="1:48">
      <c r="A46" s="135" t="s">
        <v>267</v>
      </c>
      <c r="B46" s="136">
        <v>1</v>
      </c>
      <c r="C46" s="141" t="s">
        <v>268</v>
      </c>
      <c r="D46" s="141" t="s">
        <v>269</v>
      </c>
      <c r="E46" s="141" t="s">
        <v>270</v>
      </c>
      <c r="F46" s="141" t="s">
        <v>271</v>
      </c>
      <c r="G46" s="136" t="s">
        <v>275</v>
      </c>
      <c r="H46" s="157">
        <v>0.49336999999999998</v>
      </c>
      <c r="I46" s="202">
        <v>0.61053767158700878</v>
      </c>
      <c r="J46" s="128" t="s">
        <v>111</v>
      </c>
      <c r="K46" s="203">
        <v>8.2213458525959141E-4</v>
      </c>
      <c r="L46" s="202">
        <v>0.82785968441568425</v>
      </c>
      <c r="M46" s="128" t="s">
        <v>111</v>
      </c>
      <c r="N46" s="203">
        <v>6.3378583082758524E-2</v>
      </c>
      <c r="O46" s="202">
        <v>0.96573470735179456</v>
      </c>
      <c r="P46" s="128" t="s">
        <v>111</v>
      </c>
      <c r="Q46" s="203">
        <v>3.2713042411687515E-2</v>
      </c>
      <c r="R46" s="202">
        <v>1.4245760864332888</v>
      </c>
      <c r="S46" s="128" t="s">
        <v>111</v>
      </c>
      <c r="T46" s="203">
        <v>3.8109843889329857E-2</v>
      </c>
      <c r="U46" s="202">
        <v>1.2570750755107576</v>
      </c>
      <c r="V46" s="128" t="s">
        <v>111</v>
      </c>
      <c r="W46" s="203">
        <v>2.7771156768211482E-2</v>
      </c>
      <c r="X46" s="202">
        <v>0.51973684219192018</v>
      </c>
      <c r="Y46" s="128" t="s">
        <v>111</v>
      </c>
      <c r="Z46" s="203">
        <v>1.1312471871804102E-2</v>
      </c>
      <c r="AA46" s="202">
        <v>4.1644142117659451</v>
      </c>
      <c r="AB46" s="128" t="s">
        <v>111</v>
      </c>
      <c r="AC46" s="203">
        <v>9.0814975260529313E-2</v>
      </c>
      <c r="AD46" s="202">
        <v>0.24550125540552761</v>
      </c>
      <c r="AE46" s="128" t="s">
        <v>111</v>
      </c>
      <c r="AF46" s="203">
        <v>9.3972070767819882E-5</v>
      </c>
      <c r="AG46" s="202"/>
      <c r="AH46" s="202"/>
      <c r="AJ46" s="200"/>
      <c r="AK46" s="200"/>
      <c r="AL46" s="200"/>
      <c r="AM46" s="200"/>
      <c r="AN46" s="200"/>
      <c r="AO46" s="200"/>
    </row>
    <row r="47" spans="1:48">
      <c r="A47" s="145"/>
      <c r="B47" s="145"/>
      <c r="C47" s="145"/>
      <c r="D47" s="145"/>
      <c r="E47" s="148" t="s">
        <v>163</v>
      </c>
      <c r="F47" s="148" t="s">
        <v>163</v>
      </c>
      <c r="G47" s="148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Q47" s="136"/>
      <c r="AR47" s="136"/>
      <c r="AS47" s="136"/>
      <c r="AT47" s="136"/>
      <c r="AU47" s="136"/>
      <c r="AV47" s="136"/>
    </row>
    <row r="48" spans="1:48">
      <c r="A48" s="2" t="s">
        <v>147</v>
      </c>
      <c r="AJ48" s="200"/>
      <c r="AK48" s="200"/>
      <c r="AL48" s="200"/>
      <c r="AM48" s="200"/>
      <c r="AN48" s="200"/>
      <c r="AO48" s="200"/>
      <c r="AS48" s="226"/>
      <c r="AT48" s="226"/>
      <c r="AU48" s="226"/>
    </row>
    <row r="49" spans="1:47" ht="18">
      <c r="A49" s="2" t="s">
        <v>409</v>
      </c>
      <c r="AJ49" s="200"/>
      <c r="AK49" s="200"/>
      <c r="AL49" s="200"/>
      <c r="AM49" s="200"/>
      <c r="AN49" s="200"/>
      <c r="AO49" s="200"/>
      <c r="AT49" s="142"/>
      <c r="AU49" s="142"/>
    </row>
    <row r="50" spans="1:47" ht="18">
      <c r="A50" s="2" t="s">
        <v>408</v>
      </c>
    </row>
    <row r="51" spans="1:47">
      <c r="A51" s="135" t="s">
        <v>386</v>
      </c>
      <c r="B51" s="136"/>
    </row>
    <row r="52" spans="1:47">
      <c r="A52" s="135" t="s">
        <v>265</v>
      </c>
    </row>
  </sheetData>
  <mergeCells count="8">
    <mergeCell ref="AA2:AC2"/>
    <mergeCell ref="AD2:AF2"/>
    <mergeCell ref="I2:K2"/>
    <mergeCell ref="L2:N2"/>
    <mergeCell ref="O2:Q2"/>
    <mergeCell ref="R2:T2"/>
    <mergeCell ref="U2:W2"/>
    <mergeCell ref="X2:Z2"/>
  </mergeCells>
  <phoneticPr fontId="2"/>
  <pageMargins left="0.7" right="0.7" top="0.75" bottom="0.75" header="0.3" footer="0.3"/>
  <pageSetup paperSize="9" scale="44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D5E10-29A7-B642-9F1A-946E16FD40A8}">
  <dimension ref="A1:AJ1138"/>
  <sheetViews>
    <sheetView zoomScaleNormal="100" zoomScalePageLayoutView="84" workbookViewId="0">
      <selection activeCell="A2" sqref="A2"/>
    </sheetView>
  </sheetViews>
  <sheetFormatPr baseColWidth="10" defaultColWidth="6.7109375" defaultRowHeight="16"/>
  <cols>
    <col min="1" max="1" width="60.7109375" style="2" customWidth="1"/>
    <col min="2" max="7" width="8.7109375" style="2" customWidth="1"/>
    <col min="8" max="8" width="2.140625" style="2" customWidth="1"/>
    <col min="9" max="9" width="8.7109375" style="2" customWidth="1"/>
    <col min="10" max="10" width="11.7109375" style="2" customWidth="1"/>
    <col min="11" max="11" width="22.7109375" style="2" customWidth="1"/>
    <col min="12" max="12" width="7.7109375" style="2" customWidth="1"/>
    <col min="13" max="13" width="7.28515625" style="2" bestFit="1" customWidth="1"/>
    <col min="14" max="14" width="7.42578125" style="2" bestFit="1" customWidth="1"/>
    <col min="15" max="15" width="7.140625" style="2" bestFit="1" customWidth="1"/>
    <col min="16" max="16" width="7.42578125" style="2" bestFit="1" customWidth="1"/>
    <col min="17" max="17" width="7.140625" style="2" bestFit="1" customWidth="1"/>
    <col min="18" max="18" width="7.28515625" style="2" bestFit="1" customWidth="1"/>
    <col min="19" max="27" width="6.7109375" style="2"/>
    <col min="28" max="29" width="7" style="2" bestFit="1" customWidth="1"/>
    <col min="30" max="30" width="8.85546875" style="2" bestFit="1" customWidth="1"/>
    <col min="31" max="31" width="7" style="2" bestFit="1" customWidth="1"/>
    <col min="32" max="32" width="6.7109375" style="2"/>
    <col min="33" max="33" width="7" style="2" bestFit="1" customWidth="1"/>
    <col min="34" max="34" width="6.7109375" style="2"/>
    <col min="35" max="35" width="7.42578125" style="2" bestFit="1" customWidth="1"/>
    <col min="36" max="16384" width="6.7109375" style="2"/>
  </cols>
  <sheetData>
    <row r="1" spans="1:33">
      <c r="A1" s="2" t="s">
        <v>405</v>
      </c>
    </row>
    <row r="2" spans="1:33" s="58" customFormat="1" ht="35" customHeight="1">
      <c r="A2" s="77" t="s">
        <v>102</v>
      </c>
      <c r="B2" s="78" t="s">
        <v>143</v>
      </c>
      <c r="C2" s="78" t="s">
        <v>140</v>
      </c>
      <c r="D2" s="81" t="s">
        <v>0</v>
      </c>
      <c r="E2" s="81" t="s">
        <v>5</v>
      </c>
      <c r="F2" s="81" t="s">
        <v>183</v>
      </c>
      <c r="G2" s="292" t="s">
        <v>184</v>
      </c>
      <c r="H2" s="292"/>
      <c r="I2" s="292"/>
      <c r="J2" s="79" t="s">
        <v>383</v>
      </c>
      <c r="K2" s="79" t="s">
        <v>138</v>
      </c>
      <c r="L2" s="75"/>
      <c r="M2" s="76"/>
      <c r="N2" s="76"/>
      <c r="O2" s="76"/>
      <c r="P2" s="76"/>
      <c r="Q2" s="76"/>
      <c r="R2" s="76"/>
      <c r="S2" s="62"/>
      <c r="T2" s="76"/>
      <c r="U2" s="76"/>
      <c r="V2" s="76"/>
      <c r="W2" s="76"/>
      <c r="X2" s="76"/>
      <c r="Y2" s="76"/>
      <c r="Z2" s="62"/>
      <c r="AB2" s="76"/>
      <c r="AC2" s="76"/>
      <c r="AD2" s="76"/>
      <c r="AE2" s="76"/>
      <c r="AF2" s="76"/>
      <c r="AG2" s="76"/>
    </row>
    <row r="3" spans="1:33" ht="30" customHeight="1">
      <c r="A3" s="72"/>
      <c r="B3" s="73"/>
      <c r="C3" s="211"/>
      <c r="D3" s="60"/>
      <c r="E3" s="60"/>
      <c r="F3" s="60"/>
      <c r="G3" s="60"/>
      <c r="H3" s="60"/>
      <c r="I3" s="60"/>
      <c r="J3" s="61"/>
      <c r="K3" s="9"/>
      <c r="L3" s="9"/>
      <c r="M3" s="7"/>
      <c r="N3" s="7"/>
      <c r="O3" s="7"/>
      <c r="P3" s="7"/>
      <c r="Q3" s="7"/>
      <c r="R3" s="7"/>
      <c r="S3" s="5"/>
      <c r="T3" s="7"/>
      <c r="U3" s="7"/>
      <c r="V3" s="7"/>
      <c r="W3" s="7"/>
      <c r="X3" s="7"/>
      <c r="Y3" s="7"/>
      <c r="Z3" s="5"/>
      <c r="AB3" s="7"/>
      <c r="AC3" s="7"/>
      <c r="AD3" s="7"/>
      <c r="AE3" s="7"/>
      <c r="AF3" s="7"/>
      <c r="AG3" s="7"/>
    </row>
    <row r="4" spans="1:33">
      <c r="A4" s="70" t="s">
        <v>67</v>
      </c>
      <c r="B4" s="58">
        <v>214.35</v>
      </c>
      <c r="C4" s="65"/>
      <c r="D4" s="6">
        <v>5.16E-2</v>
      </c>
      <c r="E4" s="2">
        <v>8.5000000000000006E-2</v>
      </c>
      <c r="F4" s="12">
        <v>8.1999999999999993</v>
      </c>
      <c r="G4" s="3">
        <v>0.40600000000000003</v>
      </c>
      <c r="H4" s="64" t="s">
        <v>111</v>
      </c>
      <c r="I4" s="3">
        <v>2.5000000000000001E-3</v>
      </c>
      <c r="J4" s="210"/>
      <c r="K4" s="132" t="s">
        <v>144</v>
      </c>
      <c r="L4" s="11"/>
      <c r="M4" s="7"/>
      <c r="N4" s="7"/>
      <c r="O4" s="7"/>
      <c r="P4" s="7"/>
      <c r="Q4" s="7"/>
      <c r="R4" s="7"/>
      <c r="S4" s="5"/>
      <c r="T4" s="7"/>
      <c r="U4" s="7"/>
      <c r="V4" s="7"/>
      <c r="W4" s="7"/>
      <c r="X4" s="7"/>
      <c r="Y4" s="7"/>
      <c r="Z4" s="5"/>
      <c r="AB4" s="7"/>
      <c r="AC4" s="7"/>
      <c r="AD4" s="7"/>
      <c r="AE4" s="7"/>
      <c r="AF4" s="7"/>
      <c r="AG4" s="7"/>
    </row>
    <row r="5" spans="1:33">
      <c r="A5" s="70" t="s">
        <v>68</v>
      </c>
      <c r="B5" s="58">
        <v>214.52</v>
      </c>
      <c r="C5" s="65"/>
      <c r="D5" s="83">
        <v>5.1499999999999997E-2</v>
      </c>
      <c r="E5" s="2">
        <v>8.6999999999999994E-2</v>
      </c>
      <c r="F5" s="84">
        <v>8.4</v>
      </c>
      <c r="G5" s="3">
        <v>0.39500000000000002</v>
      </c>
      <c r="H5" s="64" t="s">
        <v>111</v>
      </c>
      <c r="I5" s="3">
        <v>2.8E-3</v>
      </c>
      <c r="J5" s="210"/>
      <c r="K5" s="83" t="s">
        <v>144</v>
      </c>
      <c r="L5" s="11"/>
      <c r="M5" s="85"/>
      <c r="N5" s="85"/>
      <c r="O5" s="85"/>
      <c r="P5" s="85"/>
      <c r="Q5" s="85"/>
      <c r="R5" s="85"/>
      <c r="T5" s="84"/>
      <c r="U5" s="111"/>
      <c r="V5" s="111"/>
      <c r="W5" s="84"/>
      <c r="X5" s="84"/>
      <c r="Y5" s="84"/>
      <c r="Z5" s="88"/>
      <c r="AB5" s="83"/>
      <c r="AC5" s="83"/>
      <c r="AD5" s="83"/>
      <c r="AE5" s="83"/>
      <c r="AF5" s="83"/>
      <c r="AG5" s="83"/>
    </row>
    <row r="6" spans="1:33">
      <c r="A6" s="71" t="s">
        <v>331</v>
      </c>
      <c r="B6" s="59">
        <v>214.58</v>
      </c>
      <c r="C6" s="208">
        <v>65.555000000000007</v>
      </c>
      <c r="D6" s="83"/>
      <c r="F6" s="84"/>
      <c r="G6" s="3"/>
      <c r="H6" s="64"/>
      <c r="I6" s="3"/>
      <c r="J6" s="210"/>
      <c r="K6" s="83"/>
      <c r="L6" s="11"/>
      <c r="M6" s="85"/>
      <c r="N6" s="85"/>
      <c r="O6" s="85"/>
      <c r="P6" s="85"/>
      <c r="Q6" s="85"/>
      <c r="R6" s="85"/>
      <c r="T6" s="84"/>
      <c r="U6" s="111"/>
      <c r="V6" s="111"/>
      <c r="W6" s="84"/>
      <c r="X6" s="84"/>
      <c r="Y6" s="84"/>
      <c r="Z6" s="88"/>
      <c r="AB6" s="83"/>
      <c r="AC6" s="83"/>
      <c r="AD6" s="83"/>
      <c r="AE6" s="83"/>
      <c r="AF6" s="83"/>
      <c r="AG6" s="83"/>
    </row>
    <row r="7" spans="1:33">
      <c r="A7" s="70" t="s">
        <v>69</v>
      </c>
      <c r="B7" s="58">
        <v>214.68</v>
      </c>
      <c r="C7" s="65">
        <v>65.589523809523811</v>
      </c>
      <c r="D7" s="83">
        <v>5.0700000000000002E-2</v>
      </c>
      <c r="E7" s="2">
        <v>0.104</v>
      </c>
      <c r="F7" s="84">
        <v>10.3</v>
      </c>
      <c r="G7" s="3">
        <v>0.41289999999999999</v>
      </c>
      <c r="H7" s="64" t="s">
        <v>111</v>
      </c>
      <c r="I7" s="3">
        <v>2.8999999999999998E-3</v>
      </c>
      <c r="J7" s="13">
        <f>G7-F7*(EXP(1.666*10^-11*C7*10^6)-1)</f>
        <v>0.40163881734584644</v>
      </c>
      <c r="K7" s="83" t="s">
        <v>144</v>
      </c>
      <c r="L7" s="11"/>
      <c r="M7" s="85"/>
      <c r="N7" s="85"/>
      <c r="O7" s="85"/>
      <c r="P7" s="85"/>
      <c r="Q7" s="85"/>
      <c r="R7" s="85"/>
      <c r="T7" s="84"/>
      <c r="U7" s="111"/>
      <c r="V7" s="111"/>
      <c r="W7" s="84"/>
      <c r="X7" s="84"/>
      <c r="Y7" s="84"/>
      <c r="Z7" s="88"/>
      <c r="AB7" s="83"/>
      <c r="AC7" s="83"/>
      <c r="AD7" s="83"/>
      <c r="AE7" s="83"/>
      <c r="AF7" s="83"/>
      <c r="AG7" s="83"/>
    </row>
    <row r="8" spans="1:33">
      <c r="A8" s="70" t="s">
        <v>70</v>
      </c>
      <c r="B8" s="58">
        <v>214.81</v>
      </c>
      <c r="C8" s="65">
        <v>65.634404761904761</v>
      </c>
      <c r="D8" s="83">
        <v>6.54E-2</v>
      </c>
      <c r="E8" s="2">
        <v>0.122</v>
      </c>
      <c r="F8" s="84">
        <v>9.3000000000000007</v>
      </c>
      <c r="G8" s="3">
        <v>0.40110000000000001</v>
      </c>
      <c r="H8" s="64" t="s">
        <v>111</v>
      </c>
      <c r="I8" s="3">
        <v>2.0999999999999999E-3</v>
      </c>
      <c r="J8" s="13">
        <f t="shared" ref="J8:J26" si="0">G8-F8*(EXP(1.666*10^-11*C8*10^6)-1)</f>
        <v>0.39092517467984755</v>
      </c>
      <c r="K8" s="83" t="s">
        <v>144</v>
      </c>
      <c r="L8" s="11"/>
      <c r="M8" s="85"/>
      <c r="N8" s="85"/>
      <c r="O8" s="85"/>
      <c r="P8" s="85"/>
      <c r="Q8" s="85"/>
      <c r="R8" s="85"/>
      <c r="T8" s="84"/>
      <c r="U8" s="111"/>
      <c r="V8" s="111"/>
      <c r="W8" s="84"/>
      <c r="X8" s="84"/>
      <c r="Y8" s="84"/>
      <c r="Z8" s="88"/>
      <c r="AB8" s="83"/>
      <c r="AC8" s="83"/>
      <c r="AD8" s="83"/>
      <c r="AE8" s="83"/>
      <c r="AF8" s="83"/>
      <c r="AG8" s="83"/>
    </row>
    <row r="9" spans="1:33">
      <c r="A9" s="70" t="s">
        <v>71</v>
      </c>
      <c r="B9" s="58">
        <v>214.96</v>
      </c>
      <c r="C9" s="65">
        <v>65.686190476190475</v>
      </c>
      <c r="D9" s="83">
        <v>3.39E-2</v>
      </c>
      <c r="E9" s="2">
        <v>0.108</v>
      </c>
      <c r="F9" s="84">
        <v>16</v>
      </c>
      <c r="G9" s="3">
        <v>0.45400000000000001</v>
      </c>
      <c r="H9" s="64" t="s">
        <v>111</v>
      </c>
      <c r="I9" s="3">
        <v>3.2000000000000002E-3</v>
      </c>
      <c r="J9" s="13">
        <f t="shared" si="0"/>
        <v>0.43648110507191912</v>
      </c>
      <c r="K9" s="83" t="s">
        <v>144</v>
      </c>
      <c r="L9" s="11"/>
      <c r="M9" s="85"/>
      <c r="N9" s="85"/>
      <c r="O9" s="85"/>
      <c r="P9" s="85"/>
      <c r="Q9" s="85"/>
      <c r="R9" s="85"/>
      <c r="T9" s="84"/>
      <c r="U9" s="111"/>
      <c r="V9" s="111"/>
      <c r="W9" s="84"/>
      <c r="X9" s="84"/>
      <c r="Y9" s="84"/>
      <c r="Z9" s="88"/>
      <c r="AB9" s="83"/>
      <c r="AC9" s="83"/>
      <c r="AD9" s="83"/>
      <c r="AE9" s="83"/>
      <c r="AF9" s="83"/>
      <c r="AG9" s="83"/>
    </row>
    <row r="10" spans="1:33">
      <c r="A10" s="71" t="s">
        <v>333</v>
      </c>
      <c r="B10" s="212">
        <v>215</v>
      </c>
      <c r="C10" s="208">
        <v>65.7</v>
      </c>
      <c r="D10" s="83"/>
      <c r="F10" s="84"/>
      <c r="G10" s="3"/>
      <c r="H10" s="64"/>
      <c r="I10" s="3"/>
      <c r="J10" s="13"/>
      <c r="K10" s="83"/>
      <c r="L10" s="11"/>
      <c r="M10" s="85"/>
      <c r="N10" s="85"/>
      <c r="O10" s="85"/>
      <c r="P10" s="85"/>
      <c r="Q10" s="85"/>
      <c r="R10" s="85"/>
      <c r="T10" s="84"/>
      <c r="U10" s="111"/>
      <c r="V10" s="111"/>
      <c r="W10" s="84"/>
      <c r="X10" s="84"/>
      <c r="Y10" s="84"/>
      <c r="Z10" s="88"/>
      <c r="AB10" s="83"/>
      <c r="AC10" s="83"/>
      <c r="AD10" s="83"/>
      <c r="AE10" s="83"/>
      <c r="AF10" s="83"/>
      <c r="AG10" s="83"/>
    </row>
    <row r="11" spans="1:33">
      <c r="A11" s="70" t="s">
        <v>72</v>
      </c>
      <c r="B11" s="58">
        <v>215.11</v>
      </c>
      <c r="C11" s="65">
        <v>65.721290322580657</v>
      </c>
      <c r="D11" s="83">
        <v>3.39E-2</v>
      </c>
      <c r="E11" s="2">
        <v>0.128</v>
      </c>
      <c r="F11" s="84">
        <v>19</v>
      </c>
      <c r="G11" s="3">
        <v>0.44319999999999998</v>
      </c>
      <c r="H11" s="64" t="s">
        <v>111</v>
      </c>
      <c r="I11" s="3">
        <v>3.5000000000000001E-3</v>
      </c>
      <c r="J11" s="13">
        <f t="shared" si="0"/>
        <v>0.42238518959903976</v>
      </c>
      <c r="K11" s="83" t="s">
        <v>144</v>
      </c>
      <c r="L11" s="11"/>
      <c r="M11" s="85"/>
      <c r="N11" s="85"/>
      <c r="O11" s="85"/>
      <c r="P11" s="85"/>
      <c r="Q11" s="85"/>
      <c r="R11" s="85"/>
      <c r="T11" s="84"/>
      <c r="U11" s="111"/>
      <c r="V11" s="111"/>
      <c r="W11" s="84"/>
      <c r="X11" s="84"/>
      <c r="Y11" s="84"/>
      <c r="Z11" s="88"/>
      <c r="AB11" s="83"/>
      <c r="AC11" s="83"/>
      <c r="AD11" s="83"/>
      <c r="AE11" s="83"/>
      <c r="AF11" s="83"/>
      <c r="AG11" s="83"/>
    </row>
    <row r="12" spans="1:33">
      <c r="A12" s="70" t="s">
        <v>73</v>
      </c>
      <c r="B12" s="58">
        <v>215.26</v>
      </c>
      <c r="C12" s="65">
        <v>65.750322580645161</v>
      </c>
      <c r="D12" s="83">
        <v>5.9900000000000002E-2</v>
      </c>
      <c r="E12" s="2">
        <v>0.113</v>
      </c>
      <c r="F12" s="84">
        <v>9.4</v>
      </c>
      <c r="G12" s="3">
        <v>0.4143</v>
      </c>
      <c r="H12" s="64" t="s">
        <v>111</v>
      </c>
      <c r="I12" s="3">
        <v>2.5999999999999999E-3</v>
      </c>
      <c r="J12" s="13">
        <f t="shared" si="0"/>
        <v>0.40399759488352643</v>
      </c>
      <c r="K12" s="83" t="s">
        <v>144</v>
      </c>
      <c r="L12" s="11"/>
      <c r="M12" s="85"/>
      <c r="N12" s="85"/>
      <c r="O12" s="85"/>
      <c r="P12" s="85"/>
      <c r="Q12" s="85"/>
      <c r="R12" s="85"/>
      <c r="T12" s="84"/>
      <c r="U12" s="111"/>
      <c r="V12" s="111"/>
      <c r="W12" s="84"/>
      <c r="X12" s="84"/>
      <c r="Y12" s="84"/>
      <c r="Z12" s="88"/>
      <c r="AB12" s="83"/>
      <c r="AC12" s="83"/>
      <c r="AD12" s="83"/>
      <c r="AE12" s="83"/>
      <c r="AF12" s="83"/>
      <c r="AG12" s="83"/>
    </row>
    <row r="13" spans="1:33" ht="18">
      <c r="A13" s="71" t="s">
        <v>332</v>
      </c>
      <c r="B13" s="58"/>
      <c r="C13" s="208">
        <v>65.760000000000005</v>
      </c>
      <c r="D13" s="83"/>
      <c r="F13" s="84"/>
      <c r="G13" s="3"/>
      <c r="H13" s="64"/>
      <c r="I13" s="3"/>
      <c r="J13" s="13"/>
      <c r="K13" s="83"/>
      <c r="L13" s="11"/>
      <c r="M13" s="85"/>
      <c r="N13" s="85"/>
      <c r="O13" s="85"/>
      <c r="P13" s="85"/>
      <c r="Q13" s="85"/>
      <c r="R13" s="85"/>
      <c r="T13" s="84"/>
      <c r="U13" s="111"/>
      <c r="V13" s="111"/>
      <c r="W13" s="84"/>
      <c r="X13" s="84"/>
      <c r="Y13" s="84"/>
      <c r="Z13" s="88"/>
      <c r="AB13" s="83"/>
      <c r="AC13" s="83"/>
      <c r="AD13" s="83"/>
      <c r="AE13" s="83"/>
      <c r="AF13" s="83"/>
      <c r="AG13" s="83"/>
    </row>
    <row r="14" spans="1:33">
      <c r="A14" s="70" t="s">
        <v>74</v>
      </c>
      <c r="B14" s="58">
        <v>215.41</v>
      </c>
      <c r="C14" s="65">
        <v>65.778067226890755</v>
      </c>
      <c r="D14" s="83">
        <v>5.7799999999999997E-2</v>
      </c>
      <c r="E14" s="2">
        <v>9.0999999999999998E-2</v>
      </c>
      <c r="F14" s="84">
        <v>7.9</v>
      </c>
      <c r="G14" s="3">
        <v>0.41820000000000002</v>
      </c>
      <c r="H14" s="64" t="s">
        <v>111</v>
      </c>
      <c r="I14" s="3">
        <v>2.5000000000000001E-3</v>
      </c>
      <c r="J14" s="13">
        <f t="shared" si="0"/>
        <v>0.40953794011313249</v>
      </c>
      <c r="K14" s="83" t="s">
        <v>144</v>
      </c>
      <c r="L14" s="11"/>
      <c r="M14" s="85"/>
      <c r="N14" s="85"/>
      <c r="O14" s="85"/>
      <c r="P14" s="85"/>
      <c r="Q14" s="85"/>
      <c r="R14" s="85"/>
      <c r="T14" s="84"/>
      <c r="U14" s="111"/>
      <c r="V14" s="111"/>
      <c r="W14" s="84"/>
      <c r="X14" s="84"/>
      <c r="Y14" s="84"/>
      <c r="Z14" s="88"/>
      <c r="AB14" s="83"/>
      <c r="AC14" s="83"/>
      <c r="AD14" s="83"/>
      <c r="AE14" s="83"/>
      <c r="AF14" s="83"/>
      <c r="AG14" s="83"/>
    </row>
    <row r="15" spans="1:33">
      <c r="A15" s="70" t="s">
        <v>75</v>
      </c>
      <c r="B15" s="58">
        <v>215.56</v>
      </c>
      <c r="C15" s="65">
        <v>65.805168067226887</v>
      </c>
      <c r="D15" s="83">
        <v>3.8299999999999994E-2</v>
      </c>
      <c r="E15" s="2">
        <v>0.12</v>
      </c>
      <c r="F15" s="84">
        <v>15.7</v>
      </c>
      <c r="G15" s="3">
        <v>0.42380000000000001</v>
      </c>
      <c r="H15" s="64" t="s">
        <v>111</v>
      </c>
      <c r="I15" s="3">
        <v>3.3E-3</v>
      </c>
      <c r="J15" s="13">
        <f t="shared" si="0"/>
        <v>0.40657843023000861</v>
      </c>
      <c r="K15" s="83" t="s">
        <v>144</v>
      </c>
      <c r="L15" s="11"/>
      <c r="M15" s="85"/>
      <c r="N15" s="85"/>
      <c r="O15" s="85"/>
      <c r="P15" s="85"/>
      <c r="Q15" s="85"/>
      <c r="R15" s="85"/>
      <c r="T15" s="84"/>
      <c r="U15" s="111"/>
      <c r="V15" s="111"/>
      <c r="W15" s="111"/>
      <c r="X15" s="84"/>
      <c r="Y15" s="84"/>
      <c r="Z15" s="88"/>
      <c r="AB15" s="83"/>
      <c r="AC15" s="83"/>
      <c r="AD15" s="83"/>
      <c r="AE15" s="83"/>
      <c r="AF15" s="83"/>
      <c r="AG15" s="83"/>
    </row>
    <row r="16" spans="1:33">
      <c r="A16" s="70" t="s">
        <v>76</v>
      </c>
      <c r="B16" s="58">
        <v>215.71</v>
      </c>
      <c r="C16" s="65">
        <v>65.832268907563034</v>
      </c>
      <c r="D16" s="83">
        <v>4.7700000000000006E-2</v>
      </c>
      <c r="E16" s="2">
        <v>0.114</v>
      </c>
      <c r="F16" s="84">
        <v>11.9</v>
      </c>
      <c r="G16" s="3">
        <v>0.39079999999999998</v>
      </c>
      <c r="H16" s="64" t="s">
        <v>111</v>
      </c>
      <c r="I16" s="3">
        <v>1.8E-3</v>
      </c>
      <c r="J16" s="13">
        <f t="shared" si="0"/>
        <v>0.37774132951873324</v>
      </c>
      <c r="K16" s="83" t="s">
        <v>144</v>
      </c>
      <c r="L16" s="11"/>
      <c r="M16" s="85"/>
      <c r="N16" s="85"/>
      <c r="O16" s="85"/>
      <c r="P16" s="85"/>
      <c r="Q16" s="85"/>
      <c r="R16" s="85"/>
      <c r="T16" s="84"/>
      <c r="U16" s="111"/>
      <c r="V16" s="111"/>
      <c r="W16" s="111"/>
      <c r="X16" s="84"/>
      <c r="Y16" s="84"/>
      <c r="Z16" s="88"/>
      <c r="AB16" s="83"/>
      <c r="AC16" s="83"/>
      <c r="AD16" s="83"/>
      <c r="AE16" s="83"/>
      <c r="AF16" s="83"/>
      <c r="AG16" s="83"/>
    </row>
    <row r="17" spans="1:33">
      <c r="A17" s="70" t="s">
        <v>77</v>
      </c>
      <c r="B17" s="58">
        <v>215.86</v>
      </c>
      <c r="C17" s="65">
        <v>65.859369747899166</v>
      </c>
      <c r="D17" s="83">
        <v>6.0999999999999999E-2</v>
      </c>
      <c r="E17" s="2">
        <v>0.115</v>
      </c>
      <c r="F17" s="84">
        <v>9.4</v>
      </c>
      <c r="G17" s="3">
        <v>0.37790000000000001</v>
      </c>
      <c r="H17" s="64" t="s">
        <v>111</v>
      </c>
      <c r="I17" s="3">
        <v>2.5000000000000001E-3</v>
      </c>
      <c r="J17" s="13">
        <f t="shared" si="0"/>
        <v>0.36758049892877254</v>
      </c>
      <c r="K17" s="83" t="s">
        <v>144</v>
      </c>
      <c r="L17" s="11"/>
      <c r="M17" s="85"/>
      <c r="N17" s="85"/>
      <c r="O17" s="85"/>
      <c r="P17" s="85"/>
      <c r="Q17" s="85"/>
      <c r="R17" s="85"/>
      <c r="T17" s="84"/>
      <c r="U17" s="111"/>
      <c r="V17" s="111"/>
      <c r="W17" s="111"/>
      <c r="X17" s="84"/>
      <c r="Y17" s="84"/>
      <c r="Z17" s="88"/>
      <c r="AB17" s="83"/>
      <c r="AC17" s="83"/>
      <c r="AD17" s="83"/>
      <c r="AE17" s="83"/>
      <c r="AF17" s="83"/>
      <c r="AG17" s="83"/>
    </row>
    <row r="18" spans="1:33">
      <c r="A18" s="70" t="s">
        <v>78</v>
      </c>
      <c r="B18" s="58">
        <v>216.01</v>
      </c>
      <c r="C18" s="65">
        <v>65.886470588235298</v>
      </c>
      <c r="D18" s="83">
        <v>6.1700000000000005E-2</v>
      </c>
      <c r="F18" s="84"/>
      <c r="G18" s="3">
        <v>0.3342</v>
      </c>
      <c r="H18" s="64" t="s">
        <v>111</v>
      </c>
      <c r="I18" s="3">
        <v>1.6000000000000001E-3</v>
      </c>
      <c r="J18" s="13">
        <v>0.32800000000000001</v>
      </c>
      <c r="K18" s="83" t="s">
        <v>144</v>
      </c>
      <c r="L18" s="66"/>
      <c r="M18" s="85"/>
      <c r="N18" s="85"/>
      <c r="O18" s="85"/>
      <c r="P18" s="85"/>
      <c r="Q18" s="85"/>
      <c r="R18" s="85"/>
      <c r="T18" s="84"/>
      <c r="U18" s="111"/>
      <c r="V18" s="111"/>
      <c r="W18" s="84"/>
      <c r="X18" s="84"/>
      <c r="Y18" s="84"/>
      <c r="Z18" s="88"/>
      <c r="AB18" s="83"/>
      <c r="AC18" s="83"/>
      <c r="AD18" s="83"/>
      <c r="AE18" s="83"/>
      <c r="AF18" s="83"/>
      <c r="AG18" s="83"/>
    </row>
    <row r="19" spans="1:33">
      <c r="A19" s="70" t="s">
        <v>79</v>
      </c>
      <c r="B19" s="58">
        <v>216.16</v>
      </c>
      <c r="C19" s="65">
        <v>65.91357142857143</v>
      </c>
      <c r="D19" s="83">
        <v>7.2700000000000001E-2</v>
      </c>
      <c r="E19" s="6">
        <v>8.1000000000000003E-2</v>
      </c>
      <c r="F19" s="84">
        <v>5.5</v>
      </c>
      <c r="G19" s="2">
        <v>0.30919999999999997</v>
      </c>
      <c r="H19" s="64" t="s">
        <v>111</v>
      </c>
      <c r="I19" s="2">
        <v>2.3E-3</v>
      </c>
      <c r="J19" s="13">
        <f t="shared" si="0"/>
        <v>0.3031570220995044</v>
      </c>
      <c r="K19" s="83" t="s">
        <v>144</v>
      </c>
      <c r="L19" s="11"/>
      <c r="M19" s="85"/>
      <c r="N19" s="85"/>
      <c r="O19" s="85"/>
      <c r="P19" s="85"/>
      <c r="Q19" s="85"/>
      <c r="R19" s="85"/>
      <c r="T19" s="84"/>
      <c r="U19" s="111"/>
      <c r="V19" s="111"/>
      <c r="W19" s="84"/>
      <c r="X19" s="84"/>
      <c r="Y19" s="84"/>
      <c r="Z19" s="88"/>
      <c r="AB19" s="83"/>
      <c r="AC19" s="83"/>
      <c r="AD19" s="83"/>
      <c r="AE19" s="83"/>
      <c r="AF19" s="83"/>
      <c r="AG19" s="83"/>
    </row>
    <row r="20" spans="1:33">
      <c r="A20" s="70" t="s">
        <v>80</v>
      </c>
      <c r="B20" s="58">
        <v>216.26</v>
      </c>
      <c r="C20" s="65">
        <v>65.93163865546218</v>
      </c>
      <c r="D20" s="83">
        <v>9.2700000000000005E-2</v>
      </c>
      <c r="E20" s="6">
        <v>9.4E-2</v>
      </c>
      <c r="F20" s="84">
        <v>5</v>
      </c>
      <c r="G20" s="2">
        <v>0.28320000000000001</v>
      </c>
      <c r="H20" s="64" t="s">
        <v>111</v>
      </c>
      <c r="I20" s="2">
        <v>3.0000000000000001E-3</v>
      </c>
      <c r="J20" s="13">
        <f t="shared" si="0"/>
        <v>0.27770487707301716</v>
      </c>
      <c r="K20" s="83" t="s">
        <v>144</v>
      </c>
      <c r="L20" s="11"/>
      <c r="M20" s="85"/>
      <c r="N20" s="85"/>
      <c r="O20" s="85"/>
      <c r="P20" s="85"/>
      <c r="Q20" s="85"/>
      <c r="R20" s="85"/>
      <c r="T20" s="84"/>
      <c r="U20" s="111"/>
      <c r="V20" s="111"/>
      <c r="W20" s="84"/>
      <c r="X20" s="84"/>
      <c r="Y20" s="84"/>
      <c r="Z20" s="88"/>
      <c r="AB20" s="83"/>
      <c r="AC20" s="83"/>
      <c r="AD20" s="83"/>
      <c r="AE20" s="83"/>
      <c r="AF20" s="83"/>
      <c r="AG20" s="83"/>
    </row>
    <row r="21" spans="1:33">
      <c r="A21" s="70" t="s">
        <v>81</v>
      </c>
      <c r="B21" s="58">
        <v>216.36</v>
      </c>
      <c r="C21" s="65">
        <v>65.949705882352944</v>
      </c>
      <c r="D21" s="83">
        <v>0.1215</v>
      </c>
      <c r="E21" s="6">
        <v>0.105</v>
      </c>
      <c r="F21" s="84">
        <v>4.2</v>
      </c>
      <c r="G21" s="2">
        <v>0.2437</v>
      </c>
      <c r="H21" s="64" t="s">
        <v>111</v>
      </c>
      <c r="I21" s="2">
        <v>1.5E-3</v>
      </c>
      <c r="J21" s="13">
        <f t="shared" si="0"/>
        <v>0.23908283115175674</v>
      </c>
      <c r="K21" s="83" t="s">
        <v>144</v>
      </c>
      <c r="L21" s="11"/>
      <c r="M21" s="83"/>
      <c r="N21" s="83"/>
      <c r="O21" s="85"/>
      <c r="P21" s="85"/>
      <c r="Q21" s="85"/>
      <c r="R21" s="85"/>
      <c r="T21" s="84"/>
      <c r="U21" s="111"/>
      <c r="V21" s="111"/>
      <c r="W21" s="84"/>
      <c r="X21" s="84"/>
      <c r="Y21" s="84"/>
      <c r="Z21" s="88"/>
      <c r="AB21" s="83"/>
      <c r="AC21" s="83"/>
      <c r="AD21" s="83"/>
      <c r="AE21" s="83"/>
      <c r="AF21" s="83"/>
      <c r="AG21" s="83"/>
    </row>
    <row r="22" spans="1:33">
      <c r="A22" s="70" t="s">
        <v>82</v>
      </c>
      <c r="B22" s="58">
        <v>216.41</v>
      </c>
      <c r="C22" s="65">
        <v>65.958739495798312</v>
      </c>
      <c r="D22" s="83">
        <v>0.15940000000000001</v>
      </c>
      <c r="E22" s="6">
        <v>0.13100000000000001</v>
      </c>
      <c r="F22" s="84">
        <v>4</v>
      </c>
      <c r="G22" s="2">
        <v>0.22159999999999999</v>
      </c>
      <c r="H22" s="64" t="s">
        <v>111</v>
      </c>
      <c r="I22" s="2">
        <v>1.2999999999999999E-3</v>
      </c>
      <c r="J22" s="13">
        <f t="shared" si="0"/>
        <v>0.21720209367316687</v>
      </c>
      <c r="K22" s="83" t="s">
        <v>144</v>
      </c>
      <c r="L22" s="11"/>
      <c r="M22" s="85"/>
      <c r="N22" s="85"/>
      <c r="O22" s="85"/>
      <c r="P22" s="85"/>
      <c r="Q22" s="85"/>
      <c r="R22" s="85"/>
      <c r="T22" s="84"/>
      <c r="U22" s="111"/>
      <c r="V22" s="111"/>
      <c r="W22" s="84"/>
      <c r="X22" s="84"/>
      <c r="Y22" s="84"/>
      <c r="Z22" s="88"/>
      <c r="AB22" s="83"/>
      <c r="AC22" s="83"/>
      <c r="AD22" s="83"/>
      <c r="AE22" s="83"/>
      <c r="AF22" s="83"/>
      <c r="AG22" s="83"/>
    </row>
    <row r="23" spans="1:33">
      <c r="A23" s="70" t="s">
        <v>83</v>
      </c>
      <c r="B23" s="58">
        <v>216.45</v>
      </c>
      <c r="C23" s="65">
        <v>65.965966386554612</v>
      </c>
      <c r="D23" s="83">
        <v>0.2261</v>
      </c>
      <c r="E23" s="6">
        <v>0.186</v>
      </c>
      <c r="F23" s="84">
        <v>4</v>
      </c>
      <c r="G23" s="2">
        <v>0.1953</v>
      </c>
      <c r="H23" s="64" t="s">
        <v>111</v>
      </c>
      <c r="I23" s="2">
        <v>8.0000000000000004E-4</v>
      </c>
      <c r="J23" s="13">
        <f t="shared" si="0"/>
        <v>0.1909016115436297</v>
      </c>
      <c r="K23" s="83" t="s">
        <v>144</v>
      </c>
      <c r="L23" s="11"/>
      <c r="M23" s="85"/>
      <c r="N23" s="85"/>
      <c r="O23" s="85"/>
      <c r="P23" s="85"/>
      <c r="Q23" s="85"/>
      <c r="R23" s="85"/>
      <c r="T23" s="84"/>
      <c r="U23" s="111"/>
      <c r="V23" s="111"/>
      <c r="W23" s="84"/>
      <c r="X23" s="84"/>
      <c r="Y23" s="84"/>
      <c r="Z23" s="88"/>
      <c r="AB23" s="83"/>
      <c r="AC23" s="83"/>
      <c r="AD23" s="83"/>
      <c r="AE23" s="83"/>
      <c r="AF23" s="83"/>
      <c r="AG23" s="83"/>
    </row>
    <row r="24" spans="1:33">
      <c r="A24" s="70" t="s">
        <v>84</v>
      </c>
      <c r="B24" s="58">
        <v>216.49</v>
      </c>
      <c r="C24" s="65">
        <v>65.973193277310926</v>
      </c>
      <c r="D24" s="83">
        <v>0.43630000000000002</v>
      </c>
      <c r="E24" s="6">
        <v>0.36699999999999999</v>
      </c>
      <c r="F24" s="84">
        <v>4.0999999999999996</v>
      </c>
      <c r="G24" s="2">
        <v>0.16919999999999999</v>
      </c>
      <c r="H24" s="64" t="s">
        <v>111</v>
      </c>
      <c r="I24" s="2">
        <v>5.0000000000000001E-4</v>
      </c>
      <c r="J24" s="13">
        <f t="shared" si="0"/>
        <v>0.16469115764938563</v>
      </c>
      <c r="K24" s="83" t="s">
        <v>144</v>
      </c>
      <c r="L24" s="11"/>
      <c r="M24" s="85"/>
      <c r="N24" s="85"/>
      <c r="O24" s="85"/>
      <c r="P24" s="85"/>
      <c r="Q24" s="85"/>
      <c r="R24" s="85"/>
      <c r="T24" s="84"/>
      <c r="U24" s="111"/>
      <c r="V24" s="111"/>
      <c r="W24" s="111"/>
      <c r="X24" s="84"/>
      <c r="Y24" s="84"/>
      <c r="Z24" s="88"/>
      <c r="AB24" s="83"/>
      <c r="AC24" s="83"/>
      <c r="AD24" s="83"/>
      <c r="AE24" s="83"/>
      <c r="AF24" s="83"/>
      <c r="AG24" s="83"/>
    </row>
    <row r="25" spans="1:33">
      <c r="A25" s="71" t="s">
        <v>330</v>
      </c>
      <c r="B25" s="58">
        <v>216.5</v>
      </c>
      <c r="C25" s="208">
        <v>65.974999999999994</v>
      </c>
      <c r="D25" s="83"/>
      <c r="E25" s="6"/>
      <c r="F25" s="84"/>
      <c r="H25" s="64"/>
      <c r="J25" s="13"/>
      <c r="K25" s="83"/>
      <c r="L25" s="11"/>
      <c r="M25" s="85"/>
      <c r="N25" s="85"/>
      <c r="O25" s="85"/>
      <c r="P25" s="85"/>
      <c r="Q25" s="85"/>
      <c r="R25" s="85"/>
      <c r="T25" s="84"/>
      <c r="U25" s="111"/>
      <c r="V25" s="111"/>
      <c r="W25" s="111"/>
      <c r="X25" s="84"/>
      <c r="Y25" s="84"/>
      <c r="Z25" s="88"/>
      <c r="AB25" s="83"/>
      <c r="AC25" s="83"/>
      <c r="AD25" s="83"/>
      <c r="AE25" s="83"/>
      <c r="AF25" s="83"/>
      <c r="AG25" s="83"/>
    </row>
    <row r="26" spans="1:33">
      <c r="A26" s="70" t="s">
        <v>85</v>
      </c>
      <c r="B26" s="58">
        <v>216.51</v>
      </c>
      <c r="C26" s="65">
        <v>65.987999999999985</v>
      </c>
      <c r="D26" s="83">
        <v>0.62220000000000009</v>
      </c>
      <c r="E26" s="6">
        <v>0.48699999999999999</v>
      </c>
      <c r="F26" s="84">
        <v>3.8</v>
      </c>
      <c r="G26" s="2">
        <v>0.17519999999999999</v>
      </c>
      <c r="H26" s="64" t="s">
        <v>111</v>
      </c>
      <c r="I26" s="2">
        <v>4.0000000000000002E-4</v>
      </c>
      <c r="J26" s="13">
        <f t="shared" si="0"/>
        <v>0.17102013452835985</v>
      </c>
      <c r="K26" s="83" t="s">
        <v>144</v>
      </c>
      <c r="L26" s="11"/>
      <c r="M26" s="85"/>
      <c r="N26" s="85"/>
      <c r="O26" s="85"/>
      <c r="P26" s="85"/>
      <c r="Q26" s="85"/>
      <c r="R26" s="85"/>
      <c r="T26" s="84"/>
      <c r="U26" s="111"/>
      <c r="V26" s="111"/>
      <c r="W26" s="84"/>
      <c r="X26" s="84"/>
      <c r="Y26" s="84"/>
      <c r="Z26" s="88"/>
      <c r="AB26" s="83"/>
      <c r="AC26" s="83"/>
      <c r="AD26" s="83"/>
      <c r="AE26" s="83"/>
      <c r="AF26" s="83"/>
      <c r="AG26" s="83"/>
    </row>
    <row r="27" spans="1:33">
      <c r="A27" s="71" t="s">
        <v>98</v>
      </c>
      <c r="B27" s="59">
        <v>216.52</v>
      </c>
      <c r="C27" s="208">
        <v>66.001000000000005</v>
      </c>
      <c r="D27" s="83"/>
      <c r="E27" s="6"/>
      <c r="F27" s="84"/>
      <c r="H27" s="64"/>
      <c r="J27" s="13"/>
      <c r="K27" s="83" t="s">
        <v>144</v>
      </c>
      <c r="L27" s="11"/>
      <c r="M27" s="85"/>
      <c r="N27" s="85"/>
      <c r="O27" s="85"/>
      <c r="P27" s="85"/>
      <c r="Q27" s="85"/>
      <c r="R27" s="85"/>
      <c r="T27" s="84"/>
      <c r="U27" s="111"/>
      <c r="V27" s="111"/>
      <c r="W27" s="84"/>
      <c r="X27" s="84"/>
      <c r="Y27" s="84"/>
      <c r="Z27" s="88"/>
      <c r="AB27" s="83"/>
      <c r="AC27" s="83"/>
      <c r="AD27" s="83"/>
      <c r="AE27" s="83"/>
      <c r="AF27" s="83"/>
      <c r="AG27" s="83"/>
    </row>
    <row r="28" spans="1:33">
      <c r="A28" s="70" t="s">
        <v>86</v>
      </c>
      <c r="B28" s="58">
        <v>216.55</v>
      </c>
      <c r="C28" s="208"/>
      <c r="D28" s="83">
        <v>0.8619</v>
      </c>
      <c r="E28" s="6">
        <v>0.40500000000000003</v>
      </c>
      <c r="F28" s="84">
        <v>2.2999999999999998</v>
      </c>
      <c r="G28" s="2">
        <v>0.25890000000000002</v>
      </c>
      <c r="H28" s="64" t="s">
        <v>111</v>
      </c>
      <c r="I28" s="2">
        <v>4.0000000000000002E-4</v>
      </c>
      <c r="J28" s="13"/>
      <c r="K28" s="83" t="s">
        <v>144</v>
      </c>
      <c r="L28" s="11"/>
      <c r="M28" s="85"/>
      <c r="N28" s="85"/>
      <c r="O28" s="85"/>
      <c r="P28" s="85"/>
      <c r="Q28" s="85"/>
      <c r="R28" s="85"/>
      <c r="T28" s="84"/>
      <c r="U28" s="111"/>
      <c r="V28" s="111"/>
      <c r="W28" s="84"/>
      <c r="X28" s="84"/>
      <c r="Y28" s="111"/>
      <c r="Z28" s="88"/>
      <c r="AB28" s="83"/>
      <c r="AC28" s="83"/>
      <c r="AD28" s="83"/>
      <c r="AE28" s="83"/>
      <c r="AF28" s="83"/>
      <c r="AG28" s="83"/>
    </row>
    <row r="29" spans="1:33">
      <c r="A29" s="70" t="s">
        <v>87</v>
      </c>
      <c r="B29" s="58">
        <v>216.59</v>
      </c>
      <c r="C29" s="67"/>
      <c r="D29" s="83">
        <v>0.2596</v>
      </c>
      <c r="E29" s="6">
        <v>7.2999999999999995E-2</v>
      </c>
      <c r="F29" s="84">
        <v>1.4</v>
      </c>
      <c r="G29" s="2">
        <v>0.30520000000000003</v>
      </c>
      <c r="H29" s="64" t="s">
        <v>111</v>
      </c>
      <c r="I29" s="2">
        <v>8.0000000000000004E-4</v>
      </c>
      <c r="J29" s="13"/>
      <c r="K29" s="83" t="s">
        <v>144</v>
      </c>
      <c r="L29" s="11"/>
      <c r="M29" s="85"/>
      <c r="N29" s="85"/>
      <c r="O29" s="85"/>
      <c r="P29" s="85"/>
      <c r="Q29" s="85"/>
      <c r="R29" s="85"/>
      <c r="T29" s="84"/>
      <c r="U29" s="111"/>
      <c r="V29" s="84"/>
      <c r="W29" s="111"/>
      <c r="X29" s="84"/>
      <c r="Y29" s="84"/>
      <c r="Z29" s="88"/>
      <c r="AB29" s="83"/>
      <c r="AC29" s="83"/>
      <c r="AD29" s="83"/>
      <c r="AE29" s="83"/>
      <c r="AF29" s="83"/>
      <c r="AG29" s="83"/>
    </row>
    <row r="30" spans="1:33">
      <c r="A30" s="70" t="s">
        <v>88</v>
      </c>
      <c r="B30" s="58">
        <v>216.64</v>
      </c>
      <c r="C30" s="67"/>
      <c r="D30" s="83">
        <v>0.19650000000000001</v>
      </c>
      <c r="E30" s="6">
        <v>1.6E-2</v>
      </c>
      <c r="F30" s="84">
        <v>0.4</v>
      </c>
      <c r="G30" s="2">
        <v>0.31609999999999999</v>
      </c>
      <c r="H30" s="64" t="s">
        <v>111</v>
      </c>
      <c r="I30" s="2">
        <v>1.1999999999999999E-3</v>
      </c>
      <c r="J30" s="13"/>
      <c r="K30" s="83" t="s">
        <v>144</v>
      </c>
      <c r="L30" s="11"/>
      <c r="M30" s="85"/>
      <c r="N30" s="85"/>
      <c r="O30" s="85"/>
      <c r="P30" s="85"/>
      <c r="Q30" s="85"/>
      <c r="R30" s="85"/>
      <c r="T30" s="84"/>
      <c r="U30" s="111"/>
      <c r="V30" s="84"/>
      <c r="W30" s="84"/>
      <c r="X30" s="84"/>
      <c r="Y30" s="84"/>
      <c r="Z30" s="88"/>
      <c r="AB30" s="83"/>
      <c r="AC30" s="83"/>
      <c r="AD30" s="83"/>
      <c r="AE30" s="83"/>
      <c r="AF30" s="83"/>
      <c r="AG30" s="83"/>
    </row>
    <row r="31" spans="1:33">
      <c r="A31" s="70" t="s">
        <v>89</v>
      </c>
      <c r="B31" s="58">
        <v>216.71</v>
      </c>
      <c r="C31" s="67"/>
      <c r="D31" s="83">
        <v>7.22E-2</v>
      </c>
      <c r="E31" s="6">
        <v>3.7999999999999999E-2</v>
      </c>
      <c r="F31" s="84">
        <v>2.6</v>
      </c>
      <c r="G31" s="2">
        <v>0.34320000000000001</v>
      </c>
      <c r="H31" s="64" t="s">
        <v>111</v>
      </c>
      <c r="I31" s="2">
        <v>1.5E-3</v>
      </c>
      <c r="J31" s="13"/>
      <c r="K31" s="83" t="s">
        <v>144</v>
      </c>
      <c r="L31" s="11"/>
      <c r="M31" s="85"/>
      <c r="N31" s="85"/>
      <c r="O31" s="85"/>
      <c r="P31" s="85"/>
      <c r="Q31" s="85"/>
      <c r="R31" s="85"/>
      <c r="T31" s="84"/>
      <c r="U31" s="111"/>
      <c r="V31" s="84"/>
      <c r="W31" s="84"/>
      <c r="X31" s="84"/>
      <c r="Y31" s="84"/>
      <c r="Z31" s="88"/>
      <c r="AB31" s="83"/>
      <c r="AC31" s="83"/>
      <c r="AD31" s="83"/>
      <c r="AE31" s="83"/>
      <c r="AF31" s="83"/>
      <c r="AG31" s="83"/>
    </row>
    <row r="32" spans="1:33">
      <c r="A32" s="70" t="s">
        <v>90</v>
      </c>
      <c r="B32" s="58">
        <v>216.76</v>
      </c>
      <c r="C32" s="67"/>
      <c r="D32" s="83">
        <v>6.7099999999999993E-2</v>
      </c>
      <c r="E32" s="6">
        <v>5.3999999999999999E-2</v>
      </c>
      <c r="F32" s="84">
        <v>4</v>
      </c>
      <c r="G32" s="2">
        <v>0.33810000000000001</v>
      </c>
      <c r="H32" s="64" t="s">
        <v>111</v>
      </c>
      <c r="I32" s="2">
        <v>1.2999999999999999E-3</v>
      </c>
      <c r="J32" s="13"/>
      <c r="K32" s="83" t="s">
        <v>144</v>
      </c>
      <c r="L32" s="11"/>
      <c r="M32" s="85"/>
      <c r="N32" s="85"/>
      <c r="O32" s="85"/>
      <c r="P32" s="85"/>
      <c r="Q32" s="85"/>
      <c r="R32" s="85"/>
      <c r="T32" s="84"/>
      <c r="U32" s="111"/>
      <c r="V32" s="84"/>
      <c r="W32" s="111"/>
      <c r="X32" s="84"/>
      <c r="Y32" s="84"/>
      <c r="Z32" s="88"/>
      <c r="AB32" s="83"/>
      <c r="AC32" s="83"/>
      <c r="AD32" s="83"/>
      <c r="AE32" s="83"/>
      <c r="AF32" s="83"/>
      <c r="AG32" s="83"/>
    </row>
    <row r="33" spans="1:36">
      <c r="A33" s="70" t="s">
        <v>91</v>
      </c>
      <c r="B33" s="58">
        <v>216.81</v>
      </c>
      <c r="C33" s="67"/>
      <c r="D33" s="83">
        <v>4.1799999999999997E-2</v>
      </c>
      <c r="E33" s="6">
        <v>3.7999999999999999E-2</v>
      </c>
      <c r="F33" s="84">
        <v>4.5</v>
      </c>
      <c r="G33" s="2">
        <v>0.34989999999999999</v>
      </c>
      <c r="H33" s="64" t="s">
        <v>111</v>
      </c>
      <c r="I33" s="2">
        <v>1.5E-3</v>
      </c>
      <c r="J33" s="13"/>
      <c r="K33" s="83" t="s">
        <v>144</v>
      </c>
      <c r="L33" s="11"/>
      <c r="M33" s="85"/>
      <c r="N33" s="85"/>
      <c r="O33" s="85"/>
      <c r="P33" s="85"/>
      <c r="Q33" s="85"/>
      <c r="R33" s="85"/>
      <c r="T33" s="84"/>
      <c r="U33" s="111"/>
      <c r="V33" s="111"/>
      <c r="W33" s="111"/>
      <c r="X33" s="84"/>
      <c r="Y33" s="111"/>
      <c r="Z33" s="88"/>
      <c r="AB33" s="83"/>
      <c r="AC33" s="83"/>
      <c r="AD33" s="83"/>
      <c r="AE33" s="83"/>
      <c r="AF33" s="83"/>
      <c r="AG33" s="83"/>
    </row>
    <row r="34" spans="1:36">
      <c r="A34" s="70" t="s">
        <v>92</v>
      </c>
      <c r="B34" s="58">
        <v>216.91</v>
      </c>
      <c r="C34" s="67"/>
      <c r="D34" s="83">
        <v>3.5700000000000003E-2</v>
      </c>
      <c r="E34" s="6">
        <v>4.3999999999999997E-2</v>
      </c>
      <c r="F34" s="84">
        <v>6.1</v>
      </c>
      <c r="G34" s="2">
        <v>0.38379999999999997</v>
      </c>
      <c r="H34" s="64" t="s">
        <v>111</v>
      </c>
      <c r="I34" s="2">
        <v>2E-3</v>
      </c>
      <c r="J34" s="13"/>
      <c r="K34" s="83" t="s">
        <v>144</v>
      </c>
      <c r="L34" s="11"/>
      <c r="M34" s="85"/>
      <c r="N34" s="85"/>
      <c r="O34" s="85"/>
      <c r="P34" s="85"/>
      <c r="Q34" s="85"/>
      <c r="R34" s="85"/>
      <c r="T34" s="84"/>
      <c r="U34" s="111"/>
      <c r="V34" s="84"/>
      <c r="W34" s="84"/>
      <c r="X34" s="84"/>
      <c r="Y34" s="111"/>
      <c r="Z34" s="88"/>
      <c r="AB34" s="83"/>
      <c r="AC34" s="83"/>
      <c r="AD34" s="83"/>
      <c r="AE34" s="83"/>
      <c r="AF34" s="83"/>
      <c r="AG34" s="83"/>
    </row>
    <row r="35" spans="1:36">
      <c r="A35" s="70" t="s">
        <v>93</v>
      </c>
      <c r="B35" s="58">
        <v>217.01</v>
      </c>
      <c r="C35" s="67"/>
      <c r="D35" s="83">
        <v>3.2199999999999999E-2</v>
      </c>
      <c r="E35" s="6">
        <v>3.5999999999999997E-2</v>
      </c>
      <c r="F35" s="84">
        <v>5.6</v>
      </c>
      <c r="G35" s="2">
        <v>0.41220000000000001</v>
      </c>
      <c r="H35" s="64" t="s">
        <v>111</v>
      </c>
      <c r="I35" s="2">
        <v>1.5E-3</v>
      </c>
      <c r="J35" s="13"/>
      <c r="K35" s="83" t="s">
        <v>144</v>
      </c>
      <c r="L35" s="11"/>
      <c r="M35" s="85"/>
      <c r="N35" s="85"/>
      <c r="O35" s="85"/>
      <c r="P35" s="85"/>
      <c r="Q35" s="85"/>
      <c r="R35" s="85"/>
      <c r="T35" s="84"/>
      <c r="U35" s="111"/>
      <c r="V35" s="84"/>
      <c r="W35" s="84"/>
      <c r="X35" s="84"/>
      <c r="Y35" s="111"/>
      <c r="Z35" s="88"/>
      <c r="AB35" s="83"/>
      <c r="AC35" s="83"/>
      <c r="AD35" s="83"/>
      <c r="AE35" s="83"/>
      <c r="AF35" s="83"/>
      <c r="AG35" s="83"/>
    </row>
    <row r="36" spans="1:36">
      <c r="A36" s="70" t="s">
        <v>94</v>
      </c>
      <c r="B36" s="58">
        <v>217.16</v>
      </c>
      <c r="C36" s="67"/>
      <c r="D36" s="83">
        <v>3.2100000000000004E-2</v>
      </c>
      <c r="E36" s="6">
        <v>4.9000000000000002E-2</v>
      </c>
      <c r="F36" s="88">
        <v>7.6</v>
      </c>
      <c r="G36" s="3">
        <v>0.41639999999999999</v>
      </c>
      <c r="H36" s="64" t="s">
        <v>111</v>
      </c>
      <c r="I36" s="3">
        <v>2.2000000000000001E-3</v>
      </c>
      <c r="J36" s="13"/>
      <c r="K36" s="83" t="s">
        <v>144</v>
      </c>
      <c r="L36" s="11"/>
      <c r="M36" s="85"/>
      <c r="N36" s="85"/>
      <c r="O36" s="85"/>
      <c r="P36" s="85"/>
      <c r="Q36" s="85"/>
      <c r="R36" s="85"/>
      <c r="T36" s="84"/>
      <c r="U36" s="111"/>
      <c r="V36" s="84"/>
      <c r="W36" s="84"/>
      <c r="X36" s="84"/>
      <c r="Y36" s="111"/>
      <c r="Z36" s="88"/>
      <c r="AB36" s="83"/>
      <c r="AC36" s="83"/>
      <c r="AD36" s="83"/>
      <c r="AE36" s="83"/>
      <c r="AF36" s="83"/>
      <c r="AG36" s="83"/>
    </row>
    <row r="37" spans="1:36">
      <c r="A37" s="70" t="s">
        <v>95</v>
      </c>
      <c r="B37" s="58">
        <v>217.31</v>
      </c>
      <c r="C37" s="67"/>
      <c r="D37" s="83">
        <v>0.03</v>
      </c>
      <c r="E37" s="6">
        <v>4.5999999999999999E-2</v>
      </c>
      <c r="F37" s="88">
        <v>7.7</v>
      </c>
      <c r="G37" s="3">
        <v>0.41439999999999999</v>
      </c>
      <c r="H37" s="64" t="s">
        <v>111</v>
      </c>
      <c r="I37" s="3">
        <v>2.5999999999999999E-3</v>
      </c>
      <c r="J37" s="13"/>
      <c r="K37" s="83" t="s">
        <v>144</v>
      </c>
      <c r="L37" s="11"/>
      <c r="M37" s="85"/>
      <c r="N37" s="85"/>
      <c r="O37" s="85"/>
      <c r="P37" s="85"/>
      <c r="Q37" s="85"/>
      <c r="R37" s="85"/>
      <c r="T37" s="84"/>
      <c r="U37" s="111"/>
      <c r="V37" s="84"/>
      <c r="W37" s="111"/>
      <c r="X37" s="84"/>
      <c r="Y37" s="111"/>
      <c r="Z37" s="88"/>
      <c r="AB37" s="83"/>
      <c r="AC37" s="83"/>
      <c r="AD37" s="83"/>
      <c r="AE37" s="83"/>
      <c r="AF37" s="83"/>
      <c r="AG37" s="83"/>
    </row>
    <row r="38" spans="1:36">
      <c r="A38" s="70" t="s">
        <v>96</v>
      </c>
      <c r="B38" s="58">
        <v>217.46</v>
      </c>
      <c r="C38" s="67"/>
      <c r="D38" s="83">
        <v>3.0499999999999999E-2</v>
      </c>
      <c r="E38" s="6">
        <v>4.4999999999999998E-2</v>
      </c>
      <c r="F38" s="88">
        <v>7.4</v>
      </c>
      <c r="G38" s="3">
        <v>0.43230000000000002</v>
      </c>
      <c r="H38" s="64" t="s">
        <v>111</v>
      </c>
      <c r="I38" s="3">
        <v>1.8E-3</v>
      </c>
      <c r="J38" s="13"/>
      <c r="K38" s="83" t="s">
        <v>144</v>
      </c>
      <c r="L38" s="11"/>
      <c r="M38" s="85"/>
      <c r="N38" s="85"/>
      <c r="O38" s="85"/>
      <c r="P38" s="85"/>
      <c r="Q38" s="85"/>
      <c r="R38" s="85"/>
      <c r="T38" s="84"/>
      <c r="U38" s="111"/>
      <c r="V38" s="84"/>
      <c r="W38" s="111"/>
      <c r="X38" s="84"/>
      <c r="Y38" s="111"/>
      <c r="Z38" s="88"/>
      <c r="AB38" s="83"/>
      <c r="AC38" s="83"/>
      <c r="AD38" s="83"/>
      <c r="AE38" s="83"/>
      <c r="AF38" s="83"/>
      <c r="AG38" s="83"/>
    </row>
    <row r="39" spans="1:36">
      <c r="A39" s="70" t="s">
        <v>97</v>
      </c>
      <c r="B39" s="58">
        <v>217.71</v>
      </c>
      <c r="C39" s="67"/>
      <c r="D39" s="83">
        <v>3.6799999999999999E-2</v>
      </c>
      <c r="E39" s="6">
        <v>5.8000000000000003E-2</v>
      </c>
      <c r="F39" s="88">
        <v>7.9</v>
      </c>
      <c r="G39" s="3">
        <v>0.44740000000000002</v>
      </c>
      <c r="H39" s="64" t="s">
        <v>111</v>
      </c>
      <c r="I39" s="3">
        <v>2.3999999999999998E-3</v>
      </c>
      <c r="J39" s="13"/>
      <c r="K39" s="102" t="s">
        <v>144</v>
      </c>
      <c r="L39" s="11"/>
      <c r="M39" s="85"/>
      <c r="N39" s="85"/>
      <c r="O39" s="85"/>
      <c r="P39" s="85"/>
      <c r="Q39" s="85"/>
      <c r="R39" s="85"/>
      <c r="T39" s="84"/>
      <c r="U39" s="111"/>
      <c r="V39" s="84"/>
      <c r="W39" s="111"/>
      <c r="X39" s="84"/>
      <c r="Y39" s="111"/>
      <c r="Z39" s="88"/>
      <c r="AB39" s="83"/>
      <c r="AC39" s="83"/>
      <c r="AD39" s="83"/>
      <c r="AE39" s="83"/>
      <c r="AF39" s="83"/>
      <c r="AG39" s="83"/>
    </row>
    <row r="40" spans="1:36">
      <c r="A40" s="130" t="s">
        <v>390</v>
      </c>
      <c r="B40" s="131"/>
      <c r="C40" s="131"/>
      <c r="D40" s="132"/>
      <c r="E40" s="74"/>
      <c r="F40" s="133"/>
      <c r="G40" s="131"/>
      <c r="H40" s="131"/>
      <c r="I40" s="131"/>
      <c r="J40" s="134"/>
      <c r="M40" s="85"/>
      <c r="N40" s="85"/>
      <c r="O40" s="85"/>
      <c r="P40" s="85"/>
      <c r="Q40" s="85"/>
      <c r="R40" s="85"/>
      <c r="T40" s="84"/>
      <c r="U40" s="111"/>
      <c r="V40" s="84"/>
      <c r="W40" s="111"/>
      <c r="X40" s="84"/>
      <c r="Y40" s="111"/>
      <c r="Z40" s="88"/>
      <c r="AB40" s="83"/>
      <c r="AC40" s="83"/>
      <c r="AD40" s="83"/>
      <c r="AE40" s="83"/>
      <c r="AF40" s="83"/>
      <c r="AG40" s="83"/>
    </row>
    <row r="41" spans="1:36">
      <c r="A41" s="3"/>
      <c r="B41" s="63"/>
      <c r="C41" s="3"/>
      <c r="D41" s="83"/>
      <c r="E41" s="6"/>
      <c r="F41" s="88"/>
      <c r="G41" s="3"/>
      <c r="H41" s="3"/>
      <c r="I41" s="3"/>
      <c r="J41" s="112"/>
      <c r="M41" s="85"/>
      <c r="N41" s="85"/>
      <c r="O41" s="85"/>
      <c r="P41" s="85"/>
      <c r="Q41" s="85"/>
      <c r="R41" s="85"/>
      <c r="T41" s="84"/>
      <c r="U41" s="111"/>
      <c r="V41" s="84"/>
      <c r="W41" s="84"/>
      <c r="X41" s="84"/>
      <c r="Y41" s="111"/>
      <c r="Z41" s="88"/>
      <c r="AB41" s="83"/>
      <c r="AC41" s="83"/>
      <c r="AD41" s="83"/>
      <c r="AE41" s="83"/>
      <c r="AF41" s="83"/>
      <c r="AG41" s="83"/>
    </row>
    <row r="42" spans="1:36" s="90" customFormat="1">
      <c r="A42" s="3"/>
      <c r="B42" s="68"/>
      <c r="C42" s="3"/>
      <c r="D42" s="83"/>
      <c r="E42" s="6"/>
      <c r="F42" s="89"/>
      <c r="G42" s="3"/>
      <c r="H42" s="3"/>
      <c r="I42" s="3"/>
      <c r="J42" s="113"/>
      <c r="M42" s="114"/>
      <c r="N42" s="114"/>
      <c r="O42" s="114"/>
      <c r="P42" s="114"/>
      <c r="Q42" s="114"/>
      <c r="R42" s="114"/>
      <c r="T42" s="115"/>
      <c r="U42" s="116"/>
      <c r="V42" s="115"/>
      <c r="W42" s="115"/>
      <c r="X42" s="115"/>
      <c r="Y42" s="116"/>
      <c r="Z42" s="89"/>
      <c r="AB42" s="114"/>
      <c r="AC42" s="114"/>
      <c r="AD42" s="114"/>
      <c r="AE42" s="114"/>
      <c r="AF42" s="114"/>
      <c r="AG42" s="114"/>
      <c r="AJ42" s="2"/>
    </row>
    <row r="43" spans="1:36" s="90" customFormat="1">
      <c r="A43" s="3"/>
      <c r="B43" s="69"/>
      <c r="C43" s="3"/>
      <c r="D43" s="83"/>
      <c r="E43" s="6"/>
      <c r="F43" s="89"/>
      <c r="G43" s="3"/>
      <c r="H43" s="3"/>
      <c r="I43" s="3"/>
      <c r="J43" s="112"/>
      <c r="M43" s="114"/>
      <c r="N43" s="114"/>
      <c r="O43" s="114"/>
      <c r="P43" s="114"/>
      <c r="Q43" s="114"/>
      <c r="R43" s="114"/>
      <c r="T43" s="115"/>
      <c r="U43" s="116"/>
      <c r="V43" s="115"/>
      <c r="W43" s="115"/>
      <c r="X43" s="115"/>
      <c r="Y43" s="116"/>
      <c r="Z43" s="89"/>
      <c r="AB43" s="114"/>
      <c r="AC43" s="114"/>
      <c r="AD43" s="114"/>
      <c r="AE43" s="114"/>
      <c r="AF43" s="114"/>
      <c r="AG43" s="114"/>
      <c r="AJ43" s="2"/>
    </row>
    <row r="44" spans="1:36" s="90" customFormat="1">
      <c r="A44" s="3"/>
      <c r="B44" s="69"/>
      <c r="C44" s="3"/>
      <c r="D44" s="83"/>
      <c r="E44" s="6"/>
      <c r="F44" s="89"/>
      <c r="G44" s="3"/>
      <c r="H44" s="3"/>
      <c r="I44" s="3"/>
      <c r="J44" s="113"/>
      <c r="M44" s="114"/>
      <c r="N44" s="89"/>
      <c r="O44" s="89"/>
      <c r="P44" s="89"/>
      <c r="Q44" s="89"/>
      <c r="R44" s="114"/>
      <c r="T44" s="115"/>
      <c r="U44" s="116"/>
      <c r="V44" s="115"/>
      <c r="W44" s="115"/>
      <c r="X44" s="115"/>
      <c r="Y44" s="116"/>
      <c r="Z44" s="89"/>
      <c r="AB44" s="114"/>
      <c r="AC44" s="114"/>
      <c r="AD44" s="114"/>
      <c r="AE44" s="114"/>
      <c r="AF44" s="114"/>
      <c r="AG44" s="114"/>
      <c r="AJ44" s="2"/>
    </row>
    <row r="45" spans="1:36">
      <c r="A45" s="3"/>
      <c r="B45" s="4"/>
      <c r="C45" s="3"/>
      <c r="D45" s="83"/>
      <c r="E45" s="6"/>
      <c r="F45" s="88"/>
      <c r="G45" s="3"/>
      <c r="H45" s="3"/>
      <c r="I45" s="3"/>
      <c r="J45" s="112"/>
      <c r="M45" s="85"/>
      <c r="N45" s="85"/>
      <c r="O45" s="85"/>
      <c r="P45" s="85"/>
      <c r="Q45" s="85"/>
      <c r="R45" s="85"/>
      <c r="T45" s="117"/>
      <c r="U45" s="118"/>
      <c r="V45" s="117"/>
      <c r="W45" s="117"/>
      <c r="X45" s="117"/>
      <c r="Y45" s="117"/>
      <c r="Z45" s="69"/>
      <c r="AB45" s="83"/>
      <c r="AC45" s="83"/>
      <c r="AD45" s="83"/>
      <c r="AE45" s="83"/>
      <c r="AF45" s="83"/>
      <c r="AG45" s="83"/>
    </row>
    <row r="46" spans="1:36">
      <c r="A46" s="3"/>
      <c r="B46" s="3"/>
      <c r="C46" s="3"/>
      <c r="D46" s="83"/>
      <c r="E46" s="83"/>
      <c r="F46" s="88"/>
      <c r="G46" s="3"/>
      <c r="H46" s="3"/>
      <c r="I46" s="3"/>
      <c r="J46" s="112"/>
      <c r="M46" s="85"/>
      <c r="N46" s="85"/>
      <c r="O46" s="85"/>
      <c r="P46" s="85"/>
      <c r="Q46" s="85"/>
      <c r="R46" s="85"/>
      <c r="T46" s="84"/>
      <c r="U46" s="84"/>
      <c r="V46" s="84"/>
      <c r="W46" s="84"/>
      <c r="X46" s="84"/>
      <c r="Y46" s="84"/>
      <c r="Z46" s="88"/>
      <c r="AB46" s="83"/>
      <c r="AC46" s="83"/>
      <c r="AD46" s="83"/>
      <c r="AE46" s="83"/>
      <c r="AF46" s="83"/>
      <c r="AG46" s="83"/>
    </row>
    <row r="47" spans="1:36" s="90" customFormat="1">
      <c r="A47" s="3"/>
      <c r="B47" s="3"/>
      <c r="C47" s="3"/>
      <c r="D47" s="83"/>
      <c r="E47" s="83"/>
      <c r="F47" s="89"/>
      <c r="G47" s="3"/>
      <c r="H47" s="3"/>
      <c r="I47" s="3"/>
      <c r="J47" s="113"/>
      <c r="M47" s="114"/>
      <c r="N47" s="114"/>
      <c r="O47" s="119"/>
      <c r="P47" s="114"/>
      <c r="Q47" s="119"/>
      <c r="R47" s="114"/>
      <c r="T47" s="115"/>
      <c r="U47" s="116"/>
      <c r="V47" s="115"/>
      <c r="W47" s="115"/>
      <c r="X47" s="115"/>
      <c r="Y47" s="116"/>
      <c r="Z47" s="89"/>
      <c r="AB47" s="114"/>
      <c r="AC47" s="114"/>
      <c r="AD47" s="114"/>
      <c r="AE47" s="114"/>
      <c r="AF47" s="114"/>
      <c r="AG47" s="114"/>
      <c r="AJ47" s="2"/>
    </row>
    <row r="48" spans="1:36" s="57" customFormat="1">
      <c r="A48" s="3"/>
      <c r="B48" s="3"/>
      <c r="C48" s="3"/>
      <c r="D48" s="83"/>
      <c r="E48" s="83"/>
      <c r="F48" s="91"/>
      <c r="G48" s="3"/>
      <c r="H48" s="3"/>
      <c r="I48" s="3"/>
      <c r="J48" s="112"/>
      <c r="M48" s="120"/>
      <c r="N48" s="120"/>
      <c r="O48" s="121"/>
      <c r="P48" s="120"/>
      <c r="Q48" s="121"/>
      <c r="R48" s="120"/>
      <c r="T48" s="122"/>
      <c r="U48" s="123"/>
      <c r="V48" s="122"/>
      <c r="W48" s="122"/>
      <c r="X48" s="122"/>
      <c r="Y48" s="123"/>
      <c r="Z48" s="91"/>
      <c r="AB48" s="120"/>
      <c r="AC48" s="120"/>
      <c r="AD48" s="120"/>
      <c r="AE48" s="120"/>
      <c r="AF48" s="120"/>
      <c r="AG48" s="120"/>
      <c r="AJ48" s="2"/>
    </row>
    <row r="49" spans="1:36">
      <c r="A49" s="3"/>
      <c r="B49" s="3"/>
      <c r="C49" s="3"/>
      <c r="D49" s="83"/>
      <c r="E49" s="83"/>
      <c r="F49" s="88"/>
      <c r="G49" s="3"/>
      <c r="H49" s="3"/>
      <c r="I49" s="3"/>
      <c r="J49" s="112"/>
      <c r="M49" s="85"/>
      <c r="N49" s="85"/>
      <c r="O49" s="85"/>
      <c r="P49" s="85"/>
      <c r="Q49" s="85"/>
      <c r="R49" s="85"/>
      <c r="T49" s="117"/>
      <c r="U49" s="118"/>
      <c r="V49" s="117"/>
      <c r="W49" s="117"/>
      <c r="X49" s="117"/>
      <c r="Y49" s="117"/>
      <c r="Z49" s="69"/>
      <c r="AB49" s="83"/>
      <c r="AC49" s="83"/>
      <c r="AD49" s="83"/>
      <c r="AE49" s="83"/>
      <c r="AF49" s="83"/>
      <c r="AG49" s="83"/>
    </row>
    <row r="50" spans="1:36">
      <c r="A50" s="3"/>
      <c r="B50" s="3"/>
      <c r="C50" s="3"/>
      <c r="D50" s="83"/>
      <c r="E50" s="83"/>
      <c r="F50" s="88"/>
      <c r="G50" s="3"/>
      <c r="H50" s="3"/>
      <c r="I50" s="3"/>
      <c r="J50" s="112"/>
      <c r="M50" s="85"/>
      <c r="N50" s="85"/>
      <c r="O50" s="85"/>
      <c r="P50" s="85"/>
      <c r="Q50" s="85"/>
      <c r="R50" s="85"/>
      <c r="T50" s="84"/>
      <c r="U50" s="84"/>
      <c r="V50" s="84"/>
      <c r="W50" s="84"/>
      <c r="X50" s="84"/>
      <c r="Y50" s="84"/>
      <c r="Z50" s="88"/>
      <c r="AB50" s="83"/>
      <c r="AC50" s="83"/>
      <c r="AD50" s="83"/>
      <c r="AE50" s="83"/>
      <c r="AF50" s="83"/>
      <c r="AG50" s="83"/>
    </row>
    <row r="51" spans="1:36" s="90" customFormat="1">
      <c r="A51" s="3"/>
      <c r="B51" s="3"/>
      <c r="C51" s="3"/>
      <c r="D51" s="83"/>
      <c r="E51" s="83"/>
      <c r="F51" s="89"/>
      <c r="G51" s="3"/>
      <c r="H51" s="3"/>
      <c r="I51" s="3"/>
      <c r="J51" s="113"/>
      <c r="M51" s="114"/>
      <c r="N51" s="114"/>
      <c r="O51" s="119"/>
      <c r="P51" s="114"/>
      <c r="Q51" s="119"/>
      <c r="R51" s="114"/>
      <c r="T51" s="115"/>
      <c r="U51" s="115"/>
      <c r="V51" s="115"/>
      <c r="W51" s="115"/>
      <c r="X51" s="115"/>
      <c r="Y51" s="115"/>
      <c r="Z51" s="89"/>
      <c r="AB51" s="114"/>
      <c r="AC51" s="114"/>
      <c r="AD51" s="114"/>
      <c r="AE51" s="114"/>
      <c r="AF51" s="114"/>
      <c r="AG51" s="114"/>
      <c r="AJ51" s="2"/>
    </row>
    <row r="52" spans="1:36" s="57" customFormat="1">
      <c r="A52" s="3"/>
      <c r="B52" s="3"/>
      <c r="C52" s="3"/>
      <c r="D52" s="83"/>
      <c r="E52" s="83"/>
      <c r="F52" s="91"/>
      <c r="G52" s="3"/>
      <c r="H52" s="3"/>
      <c r="I52" s="3"/>
      <c r="J52" s="112"/>
      <c r="M52" s="120"/>
      <c r="N52" s="120"/>
      <c r="O52" s="121"/>
      <c r="P52" s="120"/>
      <c r="Q52" s="121"/>
      <c r="R52" s="120"/>
      <c r="T52" s="122"/>
      <c r="U52" s="122"/>
      <c r="V52" s="122"/>
      <c r="W52" s="122"/>
      <c r="X52" s="122"/>
      <c r="Y52" s="122"/>
      <c r="Z52" s="91"/>
      <c r="AB52" s="120"/>
      <c r="AC52" s="120"/>
      <c r="AD52" s="120"/>
      <c r="AE52" s="120"/>
      <c r="AF52" s="120"/>
      <c r="AG52" s="120"/>
      <c r="AJ52" s="2"/>
    </row>
    <row r="53" spans="1:36">
      <c r="A53" s="3"/>
      <c r="B53" s="3"/>
      <c r="C53" s="3"/>
      <c r="D53" s="83"/>
      <c r="E53" s="83"/>
      <c r="F53" s="88"/>
      <c r="G53" s="3"/>
      <c r="H53" s="3"/>
      <c r="I53" s="3"/>
      <c r="J53" s="112"/>
      <c r="M53" s="85"/>
      <c r="N53" s="85"/>
      <c r="O53" s="85"/>
      <c r="P53" s="85"/>
      <c r="Q53" s="85"/>
      <c r="R53" s="85"/>
      <c r="T53" s="84"/>
      <c r="U53" s="111"/>
      <c r="V53" s="84"/>
      <c r="W53" s="84"/>
      <c r="X53" s="84"/>
      <c r="Y53" s="84"/>
      <c r="Z53" s="88"/>
      <c r="AB53" s="83"/>
      <c r="AC53" s="83"/>
      <c r="AD53" s="83"/>
      <c r="AE53" s="83"/>
      <c r="AF53" s="83"/>
      <c r="AG53" s="83"/>
    </row>
    <row r="54" spans="1:36" s="57" customFormat="1">
      <c r="A54" s="3"/>
      <c r="B54" s="3"/>
      <c r="C54" s="3"/>
      <c r="D54" s="83"/>
      <c r="E54" s="83"/>
      <c r="F54" s="91"/>
      <c r="G54" s="3"/>
      <c r="H54" s="3"/>
      <c r="I54" s="3"/>
      <c r="J54" s="112"/>
      <c r="M54" s="124"/>
      <c r="N54" s="124"/>
      <c r="O54" s="124"/>
      <c r="P54" s="124"/>
      <c r="Q54" s="124"/>
      <c r="R54" s="124"/>
      <c r="T54" s="122"/>
      <c r="U54" s="123"/>
      <c r="V54" s="122"/>
      <c r="W54" s="122"/>
      <c r="X54" s="122"/>
      <c r="Y54" s="122"/>
      <c r="Z54" s="91"/>
      <c r="AB54" s="120"/>
      <c r="AC54" s="120"/>
      <c r="AD54" s="120"/>
      <c r="AE54" s="120"/>
      <c r="AF54" s="120"/>
      <c r="AG54" s="120"/>
      <c r="AJ54" s="2"/>
    </row>
    <row r="55" spans="1:36" s="57" customFormat="1">
      <c r="A55" s="3"/>
      <c r="B55" s="3"/>
      <c r="C55" s="3"/>
      <c r="D55" s="83"/>
      <c r="E55" s="83"/>
      <c r="F55" s="91"/>
      <c r="G55" s="3"/>
      <c r="H55" s="3"/>
      <c r="I55" s="3"/>
      <c r="J55" s="112"/>
      <c r="M55" s="124"/>
      <c r="N55" s="124"/>
      <c r="O55" s="124"/>
      <c r="P55" s="124"/>
      <c r="Q55" s="124"/>
      <c r="R55" s="124"/>
      <c r="T55" s="122"/>
      <c r="U55" s="123"/>
      <c r="V55" s="122"/>
      <c r="W55" s="122"/>
      <c r="X55" s="122"/>
      <c r="Y55" s="122"/>
      <c r="Z55" s="91"/>
      <c r="AB55" s="120"/>
      <c r="AC55" s="120"/>
      <c r="AD55" s="120"/>
      <c r="AE55" s="120"/>
      <c r="AF55" s="120"/>
      <c r="AG55" s="120"/>
      <c r="AJ55" s="2"/>
    </row>
    <row r="56" spans="1:36">
      <c r="A56" s="3"/>
      <c r="B56" s="3"/>
      <c r="C56" s="3"/>
      <c r="D56" s="83"/>
      <c r="E56" s="83"/>
      <c r="F56" s="88"/>
      <c r="G56" s="3"/>
      <c r="H56" s="3"/>
      <c r="I56" s="3"/>
      <c r="J56" s="112"/>
      <c r="M56" s="85"/>
      <c r="N56" s="85"/>
      <c r="O56" s="85"/>
      <c r="P56" s="85"/>
      <c r="Q56" s="85"/>
      <c r="R56" s="85"/>
      <c r="T56" s="84"/>
      <c r="U56" s="111"/>
      <c r="V56" s="84"/>
      <c r="W56" s="84"/>
      <c r="X56" s="84"/>
      <c r="Y56" s="84"/>
      <c r="Z56" s="88"/>
      <c r="AB56" s="83"/>
      <c r="AC56" s="83"/>
      <c r="AD56" s="83"/>
      <c r="AE56" s="83"/>
      <c r="AF56" s="83"/>
      <c r="AG56" s="83"/>
    </row>
    <row r="57" spans="1:36" s="57" customFormat="1">
      <c r="A57" s="3"/>
      <c r="B57" s="3"/>
      <c r="C57" s="3"/>
      <c r="D57" s="83"/>
      <c r="E57" s="83"/>
      <c r="F57" s="91"/>
      <c r="G57" s="3"/>
      <c r="H57" s="3"/>
      <c r="I57" s="3"/>
      <c r="J57" s="112"/>
      <c r="M57" s="124"/>
      <c r="N57" s="124"/>
      <c r="O57" s="124"/>
      <c r="P57" s="124"/>
      <c r="Q57" s="124"/>
      <c r="R57" s="124"/>
      <c r="T57" s="122"/>
      <c r="U57" s="123"/>
      <c r="V57" s="122"/>
      <c r="W57" s="122"/>
      <c r="X57" s="122"/>
      <c r="Y57" s="122"/>
      <c r="Z57" s="91"/>
      <c r="AB57" s="120"/>
      <c r="AC57" s="120"/>
      <c r="AD57" s="120"/>
      <c r="AE57" s="120"/>
      <c r="AF57" s="120"/>
      <c r="AG57" s="120"/>
      <c r="AJ57" s="2"/>
    </row>
    <row r="58" spans="1:36" s="57" customFormat="1">
      <c r="A58" s="3"/>
      <c r="B58" s="3"/>
      <c r="C58" s="3"/>
      <c r="D58" s="83"/>
      <c r="E58" s="83"/>
      <c r="F58" s="91"/>
      <c r="G58" s="3"/>
      <c r="H58" s="3"/>
      <c r="I58" s="3"/>
      <c r="J58" s="112"/>
      <c r="M58" s="124"/>
      <c r="N58" s="124"/>
      <c r="O58" s="124"/>
      <c r="P58" s="124"/>
      <c r="Q58" s="124"/>
      <c r="R58" s="124"/>
      <c r="T58" s="122"/>
      <c r="U58" s="123"/>
      <c r="V58" s="122"/>
      <c r="W58" s="122"/>
      <c r="X58" s="122"/>
      <c r="Y58" s="122"/>
      <c r="Z58" s="91"/>
      <c r="AB58" s="120"/>
      <c r="AC58" s="120"/>
      <c r="AD58" s="120"/>
      <c r="AE58" s="120"/>
      <c r="AF58" s="120"/>
      <c r="AG58" s="120"/>
      <c r="AJ58" s="2"/>
    </row>
    <row r="59" spans="1:36">
      <c r="A59" s="3"/>
      <c r="B59" s="3"/>
      <c r="C59" s="3"/>
      <c r="D59" s="83"/>
      <c r="E59" s="83"/>
      <c r="F59" s="93"/>
      <c r="G59" s="3"/>
      <c r="H59" s="3"/>
      <c r="I59" s="3"/>
      <c r="J59" s="112"/>
      <c r="M59" s="85"/>
      <c r="N59" s="85"/>
      <c r="O59" s="85"/>
      <c r="P59" s="85"/>
      <c r="Q59" s="85"/>
      <c r="R59" s="85"/>
      <c r="T59" s="84"/>
      <c r="U59" s="111"/>
      <c r="V59" s="84"/>
      <c r="W59" s="84"/>
      <c r="X59" s="84"/>
      <c r="Y59" s="84"/>
      <c r="Z59" s="88"/>
      <c r="AB59" s="83"/>
      <c r="AC59" s="83"/>
      <c r="AD59" s="83"/>
      <c r="AE59" s="83"/>
      <c r="AF59" s="83"/>
      <c r="AG59" s="83"/>
    </row>
    <row r="60" spans="1:36">
      <c r="A60" s="3"/>
      <c r="B60" s="3"/>
      <c r="C60" s="3"/>
      <c r="D60" s="83"/>
      <c r="E60" s="83"/>
      <c r="F60" s="93"/>
      <c r="G60" s="3"/>
      <c r="H60" s="3"/>
      <c r="I60" s="3"/>
      <c r="J60" s="112"/>
      <c r="M60" s="85"/>
      <c r="N60" s="85"/>
      <c r="O60" s="85"/>
      <c r="P60" s="85"/>
      <c r="Q60" s="85"/>
      <c r="R60" s="85"/>
      <c r="T60" s="84"/>
      <c r="U60" s="111"/>
      <c r="V60" s="111"/>
      <c r="W60" s="111"/>
      <c r="X60" s="111"/>
      <c r="Y60" s="84"/>
      <c r="Z60" s="88"/>
      <c r="AB60" s="83"/>
      <c r="AC60" s="83"/>
      <c r="AD60" s="83"/>
      <c r="AE60" s="83"/>
      <c r="AF60" s="83"/>
      <c r="AG60" s="83"/>
    </row>
    <row r="61" spans="1:36">
      <c r="A61" s="3"/>
      <c r="B61" s="3"/>
      <c r="C61" s="3"/>
      <c r="D61" s="83"/>
      <c r="E61" s="83"/>
      <c r="F61" s="93"/>
      <c r="G61" s="3"/>
      <c r="H61" s="3"/>
      <c r="I61" s="3"/>
      <c r="J61" s="112"/>
      <c r="M61" s="85"/>
      <c r="N61" s="85"/>
      <c r="O61" s="85"/>
      <c r="P61" s="85"/>
      <c r="Q61" s="85"/>
      <c r="R61" s="85"/>
      <c r="T61" s="84"/>
      <c r="U61" s="111"/>
      <c r="V61" s="111"/>
      <c r="W61" s="111"/>
      <c r="X61" s="111"/>
      <c r="Y61" s="84"/>
      <c r="Z61" s="88"/>
      <c r="AB61" s="83"/>
      <c r="AC61" s="83"/>
      <c r="AD61" s="83"/>
      <c r="AE61" s="83"/>
      <c r="AF61" s="83"/>
      <c r="AG61" s="83"/>
    </row>
    <row r="62" spans="1:36" s="57" customFormat="1">
      <c r="A62" s="3"/>
      <c r="B62" s="3"/>
      <c r="C62" s="3"/>
      <c r="D62" s="83"/>
      <c r="E62" s="83"/>
      <c r="F62" s="91"/>
      <c r="G62" s="3"/>
      <c r="H62" s="3"/>
      <c r="I62" s="3"/>
      <c r="J62" s="112"/>
      <c r="M62" s="124"/>
      <c r="N62" s="124"/>
      <c r="O62" s="124"/>
      <c r="P62" s="124"/>
      <c r="Q62" s="124"/>
      <c r="R62" s="124"/>
      <c r="T62" s="122"/>
      <c r="U62" s="123"/>
      <c r="V62" s="122"/>
      <c r="W62" s="122"/>
      <c r="X62" s="122"/>
      <c r="Y62" s="122"/>
      <c r="Z62" s="91"/>
      <c r="AB62" s="120"/>
      <c r="AC62" s="120"/>
      <c r="AD62" s="120"/>
      <c r="AE62" s="120"/>
      <c r="AF62" s="120"/>
      <c r="AG62" s="120"/>
      <c r="AJ62" s="2"/>
    </row>
    <row r="63" spans="1:36">
      <c r="A63" s="3"/>
      <c r="B63" s="3"/>
      <c r="C63" s="3"/>
      <c r="D63" s="83"/>
      <c r="E63" s="83"/>
      <c r="F63" s="88"/>
      <c r="G63" s="3"/>
      <c r="H63" s="3"/>
      <c r="I63" s="3"/>
      <c r="J63" s="112"/>
      <c r="M63" s="85"/>
      <c r="N63" s="85"/>
      <c r="O63" s="85"/>
      <c r="P63" s="85"/>
      <c r="Q63" s="85"/>
      <c r="R63" s="85"/>
      <c r="T63" s="84"/>
      <c r="U63" s="111"/>
      <c r="V63" s="111"/>
      <c r="W63" s="111"/>
      <c r="X63" s="111"/>
      <c r="Y63" s="84"/>
      <c r="Z63" s="88"/>
      <c r="AB63" s="83"/>
      <c r="AC63" s="83"/>
      <c r="AD63" s="83"/>
      <c r="AE63" s="83"/>
      <c r="AF63" s="83"/>
      <c r="AG63" s="83"/>
    </row>
    <row r="64" spans="1:36" s="57" customFormat="1">
      <c r="A64" s="3"/>
      <c r="B64" s="3"/>
      <c r="C64" s="3"/>
      <c r="D64" s="83"/>
      <c r="E64" s="83"/>
      <c r="F64" s="91"/>
      <c r="G64" s="3"/>
      <c r="H64" s="3"/>
      <c r="I64" s="3"/>
      <c r="J64" s="112"/>
      <c r="M64" s="124"/>
      <c r="N64" s="124"/>
      <c r="O64" s="124"/>
      <c r="P64" s="124"/>
      <c r="Q64" s="124"/>
      <c r="R64" s="124"/>
      <c r="T64" s="122"/>
      <c r="U64" s="123"/>
      <c r="V64" s="122"/>
      <c r="W64" s="122"/>
      <c r="X64" s="122"/>
      <c r="Y64" s="122"/>
      <c r="Z64" s="91"/>
      <c r="AB64" s="120"/>
      <c r="AC64" s="120"/>
      <c r="AD64" s="120"/>
      <c r="AE64" s="120"/>
      <c r="AF64" s="120"/>
      <c r="AG64" s="120"/>
      <c r="AJ64" s="2"/>
    </row>
    <row r="65" spans="1:36">
      <c r="A65" s="3"/>
      <c r="B65" s="3"/>
      <c r="C65" s="3"/>
      <c r="D65" s="83"/>
      <c r="E65" s="83"/>
      <c r="F65" s="93"/>
      <c r="G65" s="3"/>
      <c r="H65" s="3"/>
      <c r="I65" s="3"/>
      <c r="J65" s="112"/>
      <c r="M65" s="85"/>
      <c r="N65" s="85"/>
      <c r="O65" s="85"/>
      <c r="P65" s="85"/>
      <c r="Q65" s="85"/>
      <c r="R65" s="85"/>
      <c r="T65" s="117"/>
      <c r="U65" s="118"/>
      <c r="V65" s="118"/>
      <c r="W65" s="118"/>
      <c r="X65" s="118"/>
      <c r="Y65" s="117"/>
      <c r="Z65" s="69"/>
      <c r="AB65" s="83"/>
      <c r="AC65" s="83"/>
      <c r="AD65" s="83"/>
      <c r="AE65" s="83"/>
      <c r="AF65" s="83"/>
      <c r="AG65" s="83"/>
    </row>
    <row r="66" spans="1:36">
      <c r="A66" s="3"/>
      <c r="B66" s="3"/>
      <c r="C66" s="3"/>
      <c r="D66" s="83"/>
      <c r="E66" s="83"/>
      <c r="F66" s="93"/>
      <c r="G66" s="3"/>
      <c r="H66" s="3"/>
      <c r="I66" s="3"/>
      <c r="J66" s="112"/>
      <c r="M66" s="85"/>
      <c r="N66" s="85"/>
      <c r="O66" s="85"/>
      <c r="P66" s="85"/>
      <c r="Q66" s="85"/>
      <c r="R66" s="85"/>
      <c r="T66" s="84"/>
      <c r="U66" s="111"/>
      <c r="V66" s="84"/>
      <c r="W66" s="84"/>
      <c r="X66" s="84"/>
      <c r="Y66" s="84"/>
      <c r="Z66" s="88"/>
      <c r="AB66" s="83"/>
      <c r="AC66" s="83"/>
      <c r="AD66" s="83"/>
      <c r="AE66" s="83"/>
      <c r="AF66" s="83"/>
      <c r="AG66" s="83"/>
    </row>
    <row r="67" spans="1:36" s="90" customFormat="1">
      <c r="A67" s="3"/>
      <c r="B67" s="3"/>
      <c r="C67" s="3"/>
      <c r="D67" s="83"/>
      <c r="E67" s="83"/>
      <c r="F67" s="95"/>
      <c r="G67" s="3"/>
      <c r="H67" s="3"/>
      <c r="I67" s="3"/>
      <c r="J67" s="113"/>
      <c r="M67" s="114"/>
      <c r="N67" s="114"/>
      <c r="O67" s="119"/>
      <c r="P67" s="114"/>
      <c r="Q67" s="119"/>
      <c r="R67" s="114"/>
      <c r="T67" s="115"/>
      <c r="U67" s="116"/>
      <c r="V67" s="115"/>
      <c r="W67" s="115"/>
      <c r="X67" s="115"/>
      <c r="Y67" s="115"/>
      <c r="Z67" s="89"/>
      <c r="AB67" s="114"/>
      <c r="AC67" s="114"/>
      <c r="AD67" s="114"/>
      <c r="AE67" s="114"/>
      <c r="AF67" s="114"/>
      <c r="AG67" s="114"/>
      <c r="AJ67" s="2"/>
    </row>
    <row r="68" spans="1:36" s="57" customFormat="1">
      <c r="A68" s="3"/>
      <c r="B68" s="3"/>
      <c r="C68" s="3"/>
      <c r="D68" s="83"/>
      <c r="E68" s="83"/>
      <c r="F68" s="91"/>
      <c r="G68" s="3"/>
      <c r="H68" s="3"/>
      <c r="I68" s="3"/>
      <c r="J68" s="112"/>
      <c r="M68" s="124"/>
      <c r="N68" s="124"/>
      <c r="O68" s="124"/>
      <c r="P68" s="124"/>
      <c r="Q68" s="124"/>
      <c r="R68" s="124"/>
      <c r="T68" s="122"/>
      <c r="U68" s="123"/>
      <c r="V68" s="122"/>
      <c r="W68" s="122"/>
      <c r="X68" s="122"/>
      <c r="Y68" s="122"/>
      <c r="Z68" s="91"/>
      <c r="AB68" s="120"/>
      <c r="AC68" s="120"/>
      <c r="AD68" s="120"/>
      <c r="AE68" s="120"/>
      <c r="AF68" s="120"/>
      <c r="AG68" s="120"/>
      <c r="AJ68" s="2"/>
    </row>
    <row r="69" spans="1:36">
      <c r="A69" s="3"/>
      <c r="B69" s="3"/>
      <c r="C69" s="3"/>
      <c r="D69" s="83"/>
      <c r="E69" s="83"/>
      <c r="F69" s="93"/>
      <c r="G69" s="3"/>
      <c r="H69" s="3"/>
      <c r="I69" s="3"/>
      <c r="J69" s="112"/>
      <c r="M69" s="85"/>
      <c r="N69" s="85"/>
      <c r="O69" s="85"/>
      <c r="P69" s="85"/>
      <c r="Q69" s="85"/>
      <c r="R69" s="85"/>
      <c r="T69" s="117"/>
      <c r="U69" s="118"/>
      <c r="V69" s="118"/>
      <c r="W69" s="118"/>
      <c r="X69" s="118"/>
      <c r="Y69" s="117"/>
      <c r="Z69" s="69"/>
      <c r="AB69" s="83"/>
      <c r="AC69" s="83"/>
      <c r="AD69" s="83"/>
      <c r="AE69" s="83"/>
      <c r="AF69" s="83"/>
      <c r="AG69" s="83"/>
    </row>
    <row r="70" spans="1:36">
      <c r="A70" s="3"/>
      <c r="B70" s="3"/>
      <c r="C70" s="3"/>
      <c r="D70" s="83"/>
      <c r="E70" s="83"/>
      <c r="F70" s="93"/>
      <c r="G70" s="3"/>
      <c r="H70" s="3"/>
      <c r="I70" s="3"/>
      <c r="J70" s="112"/>
      <c r="M70" s="85"/>
      <c r="N70" s="85"/>
      <c r="O70" s="85"/>
      <c r="P70" s="85"/>
      <c r="Q70" s="85"/>
      <c r="R70" s="85"/>
      <c r="T70" s="84"/>
      <c r="U70" s="111"/>
      <c r="V70" s="84"/>
      <c r="W70" s="84"/>
      <c r="X70" s="84"/>
      <c r="Y70" s="84"/>
      <c r="Z70" s="88"/>
      <c r="AB70" s="83"/>
      <c r="AC70" s="83"/>
      <c r="AD70" s="83"/>
      <c r="AE70" s="83"/>
      <c r="AF70" s="83"/>
      <c r="AG70" s="83"/>
    </row>
    <row r="71" spans="1:36" s="90" customFormat="1">
      <c r="A71" s="3"/>
      <c r="B71" s="3"/>
      <c r="C71" s="3"/>
      <c r="D71" s="83"/>
      <c r="E71" s="83"/>
      <c r="F71" s="95"/>
      <c r="G71" s="3"/>
      <c r="H71" s="3"/>
      <c r="I71" s="3"/>
      <c r="J71" s="113"/>
      <c r="M71" s="114"/>
      <c r="N71" s="114"/>
      <c r="O71" s="119"/>
      <c r="P71" s="114"/>
      <c r="Q71" s="119"/>
      <c r="R71" s="114"/>
      <c r="T71" s="115"/>
      <c r="U71" s="116"/>
      <c r="V71" s="115"/>
      <c r="W71" s="115"/>
      <c r="X71" s="115"/>
      <c r="Y71" s="115"/>
      <c r="Z71" s="89"/>
      <c r="AB71" s="114"/>
      <c r="AC71" s="114"/>
      <c r="AD71" s="114"/>
      <c r="AE71" s="114"/>
      <c r="AF71" s="114"/>
      <c r="AG71" s="114"/>
      <c r="AJ71" s="2"/>
    </row>
    <row r="72" spans="1:36">
      <c r="A72" s="3"/>
      <c r="B72" s="3"/>
      <c r="C72" s="3"/>
      <c r="D72" s="86"/>
      <c r="E72" s="83"/>
      <c r="F72" s="96"/>
      <c r="G72" s="3"/>
      <c r="H72" s="3"/>
      <c r="I72" s="3"/>
      <c r="J72" s="112"/>
      <c r="M72" s="85"/>
      <c r="N72" s="85"/>
      <c r="O72" s="85"/>
      <c r="P72" s="85"/>
      <c r="Q72" s="85"/>
      <c r="R72" s="85"/>
      <c r="T72" s="117"/>
      <c r="U72" s="118"/>
      <c r="V72" s="118"/>
      <c r="W72" s="118"/>
      <c r="X72" s="118"/>
      <c r="Y72" s="117"/>
      <c r="Z72" s="69"/>
      <c r="AB72" s="83"/>
      <c r="AC72" s="83"/>
      <c r="AD72" s="83"/>
      <c r="AE72" s="83"/>
      <c r="AF72" s="83"/>
      <c r="AG72" s="83"/>
    </row>
    <row r="73" spans="1:36">
      <c r="A73" s="3"/>
      <c r="B73" s="3"/>
      <c r="C73" s="3"/>
      <c r="D73" s="86"/>
      <c r="E73" s="83"/>
      <c r="F73" s="96"/>
      <c r="G73" s="3"/>
      <c r="H73" s="3"/>
      <c r="I73" s="3"/>
      <c r="J73" s="112"/>
      <c r="M73" s="85"/>
      <c r="N73" s="85"/>
      <c r="O73" s="85"/>
      <c r="P73" s="85"/>
      <c r="Q73" s="85"/>
      <c r="R73" s="85"/>
      <c r="T73" s="84"/>
      <c r="U73" s="111"/>
      <c r="V73" s="84"/>
      <c r="W73" s="84"/>
      <c r="X73" s="84"/>
      <c r="Y73" s="84"/>
      <c r="Z73" s="88"/>
      <c r="AB73" s="83"/>
      <c r="AC73" s="83"/>
      <c r="AD73" s="83"/>
      <c r="AE73" s="83"/>
      <c r="AF73" s="83"/>
      <c r="AG73" s="83"/>
    </row>
    <row r="74" spans="1:36" s="90" customFormat="1">
      <c r="A74" s="3"/>
      <c r="B74" s="3"/>
      <c r="C74" s="3"/>
      <c r="D74" s="97"/>
      <c r="E74" s="83"/>
      <c r="F74" s="98"/>
      <c r="G74" s="3"/>
      <c r="H74" s="3"/>
      <c r="I74" s="3"/>
      <c r="J74" s="113"/>
      <c r="M74" s="114"/>
      <c r="N74" s="114"/>
      <c r="O74" s="119"/>
      <c r="P74" s="114"/>
      <c r="Q74" s="119"/>
      <c r="R74" s="89"/>
      <c r="T74" s="115"/>
      <c r="U74" s="116"/>
      <c r="V74" s="115"/>
      <c r="W74" s="115"/>
      <c r="X74" s="115"/>
      <c r="Y74" s="115"/>
      <c r="Z74" s="89"/>
      <c r="AB74" s="114"/>
      <c r="AC74" s="114"/>
      <c r="AD74" s="114"/>
      <c r="AE74" s="114"/>
      <c r="AF74" s="114"/>
      <c r="AG74" s="114"/>
      <c r="AJ74" s="2"/>
    </row>
    <row r="75" spans="1:36" s="57" customFormat="1">
      <c r="A75" s="3"/>
      <c r="B75" s="3"/>
      <c r="C75" s="3"/>
      <c r="D75" s="83"/>
      <c r="E75" s="83"/>
      <c r="F75" s="91"/>
      <c r="G75" s="3"/>
      <c r="H75" s="3"/>
      <c r="I75" s="3"/>
      <c r="J75" s="112"/>
      <c r="M75" s="124"/>
      <c r="N75" s="124"/>
      <c r="O75" s="124"/>
      <c r="P75" s="124"/>
      <c r="Q75" s="124"/>
      <c r="R75" s="124"/>
      <c r="T75" s="122"/>
      <c r="U75" s="123"/>
      <c r="V75" s="122"/>
      <c r="W75" s="122"/>
      <c r="X75" s="122"/>
      <c r="Y75" s="122"/>
      <c r="Z75" s="91"/>
      <c r="AB75" s="120"/>
      <c r="AC75" s="120"/>
      <c r="AD75" s="120"/>
      <c r="AE75" s="120"/>
      <c r="AF75" s="120"/>
      <c r="AG75" s="120"/>
      <c r="AJ75" s="2"/>
    </row>
    <row r="76" spans="1:36">
      <c r="A76" s="3"/>
      <c r="B76" s="3"/>
      <c r="C76" s="3"/>
      <c r="D76" s="83"/>
      <c r="E76" s="83"/>
      <c r="F76" s="96"/>
      <c r="G76" s="3"/>
      <c r="H76" s="3"/>
      <c r="I76" s="3"/>
      <c r="J76" s="112"/>
      <c r="M76" s="85"/>
      <c r="N76" s="85"/>
      <c r="O76" s="85"/>
      <c r="P76" s="85"/>
      <c r="Q76" s="85"/>
      <c r="R76" s="85"/>
      <c r="T76" s="84"/>
      <c r="U76" s="111"/>
      <c r="V76" s="111"/>
      <c r="W76" s="84"/>
      <c r="X76" s="84"/>
      <c r="Y76" s="84"/>
      <c r="Z76" s="88"/>
      <c r="AB76" s="83"/>
      <c r="AC76" s="83"/>
      <c r="AD76" s="83"/>
      <c r="AE76" s="83"/>
      <c r="AF76" s="83"/>
      <c r="AG76" s="83"/>
    </row>
    <row r="77" spans="1:36">
      <c r="A77" s="3"/>
      <c r="B77" s="3"/>
      <c r="C77" s="3"/>
      <c r="D77" s="83"/>
      <c r="E77" s="83"/>
      <c r="F77" s="96"/>
      <c r="G77" s="3"/>
      <c r="H77" s="3"/>
      <c r="I77" s="3"/>
      <c r="J77" s="112"/>
      <c r="M77" s="85"/>
      <c r="N77" s="85"/>
      <c r="O77" s="85"/>
      <c r="P77" s="85"/>
      <c r="Q77" s="85"/>
      <c r="R77" s="85"/>
      <c r="T77" s="84"/>
      <c r="U77" s="111"/>
      <c r="V77" s="111"/>
      <c r="W77" s="84"/>
      <c r="X77" s="84"/>
      <c r="Y77" s="84"/>
      <c r="Z77" s="88"/>
      <c r="AB77" s="83"/>
      <c r="AC77" s="83"/>
      <c r="AD77" s="83"/>
      <c r="AE77" s="83"/>
      <c r="AF77" s="83"/>
      <c r="AG77" s="83"/>
    </row>
    <row r="78" spans="1:36">
      <c r="A78" s="3"/>
      <c r="B78" s="3"/>
      <c r="C78" s="3"/>
      <c r="D78" s="83"/>
      <c r="E78" s="83"/>
      <c r="F78" s="96"/>
      <c r="G78" s="3"/>
      <c r="H78" s="3"/>
      <c r="I78" s="3"/>
      <c r="J78" s="125"/>
      <c r="M78" s="85"/>
      <c r="N78" s="85"/>
      <c r="O78" s="85"/>
      <c r="P78" s="85"/>
      <c r="Q78" s="85"/>
      <c r="R78" s="85"/>
      <c r="T78" s="84"/>
      <c r="U78" s="111"/>
      <c r="V78" s="111"/>
      <c r="W78" s="84"/>
      <c r="X78" s="84"/>
      <c r="Y78" s="84"/>
      <c r="Z78" s="88"/>
      <c r="AB78" s="83"/>
      <c r="AC78" s="83"/>
      <c r="AD78" s="83"/>
      <c r="AE78" s="83"/>
      <c r="AF78" s="83"/>
      <c r="AG78" s="83"/>
    </row>
    <row r="79" spans="1:36">
      <c r="A79" s="3"/>
      <c r="B79" s="3"/>
      <c r="C79" s="3"/>
      <c r="D79" s="83"/>
      <c r="E79" s="83"/>
      <c r="F79" s="96"/>
      <c r="G79" s="3"/>
      <c r="H79" s="3"/>
      <c r="I79" s="3"/>
      <c r="J79" s="125"/>
      <c r="M79" s="85"/>
      <c r="N79" s="85"/>
      <c r="O79" s="85"/>
      <c r="P79" s="85"/>
      <c r="Q79" s="85"/>
      <c r="R79" s="85"/>
      <c r="T79" s="84"/>
      <c r="U79" s="111"/>
      <c r="V79" s="111"/>
      <c r="W79" s="84"/>
      <c r="X79" s="84"/>
      <c r="Y79" s="84"/>
      <c r="Z79" s="88"/>
      <c r="AB79" s="83"/>
      <c r="AC79" s="83"/>
      <c r="AD79" s="83"/>
      <c r="AE79" s="83"/>
      <c r="AF79" s="83"/>
      <c r="AG79" s="83"/>
    </row>
    <row r="80" spans="1:36">
      <c r="A80" s="3"/>
      <c r="B80" s="3"/>
      <c r="C80" s="3"/>
      <c r="D80" s="83"/>
      <c r="E80" s="83"/>
      <c r="F80" s="96"/>
      <c r="J80" s="125"/>
      <c r="M80" s="85"/>
      <c r="N80" s="85"/>
      <c r="O80" s="85"/>
      <c r="P80" s="85"/>
      <c r="Q80" s="85"/>
      <c r="R80" s="85"/>
      <c r="T80" s="84"/>
      <c r="U80" s="111"/>
      <c r="V80" s="111"/>
      <c r="W80" s="84"/>
      <c r="X80" s="84"/>
      <c r="Y80" s="84"/>
      <c r="Z80" s="88"/>
      <c r="AB80" s="83"/>
      <c r="AC80" s="83"/>
      <c r="AD80" s="83"/>
      <c r="AE80" s="83"/>
      <c r="AF80" s="83"/>
      <c r="AG80" s="83"/>
    </row>
    <row r="81" spans="1:33">
      <c r="A81" s="3"/>
      <c r="B81" s="3"/>
      <c r="C81" s="3"/>
      <c r="D81" s="83"/>
      <c r="E81" s="83"/>
      <c r="F81" s="96"/>
      <c r="G81" s="3"/>
      <c r="H81" s="3"/>
      <c r="I81" s="3"/>
      <c r="J81" s="125"/>
      <c r="M81" s="85"/>
      <c r="N81" s="85"/>
      <c r="O81" s="85"/>
      <c r="P81" s="85"/>
      <c r="Q81" s="85"/>
      <c r="R81" s="85"/>
      <c r="T81" s="84"/>
      <c r="U81" s="111"/>
      <c r="V81" s="111"/>
      <c r="W81" s="84"/>
      <c r="X81" s="84"/>
      <c r="Y81" s="84"/>
      <c r="Z81" s="88"/>
      <c r="AB81" s="83"/>
      <c r="AC81" s="83"/>
      <c r="AD81" s="83"/>
      <c r="AE81" s="83"/>
      <c r="AF81" s="83"/>
      <c r="AG81" s="83"/>
    </row>
    <row r="82" spans="1:33">
      <c r="A82" s="3"/>
      <c r="B82" s="3"/>
      <c r="C82" s="3"/>
      <c r="D82" s="83"/>
      <c r="E82" s="83"/>
      <c r="F82" s="96"/>
      <c r="G82" s="3"/>
      <c r="H82" s="3"/>
      <c r="I82" s="3"/>
      <c r="J82" s="125"/>
      <c r="M82" s="85"/>
      <c r="N82" s="85"/>
      <c r="O82" s="85"/>
      <c r="P82" s="85"/>
      <c r="Q82" s="85"/>
      <c r="R82" s="85"/>
      <c r="T82" s="84"/>
      <c r="U82" s="111"/>
      <c r="V82" s="111"/>
      <c r="W82" s="84"/>
      <c r="X82" s="84"/>
      <c r="Y82" s="84"/>
      <c r="Z82" s="88"/>
      <c r="AB82" s="83"/>
      <c r="AC82" s="83"/>
      <c r="AD82" s="83"/>
      <c r="AE82" s="83"/>
      <c r="AF82" s="83"/>
      <c r="AG82" s="83"/>
    </row>
    <row r="83" spans="1:33">
      <c r="A83" s="3"/>
      <c r="B83" s="3"/>
      <c r="C83" s="3"/>
      <c r="D83" s="83"/>
      <c r="E83" s="83"/>
      <c r="F83" s="96"/>
      <c r="G83" s="3"/>
      <c r="H83" s="3"/>
      <c r="I83" s="3"/>
      <c r="J83" s="125"/>
      <c r="M83" s="85"/>
      <c r="N83" s="85"/>
      <c r="O83" s="85"/>
      <c r="P83" s="85"/>
      <c r="Q83" s="85"/>
      <c r="R83" s="85"/>
      <c r="T83" s="84"/>
      <c r="U83" s="111"/>
      <c r="V83" s="111"/>
      <c r="W83" s="84"/>
      <c r="X83" s="84"/>
      <c r="Y83" s="84"/>
      <c r="Z83" s="88"/>
      <c r="AB83" s="83"/>
      <c r="AC83" s="83"/>
      <c r="AD83" s="83"/>
      <c r="AE83" s="83"/>
      <c r="AF83" s="83"/>
      <c r="AG83" s="83"/>
    </row>
    <row r="84" spans="1:33">
      <c r="A84" s="3"/>
      <c r="B84" s="3"/>
      <c r="C84" s="3"/>
      <c r="D84" s="83"/>
      <c r="E84" s="83"/>
      <c r="F84" s="96"/>
      <c r="G84" s="3"/>
      <c r="H84" s="3"/>
      <c r="I84" s="3"/>
      <c r="J84" s="112"/>
      <c r="M84" s="85"/>
      <c r="N84" s="85"/>
      <c r="O84" s="85"/>
      <c r="P84" s="85"/>
      <c r="Q84" s="85"/>
      <c r="R84" s="85"/>
      <c r="T84" s="84"/>
      <c r="U84" s="111"/>
      <c r="V84" s="84"/>
      <c r="W84" s="84"/>
      <c r="X84" s="84"/>
      <c r="Y84" s="84"/>
      <c r="Z84" s="88"/>
      <c r="AB84" s="83"/>
      <c r="AC84" s="83"/>
      <c r="AD84" s="83"/>
      <c r="AE84" s="83"/>
      <c r="AF84" s="83"/>
      <c r="AG84" s="83"/>
    </row>
    <row r="85" spans="1:33">
      <c r="A85" s="3"/>
      <c r="B85" s="3"/>
      <c r="C85" s="3"/>
      <c r="D85" s="83"/>
      <c r="E85" s="83"/>
      <c r="F85" s="96"/>
      <c r="G85" s="3"/>
      <c r="H85" s="3"/>
      <c r="I85" s="3"/>
      <c r="J85" s="125"/>
      <c r="M85" s="85"/>
      <c r="N85" s="85"/>
      <c r="O85" s="85"/>
      <c r="P85" s="85"/>
      <c r="Q85" s="85"/>
      <c r="R85" s="85"/>
      <c r="T85" s="84"/>
      <c r="U85" s="111"/>
      <c r="V85" s="111"/>
      <c r="W85" s="84"/>
      <c r="X85" s="84"/>
      <c r="Y85" s="84"/>
      <c r="Z85" s="88"/>
      <c r="AB85" s="83"/>
      <c r="AC85" s="83"/>
      <c r="AD85" s="83"/>
      <c r="AE85" s="83"/>
      <c r="AF85" s="83"/>
      <c r="AG85" s="83"/>
    </row>
    <row r="86" spans="1:33">
      <c r="B86" s="82"/>
      <c r="C86" s="3"/>
      <c r="D86" s="83"/>
      <c r="E86" s="83"/>
      <c r="F86" s="96"/>
      <c r="G86" s="97"/>
      <c r="H86" s="97"/>
      <c r="I86" s="97"/>
      <c r="J86" s="125"/>
      <c r="M86" s="85"/>
      <c r="N86" s="85"/>
      <c r="O86" s="85"/>
      <c r="P86" s="85"/>
      <c r="Q86" s="85"/>
      <c r="R86" s="85"/>
      <c r="T86" s="84"/>
      <c r="U86" s="111"/>
      <c r="V86" s="84"/>
      <c r="W86" s="84"/>
      <c r="X86" s="84"/>
      <c r="Y86" s="84"/>
      <c r="Z86" s="88"/>
      <c r="AB86" s="83"/>
      <c r="AC86" s="83"/>
      <c r="AD86" s="83"/>
      <c r="AE86" s="83"/>
      <c r="AF86" s="83"/>
      <c r="AG86" s="83"/>
    </row>
    <row r="87" spans="1:33">
      <c r="B87" s="82"/>
      <c r="C87" s="3"/>
      <c r="D87" s="83"/>
      <c r="E87" s="83"/>
      <c r="F87" s="96"/>
      <c r="G87" s="97"/>
      <c r="H87" s="97"/>
      <c r="I87" s="97"/>
      <c r="J87" s="112"/>
      <c r="M87" s="85"/>
      <c r="N87" s="85"/>
      <c r="O87" s="85"/>
      <c r="P87" s="85"/>
      <c r="Q87" s="85"/>
      <c r="R87" s="85"/>
      <c r="T87" s="84"/>
      <c r="U87" s="111"/>
      <c r="V87" s="84"/>
      <c r="W87" s="84"/>
      <c r="X87" s="84"/>
      <c r="Y87" s="84"/>
      <c r="Z87" s="88"/>
      <c r="AB87" s="83"/>
      <c r="AC87" s="83"/>
      <c r="AD87" s="83"/>
      <c r="AE87" s="83"/>
      <c r="AF87" s="83"/>
      <c r="AG87" s="83"/>
    </row>
    <row r="88" spans="1:33">
      <c r="B88" s="82"/>
      <c r="C88" s="3"/>
      <c r="D88" s="83"/>
      <c r="E88" s="83"/>
      <c r="F88" s="96"/>
      <c r="G88" s="97"/>
      <c r="H88" s="97"/>
      <c r="I88" s="97"/>
      <c r="J88" s="125"/>
      <c r="M88" s="85"/>
      <c r="N88" s="85"/>
      <c r="O88" s="85"/>
      <c r="P88" s="85"/>
      <c r="Q88" s="85"/>
      <c r="R88" s="85"/>
      <c r="T88" s="84"/>
      <c r="U88" s="111"/>
      <c r="V88" s="111"/>
      <c r="W88" s="84"/>
      <c r="X88" s="84"/>
      <c r="Y88" s="84"/>
      <c r="Z88" s="88"/>
      <c r="AB88" s="83"/>
      <c r="AC88" s="83"/>
      <c r="AD88" s="83"/>
      <c r="AE88" s="83"/>
      <c r="AF88" s="83"/>
      <c r="AG88" s="83"/>
    </row>
    <row r="89" spans="1:33">
      <c r="B89" s="82"/>
      <c r="C89" s="3"/>
      <c r="D89" s="83"/>
      <c r="E89" s="83"/>
      <c r="F89" s="96"/>
      <c r="G89" s="97"/>
      <c r="H89" s="97"/>
      <c r="I89" s="97"/>
      <c r="J89" s="126"/>
      <c r="M89" s="85"/>
      <c r="N89" s="85"/>
      <c r="O89" s="85"/>
      <c r="P89" s="85"/>
      <c r="Q89" s="85"/>
      <c r="R89" s="85"/>
      <c r="T89" s="111"/>
      <c r="U89" s="111"/>
      <c r="V89" s="127"/>
      <c r="W89" s="111"/>
      <c r="X89" s="111"/>
      <c r="Y89" s="84"/>
      <c r="Z89" s="88"/>
      <c r="AB89" s="83"/>
      <c r="AC89" s="83"/>
      <c r="AD89" s="83"/>
      <c r="AE89" s="83"/>
      <c r="AF89" s="83"/>
      <c r="AG89" s="83"/>
    </row>
    <row r="90" spans="1:33">
      <c r="B90" s="88"/>
      <c r="D90" s="83"/>
      <c r="E90" s="83"/>
      <c r="F90" s="93"/>
      <c r="G90" s="85"/>
      <c r="H90" s="85"/>
      <c r="I90" s="85"/>
      <c r="J90" s="112"/>
      <c r="M90" s="85"/>
      <c r="N90" s="85"/>
      <c r="O90" s="85"/>
      <c r="P90" s="85"/>
      <c r="Q90" s="85"/>
      <c r="R90" s="85"/>
      <c r="T90" s="84"/>
      <c r="U90" s="111"/>
      <c r="V90" s="84"/>
      <c r="W90" s="84"/>
      <c r="X90" s="84"/>
      <c r="Y90" s="84"/>
      <c r="Z90" s="88"/>
      <c r="AB90" s="83"/>
      <c r="AC90" s="83"/>
      <c r="AD90" s="83"/>
      <c r="AE90" s="83"/>
      <c r="AF90" s="83"/>
      <c r="AG90" s="83"/>
    </row>
    <row r="91" spans="1:33">
      <c r="B91" s="82"/>
      <c r="C91" s="3"/>
      <c r="D91" s="83"/>
      <c r="E91" s="83"/>
      <c r="F91" s="93"/>
      <c r="G91" s="85"/>
      <c r="H91" s="85"/>
      <c r="I91" s="85"/>
      <c r="J91" s="112"/>
      <c r="M91" s="85"/>
      <c r="N91" s="85"/>
      <c r="O91" s="85"/>
      <c r="P91" s="85"/>
      <c r="Q91" s="85"/>
      <c r="R91" s="85"/>
      <c r="T91" s="84"/>
      <c r="U91" s="111"/>
      <c r="V91" s="84"/>
      <c r="W91" s="84"/>
      <c r="X91" s="84"/>
      <c r="Y91" s="84"/>
      <c r="Z91" s="88"/>
      <c r="AB91" s="83"/>
      <c r="AC91" s="83"/>
      <c r="AD91" s="83"/>
      <c r="AE91" s="83"/>
      <c r="AF91" s="83"/>
      <c r="AG91" s="83"/>
    </row>
    <row r="92" spans="1:33">
      <c r="M92" s="85"/>
      <c r="N92" s="85"/>
      <c r="O92" s="85"/>
      <c r="P92" s="85"/>
      <c r="Q92" s="85"/>
      <c r="R92" s="85"/>
    </row>
    <row r="93" spans="1:33">
      <c r="F93" s="84"/>
      <c r="G93" s="85"/>
      <c r="H93" s="85"/>
    </row>
    <row r="94" spans="1:33">
      <c r="F94" s="84"/>
      <c r="G94" s="85"/>
      <c r="H94" s="85"/>
    </row>
    <row r="95" spans="1:33">
      <c r="F95" s="84"/>
      <c r="G95" s="85"/>
      <c r="H95" s="85"/>
    </row>
    <row r="96" spans="1:33">
      <c r="D96" s="85"/>
      <c r="E96" s="85"/>
      <c r="F96" s="84"/>
      <c r="G96" s="110"/>
      <c r="H96" s="110"/>
      <c r="I96" s="110"/>
    </row>
    <row r="97" spans="1:18">
      <c r="D97" s="85"/>
      <c r="E97" s="85"/>
      <c r="F97" s="84"/>
      <c r="G97" s="110"/>
      <c r="H97" s="110"/>
      <c r="I97" s="110"/>
    </row>
    <row r="98" spans="1:18">
      <c r="D98" s="85"/>
      <c r="E98" s="85"/>
      <c r="F98" s="84"/>
      <c r="G98" s="110"/>
      <c r="H98" s="110"/>
      <c r="I98" s="110"/>
    </row>
    <row r="99" spans="1:18">
      <c r="D99" s="85"/>
      <c r="E99" s="85"/>
      <c r="F99" s="84"/>
      <c r="G99" s="110"/>
      <c r="H99" s="110"/>
      <c r="I99" s="110"/>
      <c r="J99" s="85"/>
      <c r="M99" s="85"/>
      <c r="N99" s="85"/>
      <c r="O99" s="85"/>
      <c r="P99" s="85"/>
      <c r="Q99" s="85"/>
      <c r="R99" s="85"/>
    </row>
    <row r="100" spans="1:18">
      <c r="D100" s="85"/>
      <c r="E100" s="85"/>
      <c r="F100" s="84"/>
      <c r="G100" s="110"/>
      <c r="H100" s="110"/>
      <c r="I100" s="110"/>
      <c r="J100" s="85"/>
      <c r="M100" s="85"/>
      <c r="N100" s="85"/>
      <c r="O100" s="85"/>
      <c r="P100" s="85"/>
      <c r="Q100" s="85"/>
      <c r="R100" s="85"/>
    </row>
    <row r="101" spans="1:18">
      <c r="D101" s="85"/>
      <c r="E101" s="85"/>
      <c r="F101" s="84"/>
      <c r="G101" s="110"/>
      <c r="H101" s="110"/>
      <c r="I101" s="110"/>
      <c r="J101" s="85"/>
    </row>
    <row r="102" spans="1:18">
      <c r="D102" s="85"/>
      <c r="E102" s="85"/>
      <c r="F102" s="84"/>
      <c r="G102" s="110"/>
      <c r="H102" s="110"/>
      <c r="I102" s="110"/>
      <c r="J102" s="85"/>
    </row>
    <row r="103" spans="1:18">
      <c r="D103" s="85"/>
      <c r="E103" s="85"/>
      <c r="F103" s="84"/>
      <c r="G103" s="110"/>
      <c r="H103" s="110"/>
      <c r="I103" s="110"/>
      <c r="J103" s="85"/>
    </row>
    <row r="104" spans="1:18">
      <c r="D104" s="85"/>
      <c r="E104" s="85"/>
      <c r="F104" s="84"/>
      <c r="G104" s="110"/>
      <c r="H104" s="110"/>
      <c r="I104" s="110"/>
      <c r="J104" s="85"/>
    </row>
    <row r="105" spans="1:18">
      <c r="D105" s="85"/>
      <c r="E105" s="85"/>
      <c r="F105" s="84"/>
      <c r="G105" s="110"/>
      <c r="H105" s="110"/>
      <c r="I105" s="110"/>
      <c r="J105" s="85"/>
    </row>
    <row r="106" spans="1:18">
      <c r="D106" s="85"/>
      <c r="E106" s="85"/>
      <c r="F106" s="84"/>
      <c r="G106" s="110"/>
      <c r="H106" s="110"/>
      <c r="I106" s="110"/>
      <c r="J106" s="85"/>
    </row>
    <row r="107" spans="1:18">
      <c r="D107" s="85"/>
      <c r="E107" s="85"/>
      <c r="F107" s="84"/>
      <c r="G107" s="110"/>
      <c r="H107" s="110"/>
      <c r="I107" s="110"/>
      <c r="J107" s="85"/>
    </row>
    <row r="108" spans="1:18">
      <c r="D108" s="85"/>
      <c r="E108" s="85"/>
      <c r="F108" s="84"/>
      <c r="G108" s="110"/>
      <c r="H108" s="110"/>
      <c r="I108" s="110"/>
    </row>
    <row r="109" spans="1:18">
      <c r="A109" s="68"/>
      <c r="B109" s="68"/>
      <c r="C109" s="68"/>
      <c r="D109" s="69"/>
      <c r="E109" s="117"/>
      <c r="F109" s="68"/>
      <c r="G109" s="92"/>
      <c r="H109" s="92"/>
    </row>
    <row r="110" spans="1:18">
      <c r="A110" s="68"/>
      <c r="B110" s="68"/>
      <c r="C110" s="68"/>
      <c r="D110" s="69"/>
      <c r="E110" s="117"/>
      <c r="F110" s="117"/>
      <c r="G110" s="92"/>
      <c r="H110" s="92"/>
      <c r="I110" s="85"/>
      <c r="J110" s="85"/>
      <c r="M110" s="85"/>
      <c r="N110" s="85"/>
      <c r="O110" s="85"/>
      <c r="P110" s="85"/>
      <c r="Q110" s="85"/>
      <c r="R110" s="85"/>
    </row>
    <row r="111" spans="1:18">
      <c r="A111" s="68"/>
      <c r="B111" s="68"/>
      <c r="C111" s="68"/>
      <c r="D111" s="118"/>
      <c r="E111" s="118"/>
      <c r="F111" s="117"/>
      <c r="G111" s="118"/>
      <c r="H111" s="118"/>
      <c r="I111" s="85"/>
      <c r="J111" s="85"/>
      <c r="M111" s="85"/>
      <c r="N111" s="85"/>
      <c r="O111" s="85"/>
      <c r="P111" s="85"/>
      <c r="Q111" s="85"/>
      <c r="R111" s="85"/>
    </row>
    <row r="112" spans="1:18">
      <c r="M112" s="85"/>
      <c r="N112" s="85"/>
      <c r="O112" s="85"/>
      <c r="P112" s="85"/>
      <c r="Q112" s="85"/>
      <c r="R112" s="85"/>
    </row>
    <row r="113" spans="1:33">
      <c r="D113" s="85"/>
      <c r="E113" s="83"/>
      <c r="F113" s="84"/>
      <c r="G113" s="83"/>
      <c r="H113" s="83"/>
      <c r="I113" s="83"/>
      <c r="J113" s="85"/>
      <c r="M113" s="85"/>
      <c r="N113" s="85"/>
      <c r="O113" s="85"/>
      <c r="P113" s="85"/>
      <c r="Q113" s="85"/>
      <c r="R113" s="85"/>
      <c r="T113" s="84"/>
      <c r="U113" s="84"/>
      <c r="V113" s="84"/>
      <c r="W113" s="84"/>
      <c r="X113" s="84"/>
      <c r="Y113" s="84"/>
      <c r="AB113" s="83"/>
      <c r="AC113" s="83"/>
      <c r="AD113" s="83"/>
      <c r="AE113" s="83"/>
      <c r="AF113" s="83"/>
      <c r="AG113" s="83"/>
    </row>
    <row r="114" spans="1:33">
      <c r="D114" s="85"/>
      <c r="E114" s="83"/>
      <c r="F114" s="84"/>
      <c r="G114" s="83"/>
      <c r="H114" s="83"/>
      <c r="I114" s="83"/>
      <c r="J114" s="85"/>
      <c r="M114" s="85"/>
      <c r="N114" s="85"/>
      <c r="O114" s="85"/>
      <c r="P114" s="85"/>
      <c r="Q114" s="85"/>
      <c r="R114" s="85"/>
      <c r="T114" s="84"/>
      <c r="U114" s="84"/>
      <c r="V114" s="84"/>
      <c r="W114" s="84"/>
      <c r="X114" s="84"/>
      <c r="Y114" s="84"/>
      <c r="AB114" s="83"/>
      <c r="AC114" s="83"/>
      <c r="AD114" s="83"/>
      <c r="AE114" s="83"/>
      <c r="AF114" s="83"/>
      <c r="AG114" s="83"/>
    </row>
    <row r="115" spans="1:33">
      <c r="D115" s="85"/>
      <c r="E115" s="83"/>
      <c r="F115" s="84"/>
      <c r="G115" s="83"/>
      <c r="H115" s="83"/>
      <c r="I115" s="83"/>
      <c r="J115" s="85"/>
      <c r="M115" s="85"/>
      <c r="N115" s="85"/>
      <c r="O115" s="85"/>
      <c r="P115" s="85"/>
      <c r="Q115" s="85"/>
      <c r="R115" s="85"/>
      <c r="T115" s="84"/>
      <c r="U115" s="84"/>
      <c r="V115" s="84"/>
      <c r="W115" s="84"/>
      <c r="X115" s="84"/>
      <c r="Y115" s="84"/>
      <c r="AB115" s="83"/>
      <c r="AC115" s="83"/>
      <c r="AD115" s="83"/>
      <c r="AE115" s="83"/>
      <c r="AF115" s="83"/>
      <c r="AG115" s="83"/>
    </row>
    <row r="116" spans="1:33">
      <c r="D116" s="85"/>
      <c r="E116" s="83"/>
      <c r="F116" s="84"/>
      <c r="G116" s="83"/>
      <c r="H116" s="83"/>
      <c r="I116" s="83"/>
      <c r="J116" s="85"/>
      <c r="M116" s="85"/>
      <c r="N116" s="85"/>
      <c r="O116" s="85"/>
      <c r="P116" s="85"/>
      <c r="Q116" s="85"/>
      <c r="R116" s="85"/>
      <c r="T116" s="84"/>
      <c r="U116" s="84"/>
      <c r="V116" s="84"/>
      <c r="W116" s="84"/>
      <c r="X116" s="84"/>
      <c r="Y116" s="84"/>
      <c r="AB116" s="83"/>
      <c r="AC116" s="83"/>
      <c r="AD116" s="83"/>
      <c r="AE116" s="83"/>
      <c r="AF116" s="83"/>
      <c r="AG116" s="83"/>
    </row>
    <row r="117" spans="1:33">
      <c r="A117" s="68"/>
      <c r="B117" s="68"/>
      <c r="C117" s="68"/>
      <c r="D117" s="129"/>
      <c r="E117" s="92"/>
      <c r="F117" s="117"/>
      <c r="G117" s="92"/>
      <c r="H117" s="92"/>
      <c r="I117" s="83"/>
      <c r="J117" s="85"/>
      <c r="AB117" s="83"/>
      <c r="AC117" s="83"/>
      <c r="AD117" s="83"/>
      <c r="AE117" s="83"/>
      <c r="AF117" s="83"/>
      <c r="AG117" s="83"/>
    </row>
    <row r="118" spans="1:33">
      <c r="A118" s="68"/>
      <c r="B118" s="68"/>
      <c r="C118" s="68"/>
      <c r="D118" s="129"/>
      <c r="E118" s="92"/>
      <c r="F118" s="117"/>
      <c r="G118" s="129"/>
      <c r="H118" s="129"/>
    </row>
    <row r="119" spans="1:33">
      <c r="A119" s="68"/>
      <c r="B119" s="68"/>
      <c r="C119" s="68"/>
      <c r="D119" s="69"/>
      <c r="E119" s="117"/>
      <c r="F119" s="117"/>
      <c r="G119" s="117"/>
      <c r="H119" s="117"/>
    </row>
    <row r="120" spans="1:33">
      <c r="I120" s="83"/>
      <c r="J120" s="83"/>
      <c r="K120" s="83"/>
      <c r="L120" s="83"/>
      <c r="Z120" s="83"/>
      <c r="AA120" s="83"/>
      <c r="AB120" s="83"/>
      <c r="AC120" s="83"/>
      <c r="AD120" s="83"/>
      <c r="AE120" s="83"/>
    </row>
    <row r="121" spans="1:33">
      <c r="D121" s="83"/>
      <c r="E121" s="83"/>
      <c r="F121" s="88"/>
      <c r="G121" s="85"/>
      <c r="H121" s="85"/>
      <c r="I121" s="85"/>
      <c r="J121" s="85"/>
      <c r="M121" s="83"/>
      <c r="N121" s="83"/>
      <c r="O121" s="83"/>
      <c r="P121" s="88"/>
      <c r="Q121" s="88"/>
      <c r="R121" s="83"/>
      <c r="T121" s="88"/>
      <c r="U121" s="88"/>
      <c r="V121" s="88"/>
      <c r="W121" s="88"/>
      <c r="X121" s="88"/>
      <c r="Y121" s="88"/>
      <c r="Z121" s="88"/>
      <c r="AB121" s="83"/>
      <c r="AC121" s="83"/>
      <c r="AD121" s="83"/>
      <c r="AE121" s="83"/>
      <c r="AF121" s="83"/>
      <c r="AG121" s="83"/>
    </row>
    <row r="122" spans="1:33">
      <c r="D122" s="83"/>
      <c r="E122" s="83"/>
      <c r="F122" s="88"/>
      <c r="G122" s="85"/>
      <c r="H122" s="85"/>
      <c r="I122" s="85"/>
      <c r="J122" s="85"/>
      <c r="M122" s="83"/>
      <c r="N122" s="83"/>
      <c r="O122" s="83"/>
      <c r="P122" s="88"/>
      <c r="Q122" s="88"/>
      <c r="R122" s="83"/>
      <c r="T122" s="88"/>
      <c r="U122" s="88"/>
      <c r="V122" s="88"/>
      <c r="W122" s="88"/>
      <c r="X122" s="88"/>
      <c r="Y122" s="88"/>
      <c r="Z122" s="88"/>
      <c r="AB122" s="83"/>
      <c r="AC122" s="83"/>
      <c r="AD122" s="83"/>
      <c r="AE122" s="83"/>
      <c r="AF122" s="83"/>
      <c r="AG122" s="83"/>
    </row>
    <row r="123" spans="1:33">
      <c r="D123" s="83"/>
      <c r="E123" s="83"/>
      <c r="F123" s="88"/>
      <c r="G123" s="85"/>
      <c r="H123" s="85"/>
      <c r="I123" s="85"/>
      <c r="J123" s="85"/>
      <c r="M123" s="83"/>
      <c r="N123" s="83"/>
      <c r="O123" s="83"/>
      <c r="P123" s="88"/>
      <c r="Q123" s="88"/>
      <c r="R123" s="83"/>
      <c r="T123" s="88"/>
      <c r="U123" s="88"/>
      <c r="V123" s="88"/>
      <c r="W123" s="88"/>
      <c r="X123" s="88"/>
      <c r="Y123" s="88"/>
      <c r="Z123" s="88"/>
      <c r="AB123" s="83"/>
      <c r="AC123" s="83"/>
      <c r="AD123" s="83"/>
      <c r="AE123" s="83"/>
      <c r="AF123" s="83"/>
      <c r="AG123" s="83"/>
    </row>
    <row r="124" spans="1:33">
      <c r="D124" s="83"/>
      <c r="E124" s="83"/>
      <c r="F124" s="88"/>
      <c r="G124" s="85"/>
      <c r="H124" s="85"/>
      <c r="I124" s="85"/>
      <c r="J124" s="85"/>
      <c r="M124" s="83"/>
      <c r="N124" s="83"/>
      <c r="O124" s="83"/>
      <c r="P124" s="88"/>
      <c r="Q124" s="88"/>
      <c r="R124" s="83"/>
      <c r="T124" s="88"/>
      <c r="U124" s="88"/>
      <c r="V124" s="88"/>
      <c r="W124" s="88"/>
      <c r="X124" s="88"/>
      <c r="Y124" s="88"/>
      <c r="Z124" s="88"/>
      <c r="AB124" s="83"/>
      <c r="AC124" s="83"/>
      <c r="AD124" s="83"/>
      <c r="AE124" s="83"/>
      <c r="AF124" s="83"/>
      <c r="AG124" s="83"/>
    </row>
    <row r="125" spans="1:33">
      <c r="D125" s="83"/>
      <c r="E125" s="83"/>
      <c r="F125" s="88"/>
      <c r="G125" s="85"/>
      <c r="H125" s="85"/>
      <c r="I125" s="85"/>
      <c r="J125" s="85"/>
      <c r="M125" s="83"/>
      <c r="N125" s="83"/>
      <c r="O125" s="83"/>
      <c r="P125" s="88"/>
      <c r="Q125" s="88"/>
      <c r="R125" s="83"/>
      <c r="T125" s="88"/>
      <c r="U125" s="88"/>
      <c r="V125" s="88"/>
      <c r="W125" s="88"/>
      <c r="X125" s="88"/>
      <c r="Y125" s="88"/>
      <c r="Z125" s="88"/>
      <c r="AB125" s="83"/>
      <c r="AC125" s="83"/>
      <c r="AD125" s="83"/>
      <c r="AE125" s="83"/>
      <c r="AF125" s="83"/>
      <c r="AG125" s="83"/>
    </row>
    <row r="126" spans="1:33">
      <c r="D126" s="83"/>
      <c r="E126" s="83"/>
      <c r="F126" s="88"/>
      <c r="G126" s="85"/>
      <c r="H126" s="85"/>
      <c r="I126" s="85"/>
      <c r="J126" s="85"/>
      <c r="M126" s="83"/>
      <c r="N126" s="83"/>
      <c r="O126" s="83"/>
      <c r="P126" s="88"/>
      <c r="Q126" s="88"/>
      <c r="R126" s="83"/>
      <c r="T126" s="88"/>
      <c r="U126" s="88"/>
      <c r="V126" s="88"/>
      <c r="W126" s="88"/>
      <c r="X126" s="88"/>
      <c r="Y126" s="88"/>
      <c r="Z126" s="88"/>
      <c r="AC126" s="83"/>
      <c r="AD126" s="83"/>
      <c r="AE126" s="83"/>
      <c r="AF126" s="83"/>
      <c r="AG126" s="83"/>
    </row>
    <row r="127" spans="1:33">
      <c r="D127" s="83"/>
      <c r="E127" s="83"/>
      <c r="F127" s="88"/>
      <c r="G127" s="85"/>
      <c r="H127" s="85"/>
      <c r="I127" s="85"/>
      <c r="J127" s="85"/>
      <c r="M127" s="83"/>
      <c r="N127" s="83"/>
      <c r="O127" s="83"/>
      <c r="P127" s="88"/>
      <c r="Q127" s="88"/>
      <c r="R127" s="83"/>
      <c r="T127" s="88"/>
      <c r="U127" s="88"/>
      <c r="V127" s="88"/>
      <c r="W127" s="88"/>
      <c r="X127" s="88"/>
      <c r="Y127" s="88"/>
      <c r="Z127" s="88"/>
      <c r="AC127" s="83"/>
      <c r="AD127" s="83"/>
      <c r="AE127" s="83"/>
      <c r="AF127" s="83"/>
      <c r="AG127" s="83"/>
    </row>
    <row r="128" spans="1:33">
      <c r="D128" s="83"/>
      <c r="E128" s="83"/>
      <c r="F128" s="88"/>
      <c r="G128" s="85"/>
      <c r="H128" s="85"/>
      <c r="I128" s="85"/>
      <c r="J128" s="85"/>
      <c r="M128" s="83"/>
      <c r="N128" s="83"/>
      <c r="O128" s="83"/>
      <c r="P128" s="88"/>
      <c r="Q128" s="88"/>
      <c r="R128" s="83"/>
      <c r="T128" s="88"/>
      <c r="U128" s="88"/>
      <c r="V128" s="88"/>
      <c r="W128" s="88"/>
      <c r="X128" s="88"/>
      <c r="Y128" s="88"/>
      <c r="Z128" s="88"/>
      <c r="AB128" s="83"/>
      <c r="AC128" s="83"/>
      <c r="AD128" s="83"/>
      <c r="AE128" s="83"/>
      <c r="AF128" s="83"/>
      <c r="AG128" s="83"/>
    </row>
    <row r="129" spans="1:33">
      <c r="D129" s="83"/>
      <c r="E129" s="83"/>
      <c r="F129" s="88"/>
      <c r="G129" s="85"/>
      <c r="H129" s="85"/>
      <c r="I129" s="85"/>
      <c r="J129" s="85"/>
      <c r="M129" s="83"/>
      <c r="N129" s="83"/>
      <c r="O129" s="83"/>
      <c r="P129" s="88"/>
      <c r="Q129" s="88"/>
      <c r="R129" s="83"/>
      <c r="T129" s="88"/>
      <c r="U129" s="88"/>
      <c r="V129" s="88"/>
      <c r="W129" s="88"/>
      <c r="X129" s="88"/>
      <c r="Y129" s="88"/>
      <c r="Z129" s="88"/>
      <c r="AB129" s="83"/>
      <c r="AC129" s="83"/>
      <c r="AD129" s="83"/>
      <c r="AE129" s="83"/>
      <c r="AF129" s="83"/>
      <c r="AG129" s="83"/>
    </row>
    <row r="130" spans="1:33">
      <c r="A130" s="68"/>
      <c r="B130" s="68"/>
      <c r="C130" s="68"/>
      <c r="D130" s="92"/>
      <c r="E130" s="92"/>
      <c r="F130" s="69"/>
      <c r="G130" s="129"/>
      <c r="H130" s="129"/>
    </row>
    <row r="131" spans="1:33">
      <c r="A131" s="68"/>
      <c r="B131" s="68"/>
      <c r="C131" s="68"/>
      <c r="D131" s="92"/>
      <c r="E131" s="92"/>
      <c r="F131" s="69"/>
      <c r="G131" s="129"/>
      <c r="H131" s="129"/>
    </row>
    <row r="132" spans="1:33">
      <c r="A132" s="68"/>
      <c r="B132" s="68"/>
      <c r="C132" s="68"/>
      <c r="D132" s="117"/>
      <c r="E132" s="117"/>
      <c r="F132" s="117"/>
      <c r="G132" s="117"/>
      <c r="H132" s="117"/>
    </row>
    <row r="134" spans="1:33">
      <c r="A134" s="68"/>
      <c r="B134" s="68"/>
      <c r="C134" s="68"/>
      <c r="D134" s="92"/>
      <c r="E134" s="92"/>
      <c r="F134" s="69"/>
      <c r="G134" s="129"/>
      <c r="H134" s="129"/>
    </row>
    <row r="135" spans="1:33">
      <c r="A135" s="68"/>
      <c r="B135" s="68"/>
      <c r="C135" s="68"/>
      <c r="D135" s="92"/>
      <c r="E135" s="92"/>
      <c r="F135" s="69"/>
      <c r="G135" s="129"/>
      <c r="H135" s="129"/>
    </row>
    <row r="136" spans="1:33">
      <c r="A136" s="68"/>
      <c r="B136" s="68"/>
      <c r="C136" s="68"/>
      <c r="D136" s="117"/>
      <c r="E136" s="117"/>
      <c r="F136" s="117"/>
      <c r="G136" s="117"/>
      <c r="H136" s="117"/>
    </row>
    <row r="138" spans="1:33">
      <c r="C138" s="83"/>
      <c r="G138" s="85"/>
      <c r="H138" s="85"/>
      <c r="J138" s="85"/>
      <c r="K138" s="85"/>
      <c r="L138" s="85"/>
    </row>
    <row r="139" spans="1:33">
      <c r="C139" s="83"/>
      <c r="G139" s="85"/>
      <c r="H139" s="85"/>
      <c r="J139" s="85"/>
      <c r="K139" s="85"/>
      <c r="L139" s="85"/>
    </row>
    <row r="140" spans="1:33">
      <c r="C140" s="83"/>
      <c r="G140" s="85"/>
      <c r="H140" s="85"/>
      <c r="J140" s="85"/>
      <c r="K140" s="85"/>
      <c r="L140" s="85"/>
    </row>
    <row r="141" spans="1:33">
      <c r="C141" s="83"/>
      <c r="G141" s="85"/>
      <c r="H141" s="85"/>
      <c r="J141" s="85"/>
      <c r="K141" s="85"/>
      <c r="L141" s="85"/>
    </row>
    <row r="142" spans="1:33">
      <c r="C142" s="83"/>
      <c r="G142" s="85"/>
      <c r="H142" s="85"/>
      <c r="J142" s="85"/>
      <c r="K142" s="85"/>
      <c r="L142" s="85"/>
    </row>
    <row r="143" spans="1:33">
      <c r="C143" s="83"/>
      <c r="G143" s="85"/>
      <c r="H143" s="85"/>
      <c r="J143" s="85"/>
      <c r="K143" s="85"/>
      <c r="L143" s="85"/>
    </row>
    <row r="144" spans="1:33">
      <c r="C144" s="83"/>
      <c r="G144" s="85"/>
      <c r="H144" s="85"/>
      <c r="J144" s="85"/>
      <c r="K144" s="85"/>
      <c r="L144" s="85"/>
    </row>
    <row r="145" spans="3:12">
      <c r="C145" s="83"/>
      <c r="G145" s="85"/>
      <c r="H145" s="85"/>
      <c r="J145" s="85"/>
      <c r="K145" s="85"/>
      <c r="L145" s="85"/>
    </row>
    <row r="146" spans="3:12">
      <c r="C146" s="83"/>
      <c r="G146" s="85"/>
      <c r="H146" s="85"/>
      <c r="J146" s="85"/>
      <c r="K146" s="85"/>
      <c r="L146" s="85"/>
    </row>
    <row r="147" spans="3:12">
      <c r="C147" s="83"/>
      <c r="G147" s="85"/>
      <c r="H147" s="85"/>
      <c r="J147" s="85"/>
      <c r="K147" s="85"/>
      <c r="L147" s="85"/>
    </row>
    <row r="148" spans="3:12">
      <c r="C148" s="83"/>
      <c r="G148" s="85"/>
      <c r="H148" s="85"/>
      <c r="J148" s="85"/>
      <c r="K148" s="85"/>
      <c r="L148" s="85"/>
    </row>
    <row r="149" spans="3:12">
      <c r="C149" s="83"/>
      <c r="G149" s="85"/>
      <c r="H149" s="85"/>
      <c r="J149" s="85"/>
      <c r="K149" s="85"/>
      <c r="L149" s="85"/>
    </row>
    <row r="150" spans="3:12">
      <c r="C150" s="83"/>
      <c r="G150" s="85"/>
      <c r="H150" s="85"/>
      <c r="J150" s="85"/>
      <c r="K150" s="85"/>
      <c r="L150" s="85"/>
    </row>
    <row r="151" spans="3:12">
      <c r="C151" s="83"/>
      <c r="G151" s="85"/>
      <c r="H151" s="85"/>
      <c r="J151" s="85"/>
      <c r="K151" s="85"/>
      <c r="L151" s="85"/>
    </row>
    <row r="152" spans="3:12">
      <c r="C152" s="83"/>
      <c r="G152" s="85"/>
      <c r="H152" s="85"/>
      <c r="J152" s="85"/>
      <c r="K152" s="85"/>
      <c r="L152" s="85"/>
    </row>
    <row r="153" spans="3:12">
      <c r="C153" s="83"/>
      <c r="G153" s="85"/>
      <c r="H153" s="85"/>
      <c r="J153" s="85"/>
      <c r="K153" s="85"/>
      <c r="L153" s="85"/>
    </row>
    <row r="154" spans="3:12">
      <c r="C154" s="83"/>
      <c r="G154" s="85"/>
      <c r="H154" s="85"/>
      <c r="J154" s="85"/>
      <c r="K154" s="85"/>
      <c r="L154" s="85"/>
    </row>
    <row r="155" spans="3:12">
      <c r="C155" s="83"/>
      <c r="G155" s="85"/>
      <c r="H155" s="85"/>
      <c r="J155" s="85"/>
      <c r="K155" s="85"/>
      <c r="L155" s="85"/>
    </row>
    <row r="156" spans="3:12">
      <c r="C156" s="83"/>
      <c r="G156" s="85"/>
      <c r="H156" s="85"/>
      <c r="J156" s="85"/>
      <c r="K156" s="85"/>
      <c r="L156" s="85"/>
    </row>
    <row r="157" spans="3:12">
      <c r="C157" s="83"/>
      <c r="G157" s="85"/>
      <c r="H157" s="85"/>
      <c r="J157" s="85"/>
      <c r="K157" s="85"/>
      <c r="L157" s="85"/>
    </row>
    <row r="158" spans="3:12">
      <c r="C158" s="83"/>
      <c r="G158" s="85"/>
      <c r="H158" s="85"/>
      <c r="J158" s="85"/>
      <c r="K158" s="85"/>
      <c r="L158" s="85"/>
    </row>
    <row r="159" spans="3:12">
      <c r="C159" s="83"/>
      <c r="G159" s="85"/>
      <c r="H159" s="85"/>
      <c r="J159" s="85"/>
      <c r="K159" s="85"/>
      <c r="L159" s="85"/>
    </row>
    <row r="160" spans="3:12">
      <c r="C160" s="83"/>
      <c r="G160" s="85"/>
      <c r="H160" s="85"/>
      <c r="J160" s="85"/>
      <c r="K160" s="85"/>
      <c r="L160" s="85"/>
    </row>
    <row r="161" spans="3:12">
      <c r="C161" s="83"/>
      <c r="G161" s="85"/>
      <c r="H161" s="85"/>
      <c r="J161" s="85"/>
      <c r="K161" s="85"/>
      <c r="L161" s="85"/>
    </row>
    <row r="162" spans="3:12">
      <c r="C162" s="83"/>
      <c r="G162" s="85"/>
      <c r="H162" s="85"/>
      <c r="J162" s="85"/>
      <c r="K162" s="85"/>
      <c r="L162" s="85"/>
    </row>
    <row r="163" spans="3:12">
      <c r="C163" s="83"/>
      <c r="G163" s="85"/>
      <c r="H163" s="85"/>
      <c r="J163" s="85"/>
      <c r="K163" s="85"/>
      <c r="L163" s="85"/>
    </row>
    <row r="164" spans="3:12">
      <c r="C164" s="83"/>
      <c r="G164" s="85"/>
      <c r="H164" s="85"/>
      <c r="J164" s="85"/>
      <c r="K164" s="85"/>
      <c r="L164" s="85"/>
    </row>
    <row r="165" spans="3:12">
      <c r="C165" s="83"/>
      <c r="G165" s="85"/>
      <c r="H165" s="85"/>
      <c r="J165" s="85"/>
      <c r="K165" s="85"/>
      <c r="L165" s="85"/>
    </row>
    <row r="166" spans="3:12">
      <c r="C166" s="83"/>
      <c r="G166" s="85"/>
      <c r="H166" s="85"/>
      <c r="J166" s="85"/>
      <c r="K166" s="85"/>
      <c r="L166" s="85"/>
    </row>
    <row r="167" spans="3:12">
      <c r="C167" s="83"/>
      <c r="G167" s="85"/>
      <c r="H167" s="85"/>
      <c r="J167" s="85"/>
      <c r="K167" s="85"/>
      <c r="L167" s="85"/>
    </row>
    <row r="168" spans="3:12">
      <c r="C168" s="83"/>
      <c r="G168" s="85"/>
      <c r="H168" s="85"/>
      <c r="J168" s="85"/>
      <c r="K168" s="85"/>
      <c r="L168" s="85"/>
    </row>
    <row r="169" spans="3:12">
      <c r="C169" s="83"/>
      <c r="G169" s="85"/>
      <c r="H169" s="85"/>
      <c r="J169" s="85"/>
      <c r="K169" s="85"/>
      <c r="L169" s="85"/>
    </row>
    <row r="170" spans="3:12">
      <c r="C170" s="83"/>
      <c r="G170" s="85"/>
      <c r="H170" s="85"/>
      <c r="J170" s="85"/>
      <c r="K170" s="85"/>
      <c r="L170" s="85"/>
    </row>
    <row r="171" spans="3:12">
      <c r="C171" s="83"/>
      <c r="G171" s="85"/>
      <c r="H171" s="85"/>
      <c r="J171" s="85"/>
      <c r="K171" s="85"/>
      <c r="L171" s="85"/>
    </row>
    <row r="172" spans="3:12">
      <c r="C172" s="83"/>
      <c r="G172" s="85"/>
      <c r="H172" s="85"/>
      <c r="J172" s="85"/>
      <c r="K172" s="85"/>
      <c r="L172" s="85"/>
    </row>
    <row r="173" spans="3:12">
      <c r="C173" s="83"/>
      <c r="G173" s="85"/>
      <c r="H173" s="85"/>
      <c r="J173" s="85"/>
      <c r="K173" s="85"/>
      <c r="L173" s="85"/>
    </row>
    <row r="174" spans="3:12">
      <c r="C174" s="83"/>
      <c r="G174" s="85"/>
      <c r="H174" s="85"/>
      <c r="J174" s="85"/>
      <c r="K174" s="85"/>
      <c r="L174" s="85"/>
    </row>
    <row r="175" spans="3:12">
      <c r="C175" s="83"/>
      <c r="G175" s="85"/>
      <c r="H175" s="85"/>
      <c r="J175" s="85"/>
      <c r="K175" s="85"/>
      <c r="L175" s="85"/>
    </row>
    <row r="176" spans="3:12">
      <c r="C176" s="83"/>
      <c r="G176" s="85"/>
      <c r="H176" s="85"/>
      <c r="J176" s="85"/>
      <c r="K176" s="85"/>
      <c r="L176" s="85"/>
    </row>
    <row r="177" spans="3:12">
      <c r="C177" s="83"/>
      <c r="G177" s="85"/>
      <c r="H177" s="85"/>
      <c r="J177" s="85"/>
      <c r="K177" s="85"/>
      <c r="L177" s="85"/>
    </row>
    <row r="178" spans="3:12">
      <c r="C178" s="83"/>
      <c r="G178" s="85"/>
      <c r="H178" s="85"/>
      <c r="J178" s="85"/>
      <c r="K178" s="85"/>
      <c r="L178" s="85"/>
    </row>
    <row r="179" spans="3:12">
      <c r="C179" s="83"/>
      <c r="G179" s="85"/>
      <c r="H179" s="85"/>
      <c r="J179" s="85"/>
      <c r="K179" s="85"/>
      <c r="L179" s="85"/>
    </row>
    <row r="180" spans="3:12">
      <c r="C180" s="83"/>
      <c r="G180" s="85"/>
      <c r="H180" s="85"/>
      <c r="J180" s="85"/>
      <c r="K180" s="85"/>
      <c r="L180" s="85"/>
    </row>
    <row r="181" spans="3:12">
      <c r="C181" s="83"/>
      <c r="G181" s="85"/>
      <c r="H181" s="85"/>
      <c r="J181" s="85"/>
      <c r="K181" s="85"/>
      <c r="L181" s="85"/>
    </row>
    <row r="182" spans="3:12">
      <c r="C182" s="83"/>
      <c r="G182" s="85"/>
      <c r="H182" s="85"/>
      <c r="J182" s="85"/>
      <c r="K182" s="85"/>
      <c r="L182" s="85"/>
    </row>
    <row r="183" spans="3:12">
      <c r="C183" s="83"/>
      <c r="G183" s="85"/>
      <c r="H183" s="85"/>
      <c r="J183" s="85"/>
      <c r="K183" s="85"/>
      <c r="L183" s="85"/>
    </row>
    <row r="184" spans="3:12">
      <c r="C184" s="83"/>
      <c r="G184" s="85"/>
      <c r="H184" s="85"/>
      <c r="J184" s="85"/>
      <c r="K184" s="85"/>
      <c r="L184" s="85"/>
    </row>
    <row r="185" spans="3:12">
      <c r="C185" s="83"/>
      <c r="G185" s="85"/>
      <c r="H185" s="85"/>
      <c r="J185" s="85"/>
      <c r="K185" s="85"/>
      <c r="L185" s="85"/>
    </row>
    <row r="186" spans="3:12">
      <c r="C186" s="83"/>
      <c r="G186" s="85"/>
      <c r="H186" s="85"/>
      <c r="J186" s="85"/>
      <c r="K186" s="85"/>
      <c r="L186" s="85"/>
    </row>
    <row r="187" spans="3:12">
      <c r="C187" s="83"/>
      <c r="G187" s="85"/>
      <c r="H187" s="85"/>
      <c r="J187" s="85"/>
      <c r="K187" s="85"/>
      <c r="L187" s="85"/>
    </row>
    <row r="188" spans="3:12">
      <c r="C188" s="83"/>
      <c r="G188" s="85"/>
      <c r="H188" s="85"/>
      <c r="J188" s="85"/>
      <c r="K188" s="85"/>
      <c r="L188" s="85"/>
    </row>
    <row r="189" spans="3:12">
      <c r="C189" s="83"/>
      <c r="G189" s="85"/>
      <c r="H189" s="85"/>
      <c r="J189" s="85"/>
      <c r="K189" s="85"/>
      <c r="L189" s="85"/>
    </row>
    <row r="190" spans="3:12">
      <c r="C190" s="83"/>
      <c r="G190" s="85"/>
      <c r="H190" s="85"/>
      <c r="J190" s="85"/>
      <c r="K190" s="85"/>
      <c r="L190" s="85"/>
    </row>
    <row r="191" spans="3:12">
      <c r="C191" s="83"/>
      <c r="G191" s="85"/>
      <c r="H191" s="85"/>
      <c r="J191" s="85"/>
      <c r="K191" s="85"/>
      <c r="L191" s="85"/>
    </row>
    <row r="192" spans="3:12">
      <c r="C192" s="83"/>
      <c r="G192" s="85"/>
      <c r="H192" s="85"/>
      <c r="J192" s="85"/>
      <c r="K192" s="85"/>
      <c r="L192" s="85"/>
    </row>
    <row r="193" spans="3:12">
      <c r="C193" s="83"/>
      <c r="G193" s="85"/>
      <c r="H193" s="85"/>
      <c r="J193" s="85"/>
      <c r="K193" s="85"/>
      <c r="L193" s="85"/>
    </row>
    <row r="194" spans="3:12">
      <c r="C194" s="83"/>
      <c r="G194" s="85"/>
      <c r="H194" s="85"/>
      <c r="J194" s="85"/>
      <c r="K194" s="85"/>
      <c r="L194" s="85"/>
    </row>
    <row r="195" spans="3:12">
      <c r="C195" s="83"/>
      <c r="G195" s="85"/>
      <c r="H195" s="85"/>
      <c r="J195" s="85"/>
      <c r="K195" s="85"/>
      <c r="L195" s="85"/>
    </row>
    <row r="196" spans="3:12">
      <c r="C196" s="83"/>
      <c r="G196" s="85"/>
      <c r="H196" s="85"/>
      <c r="J196" s="85"/>
      <c r="K196" s="85"/>
      <c r="L196" s="85"/>
    </row>
    <row r="197" spans="3:12">
      <c r="C197" s="83"/>
      <c r="G197" s="85"/>
      <c r="H197" s="85"/>
      <c r="J197" s="85"/>
      <c r="K197" s="85"/>
      <c r="L197" s="85"/>
    </row>
    <row r="198" spans="3:12">
      <c r="C198" s="83"/>
      <c r="G198" s="85"/>
      <c r="H198" s="85"/>
      <c r="J198" s="85"/>
      <c r="K198" s="85"/>
      <c r="L198" s="85"/>
    </row>
    <row r="199" spans="3:12">
      <c r="C199" s="83"/>
      <c r="G199" s="85"/>
      <c r="H199" s="85"/>
      <c r="J199" s="85"/>
      <c r="K199" s="85"/>
      <c r="L199" s="85"/>
    </row>
    <row r="200" spans="3:12">
      <c r="C200" s="83"/>
      <c r="G200" s="85"/>
      <c r="H200" s="85"/>
      <c r="J200" s="85"/>
      <c r="K200" s="85"/>
      <c r="L200" s="85"/>
    </row>
    <row r="201" spans="3:12">
      <c r="C201" s="83"/>
      <c r="G201" s="85"/>
      <c r="H201" s="85"/>
      <c r="J201" s="85"/>
      <c r="K201" s="85"/>
      <c r="L201" s="85"/>
    </row>
    <row r="202" spans="3:12">
      <c r="C202" s="83"/>
      <c r="G202" s="85"/>
      <c r="H202" s="85"/>
      <c r="J202" s="85"/>
      <c r="K202" s="85"/>
      <c r="L202" s="85"/>
    </row>
    <row r="203" spans="3:12">
      <c r="C203" s="83"/>
      <c r="G203" s="85"/>
      <c r="H203" s="85"/>
      <c r="J203" s="85"/>
      <c r="K203" s="85"/>
      <c r="L203" s="85"/>
    </row>
    <row r="204" spans="3:12">
      <c r="C204" s="83"/>
      <c r="G204" s="85"/>
      <c r="H204" s="85"/>
      <c r="J204" s="85"/>
      <c r="K204" s="85"/>
      <c r="L204" s="85"/>
    </row>
    <row r="205" spans="3:12">
      <c r="C205" s="83"/>
      <c r="G205" s="85"/>
      <c r="H205" s="85"/>
      <c r="J205" s="85"/>
      <c r="K205" s="85"/>
      <c r="L205" s="85"/>
    </row>
    <row r="206" spans="3:12">
      <c r="C206" s="83"/>
      <c r="G206" s="85"/>
      <c r="H206" s="85"/>
      <c r="J206" s="85"/>
      <c r="K206" s="85"/>
      <c r="L206" s="85"/>
    </row>
    <row r="207" spans="3:12">
      <c r="C207" s="83"/>
      <c r="G207" s="85"/>
      <c r="H207" s="85"/>
      <c r="J207" s="85"/>
      <c r="K207" s="85"/>
      <c r="L207" s="85"/>
    </row>
    <row r="208" spans="3:12">
      <c r="C208" s="83"/>
      <c r="G208" s="85"/>
      <c r="H208" s="85"/>
      <c r="J208" s="85"/>
      <c r="K208" s="85"/>
      <c r="L208" s="85"/>
    </row>
    <row r="209" spans="3:12">
      <c r="C209" s="83"/>
      <c r="G209" s="85"/>
      <c r="H209" s="85"/>
      <c r="J209" s="85"/>
      <c r="K209" s="85"/>
      <c r="L209" s="85"/>
    </row>
    <row r="210" spans="3:12">
      <c r="C210" s="83"/>
      <c r="G210" s="85"/>
      <c r="H210" s="85"/>
      <c r="J210" s="85"/>
      <c r="K210" s="85"/>
      <c r="L210" s="85"/>
    </row>
    <row r="211" spans="3:12">
      <c r="C211" s="83"/>
      <c r="G211" s="85"/>
      <c r="H211" s="85"/>
      <c r="J211" s="85"/>
      <c r="K211" s="85"/>
      <c r="L211" s="85"/>
    </row>
    <row r="212" spans="3:12">
      <c r="C212" s="83"/>
      <c r="G212" s="85"/>
      <c r="H212" s="85"/>
      <c r="J212" s="85"/>
    </row>
    <row r="213" spans="3:12">
      <c r="C213" s="83"/>
      <c r="G213" s="85"/>
      <c r="H213" s="85"/>
      <c r="J213" s="85"/>
    </row>
    <row r="214" spans="3:12">
      <c r="C214" s="83"/>
      <c r="G214" s="85"/>
      <c r="H214" s="85"/>
      <c r="J214" s="85"/>
    </row>
    <row r="215" spans="3:12">
      <c r="C215" s="83"/>
      <c r="G215" s="85"/>
      <c r="H215" s="85"/>
      <c r="J215" s="85"/>
    </row>
    <row r="216" spans="3:12">
      <c r="C216" s="83"/>
      <c r="G216" s="85"/>
      <c r="H216" s="85"/>
      <c r="J216" s="85"/>
    </row>
    <row r="217" spans="3:12">
      <c r="C217" s="83"/>
      <c r="G217" s="85"/>
      <c r="H217" s="85"/>
      <c r="J217" s="85"/>
    </row>
    <row r="218" spans="3:12">
      <c r="C218" s="83"/>
      <c r="G218" s="85"/>
      <c r="H218" s="85"/>
      <c r="J218" s="85"/>
      <c r="K218" s="85"/>
      <c r="L218" s="85"/>
    </row>
    <row r="219" spans="3:12">
      <c r="C219" s="83"/>
      <c r="G219" s="85"/>
      <c r="H219" s="85"/>
      <c r="J219" s="85"/>
      <c r="K219" s="85"/>
      <c r="L219" s="85"/>
    </row>
    <row r="220" spans="3:12">
      <c r="C220" s="83"/>
      <c r="G220" s="85"/>
      <c r="H220" s="85"/>
      <c r="J220" s="85"/>
    </row>
    <row r="221" spans="3:12">
      <c r="C221" s="83"/>
      <c r="G221" s="85"/>
      <c r="H221" s="85"/>
      <c r="J221" s="85"/>
    </row>
    <row r="222" spans="3:12">
      <c r="C222" s="83"/>
      <c r="G222" s="85"/>
      <c r="H222" s="85"/>
      <c r="J222" s="85"/>
    </row>
    <row r="223" spans="3:12">
      <c r="C223" s="83"/>
      <c r="G223" s="85"/>
      <c r="H223" s="85"/>
      <c r="J223" s="85"/>
    </row>
    <row r="224" spans="3:12">
      <c r="C224" s="83"/>
      <c r="G224" s="85"/>
      <c r="H224" s="85"/>
      <c r="J224" s="85"/>
    </row>
    <row r="225" spans="3:12">
      <c r="C225" s="83"/>
      <c r="G225" s="85"/>
      <c r="H225" s="85"/>
      <c r="J225" s="85"/>
    </row>
    <row r="226" spans="3:12">
      <c r="C226" s="83"/>
      <c r="G226" s="85"/>
      <c r="H226" s="85"/>
      <c r="J226" s="85"/>
    </row>
    <row r="227" spans="3:12">
      <c r="C227" s="83"/>
      <c r="G227" s="85"/>
      <c r="H227" s="85"/>
      <c r="J227" s="85"/>
    </row>
    <row r="228" spans="3:12">
      <c r="C228" s="83"/>
      <c r="G228" s="85"/>
      <c r="H228" s="85"/>
      <c r="J228" s="85"/>
    </row>
    <row r="229" spans="3:12">
      <c r="C229" s="83"/>
      <c r="G229" s="85"/>
      <c r="H229" s="85"/>
      <c r="J229" s="85"/>
      <c r="K229" s="85"/>
      <c r="L229" s="85"/>
    </row>
    <row r="230" spans="3:12">
      <c r="C230" s="83"/>
      <c r="G230" s="85"/>
      <c r="H230" s="85"/>
      <c r="J230" s="85"/>
      <c r="K230" s="85"/>
      <c r="L230" s="85"/>
    </row>
    <row r="231" spans="3:12">
      <c r="C231" s="83"/>
      <c r="G231" s="85"/>
      <c r="H231" s="85"/>
      <c r="J231" s="85"/>
      <c r="K231" s="85"/>
      <c r="L231" s="85"/>
    </row>
    <row r="232" spans="3:12">
      <c r="C232" s="83"/>
      <c r="G232" s="85"/>
      <c r="H232" s="85"/>
      <c r="J232" s="85"/>
      <c r="K232" s="85"/>
      <c r="L232" s="85"/>
    </row>
    <row r="233" spans="3:12">
      <c r="C233" s="83"/>
      <c r="G233" s="85"/>
      <c r="H233" s="85"/>
      <c r="J233" s="85"/>
      <c r="K233" s="85"/>
      <c r="L233" s="85"/>
    </row>
    <row r="234" spans="3:12">
      <c r="C234" s="83"/>
      <c r="G234" s="85"/>
      <c r="H234" s="85"/>
      <c r="J234" s="85"/>
      <c r="K234" s="85"/>
      <c r="L234" s="85"/>
    </row>
    <row r="235" spans="3:12">
      <c r="C235" s="83"/>
      <c r="G235" s="85"/>
      <c r="H235" s="85"/>
      <c r="J235" s="85"/>
      <c r="K235" s="85"/>
      <c r="L235" s="85"/>
    </row>
    <row r="236" spans="3:12">
      <c r="C236" s="83"/>
      <c r="G236" s="85"/>
      <c r="H236" s="85"/>
      <c r="J236" s="85"/>
    </row>
    <row r="237" spans="3:12">
      <c r="C237" s="83"/>
      <c r="G237" s="85"/>
      <c r="H237" s="85"/>
      <c r="J237" s="85"/>
    </row>
    <row r="238" spans="3:12">
      <c r="C238" s="83"/>
      <c r="G238" s="85"/>
      <c r="H238" s="85"/>
      <c r="J238" s="85"/>
    </row>
    <row r="239" spans="3:12">
      <c r="C239" s="83"/>
      <c r="G239" s="85"/>
      <c r="H239" s="85"/>
      <c r="J239" s="85"/>
    </row>
    <row r="240" spans="3:12">
      <c r="C240" s="83"/>
      <c r="G240" s="85"/>
      <c r="H240" s="85"/>
      <c r="J240" s="85"/>
      <c r="K240" s="83"/>
      <c r="L240" s="83"/>
    </row>
    <row r="241" spans="3:12">
      <c r="C241" s="83"/>
      <c r="G241" s="85"/>
      <c r="H241" s="85"/>
      <c r="J241" s="85"/>
      <c r="K241" s="83"/>
      <c r="L241" s="83"/>
    </row>
    <row r="242" spans="3:12">
      <c r="C242" s="83"/>
      <c r="G242" s="85"/>
      <c r="H242" s="85"/>
      <c r="J242" s="85"/>
      <c r="K242" s="83"/>
      <c r="L242" s="83"/>
    </row>
    <row r="243" spans="3:12">
      <c r="C243" s="83"/>
      <c r="G243" s="85"/>
      <c r="H243" s="85"/>
      <c r="J243" s="85"/>
      <c r="K243" s="83"/>
      <c r="L243" s="83"/>
    </row>
    <row r="244" spans="3:12">
      <c r="C244" s="83"/>
      <c r="G244" s="85"/>
      <c r="H244" s="85"/>
      <c r="J244" s="85"/>
      <c r="K244" s="83"/>
      <c r="L244" s="83"/>
    </row>
    <row r="245" spans="3:12">
      <c r="C245" s="83"/>
      <c r="G245" s="85"/>
      <c r="H245" s="85"/>
      <c r="J245" s="85"/>
      <c r="K245" s="83"/>
      <c r="L245" s="83"/>
    </row>
    <row r="246" spans="3:12">
      <c r="C246" s="83"/>
      <c r="G246" s="85"/>
      <c r="H246" s="85"/>
      <c r="J246" s="85"/>
      <c r="K246" s="83"/>
      <c r="L246" s="83"/>
    </row>
    <row r="247" spans="3:12">
      <c r="C247" s="83"/>
      <c r="G247" s="85"/>
      <c r="H247" s="85"/>
      <c r="J247" s="85"/>
      <c r="K247" s="83"/>
      <c r="L247" s="83"/>
    </row>
    <row r="248" spans="3:12">
      <c r="C248" s="83"/>
      <c r="G248" s="85"/>
      <c r="H248" s="85"/>
      <c r="J248" s="85"/>
      <c r="K248" s="83"/>
      <c r="L248" s="83"/>
    </row>
    <row r="249" spans="3:12">
      <c r="C249" s="83"/>
      <c r="G249" s="85"/>
      <c r="H249" s="85"/>
      <c r="J249" s="85"/>
    </row>
    <row r="250" spans="3:12">
      <c r="C250" s="83"/>
      <c r="G250" s="85"/>
      <c r="H250" s="85"/>
      <c r="J250" s="85"/>
    </row>
    <row r="251" spans="3:12">
      <c r="C251" s="83"/>
      <c r="G251" s="85"/>
      <c r="H251" s="85"/>
      <c r="J251" s="85"/>
    </row>
    <row r="252" spans="3:12">
      <c r="C252" s="83"/>
      <c r="G252" s="85"/>
      <c r="H252" s="85"/>
      <c r="J252" s="85"/>
    </row>
    <row r="253" spans="3:12">
      <c r="C253" s="83"/>
      <c r="G253" s="85"/>
      <c r="H253" s="85"/>
      <c r="J253" s="85"/>
    </row>
    <row r="254" spans="3:12">
      <c r="C254" s="83"/>
      <c r="G254" s="85"/>
      <c r="H254" s="85"/>
      <c r="J254" s="85"/>
    </row>
    <row r="255" spans="3:12">
      <c r="C255" s="83"/>
      <c r="G255" s="85"/>
      <c r="H255" s="85"/>
      <c r="J255" s="85"/>
    </row>
    <row r="256" spans="3:12">
      <c r="C256" s="83"/>
      <c r="G256" s="85"/>
      <c r="H256" s="85"/>
      <c r="J256" s="85"/>
    </row>
    <row r="257" spans="3:10">
      <c r="C257" s="83"/>
      <c r="G257" s="85"/>
      <c r="H257" s="85"/>
      <c r="J257" s="85"/>
    </row>
    <row r="258" spans="3:10">
      <c r="C258" s="83"/>
      <c r="G258" s="85"/>
      <c r="H258" s="85"/>
      <c r="J258" s="85"/>
    </row>
    <row r="259" spans="3:10">
      <c r="C259" s="83"/>
      <c r="G259" s="85"/>
      <c r="H259" s="85"/>
      <c r="J259" s="85"/>
    </row>
    <row r="260" spans="3:10">
      <c r="C260" s="83"/>
      <c r="G260" s="85"/>
      <c r="H260" s="85"/>
      <c r="J260" s="85"/>
    </row>
    <row r="261" spans="3:10">
      <c r="C261" s="83"/>
      <c r="G261" s="85"/>
      <c r="H261" s="85"/>
      <c r="J261" s="85"/>
    </row>
    <row r="262" spans="3:10">
      <c r="C262" s="83"/>
      <c r="G262" s="85"/>
      <c r="H262" s="85"/>
      <c r="J262" s="85"/>
    </row>
    <row r="263" spans="3:10">
      <c r="C263" s="83"/>
      <c r="G263" s="85"/>
      <c r="H263" s="85"/>
      <c r="J263" s="85"/>
    </row>
    <row r="264" spans="3:10">
      <c r="C264" s="83"/>
      <c r="G264" s="85"/>
      <c r="H264" s="85"/>
      <c r="J264" s="85"/>
    </row>
    <row r="265" spans="3:10">
      <c r="C265" s="83"/>
      <c r="G265" s="85"/>
      <c r="H265" s="85"/>
      <c r="J265" s="85"/>
    </row>
    <row r="266" spans="3:10">
      <c r="C266" s="83"/>
      <c r="G266" s="85"/>
      <c r="H266" s="85"/>
      <c r="J266" s="85"/>
    </row>
    <row r="267" spans="3:10">
      <c r="C267" s="83"/>
      <c r="G267" s="85"/>
      <c r="H267" s="85"/>
      <c r="J267" s="85"/>
    </row>
    <row r="268" spans="3:10">
      <c r="C268" s="83"/>
      <c r="G268" s="85"/>
      <c r="H268" s="85"/>
      <c r="J268" s="85"/>
    </row>
    <row r="269" spans="3:10">
      <c r="C269" s="83"/>
      <c r="G269" s="85"/>
      <c r="H269" s="85"/>
      <c r="J269" s="85"/>
    </row>
    <row r="270" spans="3:10">
      <c r="C270" s="83"/>
      <c r="G270" s="85"/>
      <c r="H270" s="85"/>
      <c r="J270" s="85"/>
    </row>
    <row r="271" spans="3:10">
      <c r="C271" s="83"/>
      <c r="G271" s="85"/>
      <c r="H271" s="85"/>
      <c r="J271" s="85"/>
    </row>
    <row r="272" spans="3:10">
      <c r="C272" s="83"/>
      <c r="G272" s="85"/>
      <c r="H272" s="85"/>
      <c r="J272" s="85"/>
    </row>
    <row r="273" spans="3:10">
      <c r="C273" s="83"/>
      <c r="G273" s="85"/>
      <c r="H273" s="85"/>
      <c r="J273" s="85"/>
    </row>
    <row r="274" spans="3:10">
      <c r="C274" s="83"/>
      <c r="G274" s="85"/>
      <c r="H274" s="85"/>
      <c r="J274" s="85"/>
    </row>
    <row r="275" spans="3:10">
      <c r="C275" s="83"/>
      <c r="G275" s="85"/>
      <c r="H275" s="85"/>
      <c r="J275" s="85"/>
    </row>
    <row r="276" spans="3:10">
      <c r="C276" s="83"/>
      <c r="G276" s="85"/>
      <c r="H276" s="85"/>
      <c r="J276" s="85"/>
    </row>
    <row r="277" spans="3:10">
      <c r="C277" s="83"/>
      <c r="G277" s="85"/>
      <c r="H277" s="85"/>
      <c r="J277" s="85"/>
    </row>
    <row r="278" spans="3:10">
      <c r="C278" s="83"/>
      <c r="G278" s="85"/>
      <c r="H278" s="85"/>
      <c r="J278" s="85"/>
    </row>
    <row r="279" spans="3:10">
      <c r="C279" s="83"/>
      <c r="G279" s="85"/>
      <c r="H279" s="85"/>
      <c r="J279" s="85"/>
    </row>
    <row r="280" spans="3:10">
      <c r="C280" s="83"/>
      <c r="G280" s="85"/>
      <c r="H280" s="85"/>
      <c r="J280" s="85"/>
    </row>
    <row r="281" spans="3:10">
      <c r="C281" s="83"/>
      <c r="G281" s="85"/>
      <c r="H281" s="85"/>
      <c r="J281" s="85"/>
    </row>
    <row r="282" spans="3:10">
      <c r="C282" s="83"/>
      <c r="G282" s="85"/>
      <c r="H282" s="85"/>
      <c r="J282" s="85"/>
    </row>
    <row r="283" spans="3:10">
      <c r="C283" s="83"/>
      <c r="G283" s="85"/>
      <c r="H283" s="85"/>
      <c r="J283" s="85"/>
    </row>
    <row r="284" spans="3:10">
      <c r="C284" s="83"/>
      <c r="G284" s="85"/>
      <c r="H284" s="85"/>
      <c r="J284" s="85"/>
    </row>
    <row r="285" spans="3:10">
      <c r="C285" s="83"/>
      <c r="G285" s="85"/>
      <c r="H285" s="85"/>
      <c r="J285" s="85"/>
    </row>
    <row r="286" spans="3:10">
      <c r="C286" s="83"/>
      <c r="G286" s="85"/>
      <c r="H286" s="85"/>
      <c r="J286" s="85"/>
    </row>
    <row r="287" spans="3:10">
      <c r="C287" s="83"/>
      <c r="G287" s="85"/>
      <c r="H287" s="85"/>
      <c r="J287" s="85"/>
    </row>
    <row r="288" spans="3:10">
      <c r="C288" s="83"/>
      <c r="G288" s="85"/>
      <c r="H288" s="85"/>
      <c r="J288" s="85"/>
    </row>
    <row r="289" spans="3:10">
      <c r="C289" s="83"/>
      <c r="G289" s="85"/>
      <c r="H289" s="85"/>
      <c r="J289" s="85"/>
    </row>
    <row r="290" spans="3:10">
      <c r="C290" s="83"/>
      <c r="G290" s="85"/>
      <c r="H290" s="85"/>
      <c r="J290" s="85"/>
    </row>
    <row r="291" spans="3:10">
      <c r="C291" s="83"/>
      <c r="G291" s="85"/>
      <c r="H291" s="85"/>
      <c r="J291" s="85"/>
    </row>
    <row r="292" spans="3:10">
      <c r="C292" s="83"/>
      <c r="G292" s="85"/>
      <c r="H292" s="85"/>
      <c r="J292" s="85"/>
    </row>
    <row r="293" spans="3:10">
      <c r="C293" s="83"/>
      <c r="G293" s="85"/>
      <c r="H293" s="85"/>
      <c r="J293" s="85"/>
    </row>
    <row r="294" spans="3:10">
      <c r="C294" s="83"/>
      <c r="G294" s="85"/>
      <c r="H294" s="85"/>
      <c r="J294" s="85"/>
    </row>
    <row r="295" spans="3:10">
      <c r="C295" s="83"/>
      <c r="G295" s="85"/>
      <c r="H295" s="85"/>
      <c r="J295" s="85"/>
    </row>
    <row r="296" spans="3:10">
      <c r="C296" s="83"/>
      <c r="G296" s="85"/>
      <c r="H296" s="85"/>
      <c r="J296" s="85"/>
    </row>
    <row r="297" spans="3:10">
      <c r="C297" s="83"/>
      <c r="G297" s="85"/>
      <c r="H297" s="85"/>
      <c r="J297" s="85"/>
    </row>
    <row r="298" spans="3:10">
      <c r="C298" s="83"/>
      <c r="G298" s="85"/>
      <c r="H298" s="85"/>
      <c r="J298" s="85"/>
    </row>
    <row r="299" spans="3:10">
      <c r="C299" s="83"/>
      <c r="G299" s="85"/>
      <c r="H299" s="85"/>
      <c r="J299" s="85"/>
    </row>
    <row r="300" spans="3:10">
      <c r="C300" s="83"/>
      <c r="G300" s="85"/>
      <c r="H300" s="85"/>
      <c r="J300" s="85"/>
    </row>
    <row r="301" spans="3:10">
      <c r="C301" s="83"/>
      <c r="G301" s="85"/>
      <c r="H301" s="85"/>
      <c r="J301" s="85"/>
    </row>
    <row r="302" spans="3:10">
      <c r="C302" s="83"/>
      <c r="G302" s="85"/>
      <c r="H302" s="85"/>
      <c r="J302" s="85"/>
    </row>
    <row r="303" spans="3:10">
      <c r="C303" s="83"/>
      <c r="G303" s="85"/>
      <c r="H303" s="85"/>
      <c r="J303" s="85"/>
    </row>
    <row r="304" spans="3:10">
      <c r="C304" s="83"/>
      <c r="G304" s="85"/>
      <c r="H304" s="85"/>
      <c r="J304" s="85"/>
    </row>
    <row r="305" spans="3:10">
      <c r="C305" s="83"/>
      <c r="G305" s="85"/>
      <c r="H305" s="85"/>
      <c r="J305" s="85"/>
    </row>
    <row r="306" spans="3:10">
      <c r="C306" s="83"/>
      <c r="G306" s="85"/>
      <c r="H306" s="85"/>
      <c r="J306" s="85"/>
    </row>
    <row r="307" spans="3:10">
      <c r="C307" s="83"/>
      <c r="G307" s="85"/>
      <c r="H307" s="85"/>
      <c r="J307" s="85"/>
    </row>
    <row r="308" spans="3:10">
      <c r="C308" s="83"/>
      <c r="G308" s="85"/>
      <c r="H308" s="85"/>
      <c r="J308" s="85"/>
    </row>
    <row r="309" spans="3:10">
      <c r="C309" s="83"/>
      <c r="G309" s="85"/>
      <c r="H309" s="85"/>
      <c r="J309" s="85"/>
    </row>
    <row r="310" spans="3:10">
      <c r="C310" s="83"/>
      <c r="G310" s="85"/>
      <c r="H310" s="85"/>
      <c r="J310" s="85"/>
    </row>
    <row r="311" spans="3:10">
      <c r="C311" s="83"/>
      <c r="G311" s="85"/>
      <c r="H311" s="85"/>
      <c r="J311" s="85"/>
    </row>
    <row r="312" spans="3:10">
      <c r="C312" s="83"/>
      <c r="G312" s="85"/>
      <c r="H312" s="85"/>
      <c r="J312" s="85"/>
    </row>
    <row r="313" spans="3:10">
      <c r="C313" s="83"/>
      <c r="G313" s="85"/>
      <c r="H313" s="85"/>
      <c r="J313" s="85"/>
    </row>
    <row r="314" spans="3:10">
      <c r="C314" s="83"/>
      <c r="G314" s="85"/>
      <c r="H314" s="85"/>
      <c r="J314" s="85"/>
    </row>
    <row r="315" spans="3:10">
      <c r="C315" s="83"/>
      <c r="G315" s="85"/>
      <c r="H315" s="85"/>
      <c r="J315" s="85"/>
    </row>
    <row r="316" spans="3:10">
      <c r="C316" s="83"/>
      <c r="G316" s="85"/>
      <c r="H316" s="85"/>
      <c r="J316" s="85"/>
    </row>
    <row r="317" spans="3:10">
      <c r="C317" s="83"/>
      <c r="G317" s="85"/>
      <c r="H317" s="85"/>
      <c r="J317" s="85"/>
    </row>
    <row r="318" spans="3:10">
      <c r="C318" s="83"/>
      <c r="G318" s="85"/>
      <c r="H318" s="85"/>
      <c r="J318" s="85"/>
    </row>
    <row r="319" spans="3:10">
      <c r="C319" s="83"/>
      <c r="G319" s="85"/>
      <c r="H319" s="85"/>
      <c r="J319" s="85"/>
    </row>
    <row r="320" spans="3:10">
      <c r="C320" s="83"/>
      <c r="G320" s="85"/>
      <c r="H320" s="85"/>
      <c r="J320" s="85"/>
    </row>
    <row r="321" spans="3:10">
      <c r="C321" s="83"/>
      <c r="G321" s="85"/>
      <c r="H321" s="85"/>
      <c r="J321" s="85"/>
    </row>
    <row r="322" spans="3:10">
      <c r="C322" s="83"/>
      <c r="G322" s="85"/>
      <c r="H322" s="85"/>
      <c r="J322" s="85"/>
    </row>
    <row r="323" spans="3:10">
      <c r="C323" s="83"/>
      <c r="G323" s="85"/>
      <c r="H323" s="85"/>
      <c r="J323" s="85"/>
    </row>
    <row r="324" spans="3:10">
      <c r="C324" s="83"/>
      <c r="G324" s="85"/>
      <c r="H324" s="85"/>
      <c r="J324" s="85"/>
    </row>
    <row r="325" spans="3:10">
      <c r="C325" s="83"/>
      <c r="G325" s="85"/>
      <c r="H325" s="85"/>
      <c r="J325" s="85"/>
    </row>
    <row r="326" spans="3:10">
      <c r="C326" s="83"/>
      <c r="G326" s="85"/>
      <c r="H326" s="85"/>
      <c r="J326" s="85"/>
    </row>
    <row r="327" spans="3:10">
      <c r="C327" s="83"/>
      <c r="G327" s="85"/>
      <c r="H327" s="85"/>
      <c r="J327" s="85"/>
    </row>
    <row r="328" spans="3:10">
      <c r="C328" s="83"/>
      <c r="G328" s="85"/>
      <c r="H328" s="85"/>
      <c r="J328" s="85"/>
    </row>
    <row r="329" spans="3:10">
      <c r="C329" s="83"/>
      <c r="G329" s="85"/>
      <c r="H329" s="85"/>
      <c r="J329" s="85"/>
    </row>
    <row r="330" spans="3:10">
      <c r="C330" s="83"/>
      <c r="G330" s="85"/>
      <c r="H330" s="85"/>
      <c r="J330" s="85"/>
    </row>
    <row r="331" spans="3:10">
      <c r="C331" s="83"/>
      <c r="G331" s="85"/>
      <c r="H331" s="85"/>
      <c r="J331" s="85"/>
    </row>
    <row r="332" spans="3:10">
      <c r="C332" s="83"/>
      <c r="G332" s="85"/>
      <c r="H332" s="85"/>
      <c r="J332" s="85"/>
    </row>
    <row r="333" spans="3:10">
      <c r="C333" s="83"/>
      <c r="G333" s="85"/>
      <c r="H333" s="85"/>
      <c r="J333" s="85"/>
    </row>
    <row r="334" spans="3:10">
      <c r="C334" s="83"/>
      <c r="G334" s="85"/>
      <c r="H334" s="85"/>
      <c r="J334" s="85"/>
    </row>
    <row r="335" spans="3:10">
      <c r="C335" s="83"/>
      <c r="G335" s="85"/>
      <c r="H335" s="85"/>
      <c r="J335" s="85"/>
    </row>
    <row r="336" spans="3:10">
      <c r="C336" s="83"/>
      <c r="G336" s="85"/>
      <c r="H336" s="85"/>
      <c r="J336" s="85"/>
    </row>
    <row r="337" spans="3:10">
      <c r="C337" s="83"/>
      <c r="G337" s="85"/>
      <c r="H337" s="85"/>
      <c r="J337" s="85"/>
    </row>
    <row r="338" spans="3:10">
      <c r="C338" s="83"/>
      <c r="G338" s="85"/>
      <c r="H338" s="85"/>
      <c r="J338" s="85"/>
    </row>
    <row r="339" spans="3:10">
      <c r="C339" s="83"/>
      <c r="G339" s="85"/>
      <c r="H339" s="85"/>
      <c r="J339" s="85"/>
    </row>
    <row r="340" spans="3:10">
      <c r="C340" s="83"/>
      <c r="G340" s="85"/>
      <c r="H340" s="85"/>
      <c r="J340" s="85"/>
    </row>
    <row r="341" spans="3:10">
      <c r="C341" s="83"/>
      <c r="G341" s="85"/>
      <c r="H341" s="85"/>
      <c r="J341" s="85"/>
    </row>
    <row r="342" spans="3:10">
      <c r="C342" s="83"/>
      <c r="G342" s="85"/>
      <c r="H342" s="85"/>
      <c r="J342" s="85"/>
    </row>
    <row r="343" spans="3:10">
      <c r="C343" s="83"/>
      <c r="G343" s="85"/>
      <c r="H343" s="85"/>
      <c r="J343" s="85"/>
    </row>
    <row r="344" spans="3:10">
      <c r="C344" s="83"/>
      <c r="G344" s="85"/>
      <c r="H344" s="85"/>
      <c r="J344" s="85"/>
    </row>
    <row r="345" spans="3:10">
      <c r="C345" s="83"/>
      <c r="G345" s="85"/>
      <c r="H345" s="85"/>
      <c r="J345" s="85"/>
    </row>
    <row r="346" spans="3:10">
      <c r="C346" s="83"/>
      <c r="G346" s="85"/>
      <c r="H346" s="85"/>
      <c r="J346" s="85"/>
    </row>
    <row r="347" spans="3:10">
      <c r="C347" s="83"/>
      <c r="G347" s="85"/>
      <c r="H347" s="85"/>
      <c r="J347" s="85"/>
    </row>
    <row r="348" spans="3:10">
      <c r="C348" s="83"/>
      <c r="G348" s="85"/>
      <c r="H348" s="85"/>
      <c r="J348" s="85"/>
    </row>
    <row r="349" spans="3:10">
      <c r="C349" s="83"/>
      <c r="G349" s="85"/>
      <c r="H349" s="85"/>
      <c r="J349" s="85"/>
    </row>
    <row r="350" spans="3:10">
      <c r="C350" s="83"/>
      <c r="G350" s="85"/>
      <c r="H350" s="85"/>
      <c r="J350" s="85"/>
    </row>
    <row r="351" spans="3:10">
      <c r="C351" s="83"/>
      <c r="G351" s="85"/>
      <c r="H351" s="85"/>
      <c r="J351" s="85"/>
    </row>
    <row r="352" spans="3:10">
      <c r="C352" s="83"/>
      <c r="G352" s="85"/>
      <c r="H352" s="85"/>
      <c r="J352" s="85"/>
    </row>
    <row r="353" spans="3:10">
      <c r="C353" s="83"/>
      <c r="G353" s="85"/>
      <c r="H353" s="85"/>
      <c r="J353" s="85"/>
    </row>
    <row r="354" spans="3:10">
      <c r="C354" s="83"/>
      <c r="G354" s="85"/>
      <c r="H354" s="85"/>
      <c r="J354" s="85"/>
    </row>
    <row r="355" spans="3:10">
      <c r="C355" s="83"/>
      <c r="G355" s="85"/>
      <c r="H355" s="85"/>
      <c r="J355" s="85"/>
    </row>
    <row r="356" spans="3:10">
      <c r="C356" s="83"/>
      <c r="G356" s="85"/>
      <c r="H356" s="85"/>
      <c r="J356" s="85"/>
    </row>
    <row r="357" spans="3:10">
      <c r="C357" s="83"/>
      <c r="G357" s="85"/>
      <c r="H357" s="85"/>
      <c r="J357" s="85"/>
    </row>
    <row r="358" spans="3:10">
      <c r="C358" s="83"/>
      <c r="G358" s="85"/>
      <c r="H358" s="85"/>
      <c r="J358" s="85"/>
    </row>
    <row r="359" spans="3:10">
      <c r="C359" s="83"/>
      <c r="G359" s="85"/>
      <c r="H359" s="85"/>
      <c r="J359" s="85"/>
    </row>
    <row r="360" spans="3:10">
      <c r="C360" s="83"/>
      <c r="G360" s="85"/>
      <c r="H360" s="85"/>
      <c r="J360" s="85"/>
    </row>
    <row r="361" spans="3:10">
      <c r="C361" s="83"/>
      <c r="G361" s="85"/>
      <c r="H361" s="85"/>
      <c r="J361" s="85"/>
    </row>
    <row r="362" spans="3:10">
      <c r="C362" s="83"/>
      <c r="G362" s="85"/>
      <c r="H362" s="85"/>
      <c r="J362" s="85"/>
    </row>
    <row r="363" spans="3:10">
      <c r="C363" s="83"/>
      <c r="G363" s="85"/>
      <c r="H363" s="85"/>
      <c r="J363" s="85"/>
    </row>
    <row r="364" spans="3:10">
      <c r="C364" s="83"/>
      <c r="G364" s="85"/>
      <c r="H364" s="85"/>
      <c r="J364" s="85"/>
    </row>
    <row r="365" spans="3:10">
      <c r="C365" s="83"/>
      <c r="G365" s="85"/>
      <c r="H365" s="85"/>
      <c r="J365" s="85"/>
    </row>
    <row r="366" spans="3:10">
      <c r="C366" s="83"/>
      <c r="G366" s="85"/>
      <c r="H366" s="85"/>
      <c r="J366" s="85"/>
    </row>
    <row r="367" spans="3:10">
      <c r="C367" s="83"/>
      <c r="G367" s="85"/>
      <c r="H367" s="85"/>
      <c r="J367" s="85"/>
    </row>
    <row r="368" spans="3:10">
      <c r="C368" s="83"/>
      <c r="G368" s="85"/>
      <c r="H368" s="85"/>
      <c r="J368" s="85"/>
    </row>
    <row r="369" spans="3:10">
      <c r="C369" s="83"/>
      <c r="G369" s="85"/>
      <c r="H369" s="85"/>
      <c r="J369" s="85"/>
    </row>
    <row r="370" spans="3:10">
      <c r="C370" s="83"/>
      <c r="G370" s="85"/>
      <c r="H370" s="85"/>
      <c r="J370" s="85"/>
    </row>
    <row r="371" spans="3:10">
      <c r="C371" s="83"/>
      <c r="G371" s="85"/>
      <c r="H371" s="85"/>
      <c r="J371" s="85"/>
    </row>
    <row r="372" spans="3:10">
      <c r="C372" s="83"/>
      <c r="G372" s="85"/>
      <c r="H372" s="85"/>
      <c r="J372" s="85"/>
    </row>
    <row r="373" spans="3:10">
      <c r="C373" s="83"/>
      <c r="G373" s="85"/>
      <c r="H373" s="85"/>
      <c r="J373" s="85"/>
    </row>
    <row r="374" spans="3:10">
      <c r="C374" s="83"/>
      <c r="G374" s="85"/>
      <c r="H374" s="85"/>
      <c r="J374" s="85"/>
    </row>
    <row r="375" spans="3:10">
      <c r="C375" s="83"/>
      <c r="G375" s="85"/>
      <c r="H375" s="85"/>
      <c r="J375" s="85"/>
    </row>
    <row r="376" spans="3:10">
      <c r="C376" s="83"/>
      <c r="G376" s="85"/>
      <c r="H376" s="85"/>
      <c r="J376" s="85"/>
    </row>
    <row r="377" spans="3:10">
      <c r="C377" s="83"/>
      <c r="G377" s="85"/>
      <c r="H377" s="85"/>
      <c r="J377" s="85"/>
    </row>
    <row r="378" spans="3:10">
      <c r="C378" s="83"/>
      <c r="G378" s="85"/>
      <c r="H378" s="85"/>
      <c r="J378" s="85"/>
    </row>
    <row r="379" spans="3:10">
      <c r="C379" s="83"/>
      <c r="G379" s="85"/>
      <c r="H379" s="85"/>
      <c r="J379" s="85"/>
    </row>
    <row r="380" spans="3:10">
      <c r="C380" s="83"/>
      <c r="G380" s="85"/>
      <c r="H380" s="85"/>
      <c r="J380" s="85"/>
    </row>
    <row r="381" spans="3:10">
      <c r="C381" s="83"/>
      <c r="G381" s="85"/>
      <c r="H381" s="85"/>
      <c r="J381" s="85"/>
    </row>
    <row r="382" spans="3:10">
      <c r="C382" s="83"/>
      <c r="G382" s="85"/>
      <c r="H382" s="85"/>
      <c r="J382" s="85"/>
    </row>
    <row r="383" spans="3:10">
      <c r="C383" s="83"/>
      <c r="G383" s="85"/>
      <c r="H383" s="85"/>
      <c r="J383" s="85"/>
    </row>
    <row r="384" spans="3:10">
      <c r="C384" s="83"/>
      <c r="G384" s="85"/>
      <c r="H384" s="85"/>
      <c r="J384" s="85"/>
    </row>
    <row r="385" spans="3:10">
      <c r="C385" s="83"/>
      <c r="G385" s="85"/>
      <c r="H385" s="85"/>
      <c r="J385" s="85"/>
    </row>
    <row r="386" spans="3:10">
      <c r="C386" s="83"/>
      <c r="G386" s="85"/>
      <c r="H386" s="85"/>
      <c r="J386" s="85"/>
    </row>
    <row r="387" spans="3:10">
      <c r="C387" s="83"/>
      <c r="G387" s="85"/>
      <c r="H387" s="85"/>
      <c r="J387" s="85"/>
    </row>
    <row r="388" spans="3:10">
      <c r="C388" s="83"/>
      <c r="G388" s="85"/>
      <c r="H388" s="85"/>
      <c r="J388" s="85"/>
    </row>
    <row r="389" spans="3:10">
      <c r="C389" s="83"/>
    </row>
    <row r="390" spans="3:10">
      <c r="C390" s="83"/>
    </row>
    <row r="391" spans="3:10">
      <c r="C391" s="83"/>
    </row>
    <row r="392" spans="3:10">
      <c r="C392" s="83"/>
    </row>
    <row r="393" spans="3:10">
      <c r="C393" s="83"/>
    </row>
    <row r="394" spans="3:10">
      <c r="C394" s="83"/>
    </row>
    <row r="395" spans="3:10">
      <c r="C395" s="83"/>
    </row>
    <row r="396" spans="3:10">
      <c r="C396" s="83"/>
    </row>
    <row r="397" spans="3:10">
      <c r="C397" s="83"/>
    </row>
    <row r="398" spans="3:10">
      <c r="C398" s="83"/>
    </row>
    <row r="399" spans="3:10">
      <c r="C399" s="83"/>
    </row>
    <row r="400" spans="3:10">
      <c r="C400" s="83"/>
    </row>
    <row r="401" spans="3:3">
      <c r="C401" s="83"/>
    </row>
    <row r="402" spans="3:3">
      <c r="C402" s="83"/>
    </row>
    <row r="403" spans="3:3">
      <c r="C403" s="83"/>
    </row>
    <row r="404" spans="3:3">
      <c r="C404" s="83"/>
    </row>
    <row r="405" spans="3:3">
      <c r="C405" s="83"/>
    </row>
    <row r="406" spans="3:3">
      <c r="C406" s="83"/>
    </row>
    <row r="407" spans="3:3">
      <c r="C407" s="83"/>
    </row>
    <row r="408" spans="3:3">
      <c r="C408" s="83"/>
    </row>
    <row r="409" spans="3:3">
      <c r="C409" s="83"/>
    </row>
    <row r="410" spans="3:3">
      <c r="C410" s="83"/>
    </row>
    <row r="411" spans="3:3">
      <c r="C411" s="83"/>
    </row>
    <row r="412" spans="3:3">
      <c r="C412" s="83"/>
    </row>
    <row r="413" spans="3:3">
      <c r="C413" s="83"/>
    </row>
    <row r="414" spans="3:3">
      <c r="C414" s="83"/>
    </row>
    <row r="415" spans="3:3">
      <c r="C415" s="83"/>
    </row>
    <row r="416" spans="3:3">
      <c r="C416" s="83"/>
    </row>
    <row r="417" spans="3:3">
      <c r="C417" s="83"/>
    </row>
    <row r="418" spans="3:3">
      <c r="C418" s="83"/>
    </row>
    <row r="419" spans="3:3">
      <c r="C419" s="83"/>
    </row>
    <row r="420" spans="3:3">
      <c r="C420" s="83"/>
    </row>
    <row r="421" spans="3:3">
      <c r="C421" s="83"/>
    </row>
    <row r="422" spans="3:3">
      <c r="C422" s="83"/>
    </row>
    <row r="423" spans="3:3">
      <c r="C423" s="83"/>
    </row>
    <row r="424" spans="3:3">
      <c r="C424" s="83"/>
    </row>
    <row r="425" spans="3:3">
      <c r="C425" s="83"/>
    </row>
    <row r="426" spans="3:3">
      <c r="C426" s="83"/>
    </row>
    <row r="427" spans="3:3">
      <c r="C427" s="83"/>
    </row>
    <row r="428" spans="3:3">
      <c r="C428" s="83"/>
    </row>
    <row r="429" spans="3:3">
      <c r="C429" s="83"/>
    </row>
    <row r="430" spans="3:3">
      <c r="C430" s="83"/>
    </row>
    <row r="431" spans="3:3">
      <c r="C431" s="83"/>
    </row>
    <row r="432" spans="3:3">
      <c r="C432" s="83"/>
    </row>
    <row r="433" spans="3:3">
      <c r="C433" s="83"/>
    </row>
    <row r="434" spans="3:3">
      <c r="C434" s="83"/>
    </row>
    <row r="435" spans="3:3">
      <c r="C435" s="83"/>
    </row>
    <row r="436" spans="3:3">
      <c r="C436" s="83"/>
    </row>
    <row r="437" spans="3:3">
      <c r="C437" s="83"/>
    </row>
    <row r="438" spans="3:3">
      <c r="C438" s="83"/>
    </row>
    <row r="439" spans="3:3">
      <c r="C439" s="83"/>
    </row>
    <row r="440" spans="3:3">
      <c r="C440" s="83"/>
    </row>
    <row r="441" spans="3:3">
      <c r="C441" s="83"/>
    </row>
    <row r="442" spans="3:3">
      <c r="C442" s="83"/>
    </row>
    <row r="443" spans="3:3">
      <c r="C443" s="83"/>
    </row>
    <row r="444" spans="3:3">
      <c r="C444" s="83"/>
    </row>
    <row r="445" spans="3:3">
      <c r="C445" s="83"/>
    </row>
    <row r="446" spans="3:3">
      <c r="C446" s="83"/>
    </row>
    <row r="447" spans="3:3">
      <c r="C447" s="83"/>
    </row>
    <row r="448" spans="3:3">
      <c r="C448" s="83"/>
    </row>
    <row r="449" spans="3:3">
      <c r="C449" s="83"/>
    </row>
    <row r="450" spans="3:3">
      <c r="C450" s="83"/>
    </row>
    <row r="451" spans="3:3">
      <c r="C451" s="83"/>
    </row>
    <row r="452" spans="3:3">
      <c r="C452" s="83"/>
    </row>
    <row r="453" spans="3:3">
      <c r="C453" s="83"/>
    </row>
    <row r="454" spans="3:3">
      <c r="C454" s="83"/>
    </row>
    <row r="455" spans="3:3">
      <c r="C455" s="83"/>
    </row>
    <row r="456" spans="3:3">
      <c r="C456" s="83"/>
    </row>
    <row r="457" spans="3:3">
      <c r="C457" s="83"/>
    </row>
    <row r="458" spans="3:3">
      <c r="C458" s="83"/>
    </row>
    <row r="459" spans="3:3">
      <c r="C459" s="83"/>
    </row>
    <row r="460" spans="3:3">
      <c r="C460" s="83"/>
    </row>
    <row r="461" spans="3:3">
      <c r="C461" s="83"/>
    </row>
    <row r="462" spans="3:3">
      <c r="C462" s="83"/>
    </row>
    <row r="463" spans="3:3">
      <c r="C463" s="83"/>
    </row>
    <row r="464" spans="3:3">
      <c r="C464" s="83"/>
    </row>
    <row r="465" spans="3:3">
      <c r="C465" s="83"/>
    </row>
    <row r="466" spans="3:3">
      <c r="C466" s="83"/>
    </row>
    <row r="467" spans="3:3">
      <c r="C467" s="83"/>
    </row>
    <row r="468" spans="3:3">
      <c r="C468" s="83"/>
    </row>
    <row r="469" spans="3:3">
      <c r="C469" s="83"/>
    </row>
    <row r="470" spans="3:3">
      <c r="C470" s="83"/>
    </row>
    <row r="471" spans="3:3">
      <c r="C471" s="83"/>
    </row>
    <row r="472" spans="3:3">
      <c r="C472" s="83"/>
    </row>
    <row r="473" spans="3:3">
      <c r="C473" s="83"/>
    </row>
    <row r="474" spans="3:3">
      <c r="C474" s="83"/>
    </row>
    <row r="475" spans="3:3">
      <c r="C475" s="83"/>
    </row>
    <row r="476" spans="3:3">
      <c r="C476" s="83"/>
    </row>
    <row r="477" spans="3:3">
      <c r="C477" s="83"/>
    </row>
    <row r="478" spans="3:3">
      <c r="C478" s="83"/>
    </row>
    <row r="479" spans="3:3">
      <c r="C479" s="83"/>
    </row>
    <row r="480" spans="3:3">
      <c r="C480" s="83"/>
    </row>
    <row r="481" spans="3:3">
      <c r="C481" s="83"/>
    </row>
    <row r="482" spans="3:3">
      <c r="C482" s="83"/>
    </row>
    <row r="483" spans="3:3">
      <c r="C483" s="83"/>
    </row>
    <row r="484" spans="3:3">
      <c r="C484" s="83"/>
    </row>
    <row r="485" spans="3:3">
      <c r="C485" s="83"/>
    </row>
    <row r="486" spans="3:3">
      <c r="C486" s="83"/>
    </row>
    <row r="487" spans="3:3">
      <c r="C487" s="83"/>
    </row>
    <row r="488" spans="3:3">
      <c r="C488" s="83"/>
    </row>
    <row r="489" spans="3:3">
      <c r="C489" s="83"/>
    </row>
    <row r="490" spans="3:3">
      <c r="C490" s="83"/>
    </row>
    <row r="491" spans="3:3">
      <c r="C491" s="83"/>
    </row>
    <row r="492" spans="3:3">
      <c r="C492" s="83"/>
    </row>
    <row r="493" spans="3:3">
      <c r="C493" s="83"/>
    </row>
    <row r="494" spans="3:3">
      <c r="C494" s="83"/>
    </row>
    <row r="495" spans="3:3">
      <c r="C495" s="83"/>
    </row>
    <row r="496" spans="3:3">
      <c r="C496" s="83"/>
    </row>
    <row r="497" spans="3:3">
      <c r="C497" s="83"/>
    </row>
    <row r="498" spans="3:3">
      <c r="C498" s="83"/>
    </row>
    <row r="499" spans="3:3">
      <c r="C499" s="83"/>
    </row>
    <row r="500" spans="3:3">
      <c r="C500" s="83"/>
    </row>
    <row r="501" spans="3:3">
      <c r="C501" s="83"/>
    </row>
    <row r="502" spans="3:3">
      <c r="C502" s="83"/>
    </row>
    <row r="503" spans="3:3">
      <c r="C503" s="83"/>
    </row>
    <row r="504" spans="3:3">
      <c r="C504" s="83"/>
    </row>
    <row r="505" spans="3:3">
      <c r="C505" s="83"/>
    </row>
    <row r="506" spans="3:3">
      <c r="C506" s="83"/>
    </row>
    <row r="507" spans="3:3">
      <c r="C507" s="83"/>
    </row>
    <row r="508" spans="3:3">
      <c r="C508" s="83"/>
    </row>
    <row r="509" spans="3:3">
      <c r="C509" s="83"/>
    </row>
    <row r="510" spans="3:3">
      <c r="C510" s="83"/>
    </row>
    <row r="511" spans="3:3">
      <c r="C511" s="83"/>
    </row>
    <row r="512" spans="3:3">
      <c r="C512" s="83"/>
    </row>
    <row r="513" spans="3:3">
      <c r="C513" s="83"/>
    </row>
    <row r="514" spans="3:3">
      <c r="C514" s="83"/>
    </row>
    <row r="515" spans="3:3">
      <c r="C515" s="83"/>
    </row>
    <row r="516" spans="3:3">
      <c r="C516" s="83"/>
    </row>
    <row r="517" spans="3:3">
      <c r="C517" s="83"/>
    </row>
    <row r="518" spans="3:3">
      <c r="C518" s="83"/>
    </row>
    <row r="519" spans="3:3">
      <c r="C519" s="83"/>
    </row>
    <row r="520" spans="3:3">
      <c r="C520" s="83"/>
    </row>
    <row r="521" spans="3:3">
      <c r="C521" s="83"/>
    </row>
    <row r="522" spans="3:3">
      <c r="C522" s="83"/>
    </row>
    <row r="523" spans="3:3">
      <c r="C523" s="83"/>
    </row>
    <row r="524" spans="3:3">
      <c r="C524" s="83"/>
    </row>
    <row r="525" spans="3:3">
      <c r="C525" s="83"/>
    </row>
    <row r="526" spans="3:3">
      <c r="C526" s="83"/>
    </row>
    <row r="527" spans="3:3">
      <c r="C527" s="83"/>
    </row>
    <row r="528" spans="3:3">
      <c r="C528" s="83"/>
    </row>
    <row r="529" spans="3:3">
      <c r="C529" s="83"/>
    </row>
    <row r="530" spans="3:3">
      <c r="C530" s="83"/>
    </row>
    <row r="531" spans="3:3">
      <c r="C531" s="83"/>
    </row>
    <row r="532" spans="3:3">
      <c r="C532" s="83"/>
    </row>
    <row r="533" spans="3:3">
      <c r="C533" s="83"/>
    </row>
    <row r="534" spans="3:3">
      <c r="C534" s="83"/>
    </row>
    <row r="535" spans="3:3">
      <c r="C535" s="83"/>
    </row>
    <row r="536" spans="3:3">
      <c r="C536" s="83"/>
    </row>
    <row r="537" spans="3:3">
      <c r="C537" s="83"/>
    </row>
    <row r="538" spans="3:3">
      <c r="C538" s="83"/>
    </row>
    <row r="539" spans="3:3">
      <c r="C539" s="83"/>
    </row>
    <row r="540" spans="3:3">
      <c r="C540" s="83"/>
    </row>
    <row r="541" spans="3:3">
      <c r="C541" s="83"/>
    </row>
    <row r="542" spans="3:3">
      <c r="C542" s="83"/>
    </row>
    <row r="543" spans="3:3">
      <c r="C543" s="83"/>
    </row>
    <row r="544" spans="3:3">
      <c r="C544" s="83"/>
    </row>
    <row r="545" spans="3:3">
      <c r="C545" s="83"/>
    </row>
    <row r="546" spans="3:3">
      <c r="C546" s="83"/>
    </row>
    <row r="547" spans="3:3">
      <c r="C547" s="83"/>
    </row>
    <row r="548" spans="3:3">
      <c r="C548" s="83"/>
    </row>
    <row r="549" spans="3:3">
      <c r="C549" s="83"/>
    </row>
    <row r="550" spans="3:3">
      <c r="C550" s="83"/>
    </row>
    <row r="551" spans="3:3">
      <c r="C551" s="83"/>
    </row>
    <row r="552" spans="3:3">
      <c r="C552" s="83"/>
    </row>
    <row r="553" spans="3:3">
      <c r="C553" s="83"/>
    </row>
    <row r="554" spans="3:3">
      <c r="C554" s="83"/>
    </row>
    <row r="555" spans="3:3">
      <c r="C555" s="83"/>
    </row>
    <row r="556" spans="3:3">
      <c r="C556" s="83"/>
    </row>
    <row r="557" spans="3:3">
      <c r="C557" s="83"/>
    </row>
    <row r="558" spans="3:3">
      <c r="C558" s="83"/>
    </row>
    <row r="559" spans="3:3">
      <c r="C559" s="83"/>
    </row>
    <row r="560" spans="3:3">
      <c r="C560" s="83"/>
    </row>
    <row r="561" spans="3:3">
      <c r="C561" s="83"/>
    </row>
    <row r="562" spans="3:3">
      <c r="C562" s="83"/>
    </row>
    <row r="563" spans="3:3">
      <c r="C563" s="83"/>
    </row>
    <row r="564" spans="3:3">
      <c r="C564" s="83"/>
    </row>
    <row r="565" spans="3:3">
      <c r="C565" s="83"/>
    </row>
    <row r="566" spans="3:3">
      <c r="C566" s="83"/>
    </row>
    <row r="567" spans="3:3">
      <c r="C567" s="83"/>
    </row>
    <row r="568" spans="3:3">
      <c r="C568" s="83"/>
    </row>
    <row r="569" spans="3:3">
      <c r="C569" s="83"/>
    </row>
    <row r="570" spans="3:3">
      <c r="C570" s="83"/>
    </row>
    <row r="571" spans="3:3">
      <c r="C571" s="83"/>
    </row>
    <row r="572" spans="3:3">
      <c r="C572" s="83"/>
    </row>
    <row r="573" spans="3:3">
      <c r="C573" s="83"/>
    </row>
    <row r="574" spans="3:3">
      <c r="C574" s="83"/>
    </row>
    <row r="575" spans="3:3">
      <c r="C575" s="83"/>
    </row>
    <row r="576" spans="3:3">
      <c r="C576" s="83"/>
    </row>
    <row r="577" spans="3:3">
      <c r="C577" s="83"/>
    </row>
    <row r="578" spans="3:3">
      <c r="C578" s="83"/>
    </row>
    <row r="579" spans="3:3">
      <c r="C579" s="83"/>
    </row>
    <row r="580" spans="3:3">
      <c r="C580" s="83"/>
    </row>
    <row r="581" spans="3:3">
      <c r="C581" s="83"/>
    </row>
    <row r="582" spans="3:3">
      <c r="C582" s="83"/>
    </row>
    <row r="583" spans="3:3">
      <c r="C583" s="83"/>
    </row>
    <row r="584" spans="3:3">
      <c r="C584" s="83"/>
    </row>
    <row r="585" spans="3:3">
      <c r="C585" s="83"/>
    </row>
    <row r="586" spans="3:3">
      <c r="C586" s="83"/>
    </row>
    <row r="587" spans="3:3">
      <c r="C587" s="83"/>
    </row>
    <row r="588" spans="3:3">
      <c r="C588" s="83"/>
    </row>
    <row r="589" spans="3:3">
      <c r="C589" s="83"/>
    </row>
    <row r="590" spans="3:3">
      <c r="C590" s="83"/>
    </row>
    <row r="591" spans="3:3">
      <c r="C591" s="83"/>
    </row>
    <row r="592" spans="3:3">
      <c r="C592" s="83"/>
    </row>
    <row r="593" spans="3:3">
      <c r="C593" s="83"/>
    </row>
    <row r="594" spans="3:3">
      <c r="C594" s="83"/>
    </row>
    <row r="595" spans="3:3">
      <c r="C595" s="83"/>
    </row>
    <row r="596" spans="3:3">
      <c r="C596" s="83"/>
    </row>
    <row r="597" spans="3:3">
      <c r="C597" s="83"/>
    </row>
    <row r="598" spans="3:3">
      <c r="C598" s="83"/>
    </row>
    <row r="599" spans="3:3">
      <c r="C599" s="83"/>
    </row>
    <row r="600" spans="3:3">
      <c r="C600" s="83"/>
    </row>
    <row r="601" spans="3:3">
      <c r="C601" s="83"/>
    </row>
    <row r="602" spans="3:3">
      <c r="C602" s="83"/>
    </row>
    <row r="603" spans="3:3">
      <c r="C603" s="83"/>
    </row>
    <row r="604" spans="3:3">
      <c r="C604" s="83"/>
    </row>
    <row r="605" spans="3:3">
      <c r="C605" s="83"/>
    </row>
    <row r="606" spans="3:3">
      <c r="C606" s="83"/>
    </row>
    <row r="607" spans="3:3">
      <c r="C607" s="83"/>
    </row>
    <row r="608" spans="3:3">
      <c r="C608" s="83"/>
    </row>
    <row r="609" spans="3:3">
      <c r="C609" s="83"/>
    </row>
    <row r="610" spans="3:3">
      <c r="C610" s="83"/>
    </row>
    <row r="611" spans="3:3">
      <c r="C611" s="83"/>
    </row>
    <row r="612" spans="3:3">
      <c r="C612" s="83"/>
    </row>
    <row r="613" spans="3:3">
      <c r="C613" s="83"/>
    </row>
    <row r="614" spans="3:3">
      <c r="C614" s="83"/>
    </row>
    <row r="615" spans="3:3">
      <c r="C615" s="83"/>
    </row>
    <row r="616" spans="3:3">
      <c r="C616" s="83"/>
    </row>
    <row r="617" spans="3:3">
      <c r="C617" s="83"/>
    </row>
    <row r="618" spans="3:3">
      <c r="C618" s="83"/>
    </row>
    <row r="619" spans="3:3">
      <c r="C619" s="83"/>
    </row>
    <row r="620" spans="3:3">
      <c r="C620" s="83"/>
    </row>
    <row r="621" spans="3:3">
      <c r="C621" s="83"/>
    </row>
    <row r="622" spans="3:3">
      <c r="C622" s="83"/>
    </row>
    <row r="623" spans="3:3">
      <c r="C623" s="83"/>
    </row>
    <row r="624" spans="3:3">
      <c r="C624" s="83"/>
    </row>
    <row r="625" spans="3:3">
      <c r="C625" s="83"/>
    </row>
    <row r="626" spans="3:3">
      <c r="C626" s="83"/>
    </row>
    <row r="627" spans="3:3">
      <c r="C627" s="83"/>
    </row>
    <row r="628" spans="3:3">
      <c r="C628" s="83"/>
    </row>
    <row r="629" spans="3:3">
      <c r="C629" s="83"/>
    </row>
    <row r="630" spans="3:3">
      <c r="C630" s="83"/>
    </row>
    <row r="631" spans="3:3">
      <c r="C631" s="83"/>
    </row>
    <row r="632" spans="3:3">
      <c r="C632" s="83"/>
    </row>
    <row r="633" spans="3:3">
      <c r="C633" s="83"/>
    </row>
    <row r="634" spans="3:3">
      <c r="C634" s="83"/>
    </row>
    <row r="635" spans="3:3">
      <c r="C635" s="83"/>
    </row>
    <row r="636" spans="3:3">
      <c r="C636" s="83"/>
    </row>
    <row r="637" spans="3:3">
      <c r="C637" s="83"/>
    </row>
    <row r="638" spans="3:3">
      <c r="C638" s="83"/>
    </row>
    <row r="639" spans="3:3">
      <c r="C639" s="83"/>
    </row>
    <row r="640" spans="3:3">
      <c r="C640" s="83"/>
    </row>
    <row r="641" spans="3:3">
      <c r="C641" s="83"/>
    </row>
    <row r="642" spans="3:3">
      <c r="C642" s="83"/>
    </row>
    <row r="643" spans="3:3">
      <c r="C643" s="83"/>
    </row>
    <row r="644" spans="3:3">
      <c r="C644" s="83"/>
    </row>
    <row r="645" spans="3:3">
      <c r="C645" s="83"/>
    </row>
    <row r="646" spans="3:3">
      <c r="C646" s="83"/>
    </row>
    <row r="647" spans="3:3">
      <c r="C647" s="83"/>
    </row>
    <row r="648" spans="3:3">
      <c r="C648" s="83"/>
    </row>
    <row r="649" spans="3:3">
      <c r="C649" s="83"/>
    </row>
    <row r="650" spans="3:3">
      <c r="C650" s="83"/>
    </row>
    <row r="651" spans="3:3">
      <c r="C651" s="83"/>
    </row>
    <row r="652" spans="3:3">
      <c r="C652" s="83"/>
    </row>
    <row r="653" spans="3:3">
      <c r="C653" s="83"/>
    </row>
    <row r="654" spans="3:3">
      <c r="C654" s="83"/>
    </row>
    <row r="655" spans="3:3">
      <c r="C655" s="83"/>
    </row>
    <row r="656" spans="3:3">
      <c r="C656" s="83"/>
    </row>
    <row r="657" spans="3:3">
      <c r="C657" s="83"/>
    </row>
    <row r="658" spans="3:3">
      <c r="C658" s="83"/>
    </row>
    <row r="659" spans="3:3">
      <c r="C659" s="83"/>
    </row>
    <row r="660" spans="3:3">
      <c r="C660" s="83"/>
    </row>
    <row r="661" spans="3:3">
      <c r="C661" s="83"/>
    </row>
    <row r="662" spans="3:3">
      <c r="C662" s="83"/>
    </row>
    <row r="663" spans="3:3">
      <c r="C663" s="83"/>
    </row>
    <row r="664" spans="3:3">
      <c r="C664" s="83"/>
    </row>
    <row r="665" spans="3:3">
      <c r="C665" s="83"/>
    </row>
    <row r="666" spans="3:3">
      <c r="C666" s="83"/>
    </row>
    <row r="667" spans="3:3">
      <c r="C667" s="83"/>
    </row>
    <row r="668" spans="3:3">
      <c r="C668" s="83"/>
    </row>
    <row r="669" spans="3:3">
      <c r="C669" s="83"/>
    </row>
    <row r="670" spans="3:3">
      <c r="C670" s="83"/>
    </row>
    <row r="671" spans="3:3">
      <c r="C671" s="83"/>
    </row>
    <row r="672" spans="3:3">
      <c r="C672" s="83"/>
    </row>
    <row r="673" spans="3:3">
      <c r="C673" s="83"/>
    </row>
    <row r="674" spans="3:3">
      <c r="C674" s="83"/>
    </row>
    <row r="675" spans="3:3">
      <c r="C675" s="83"/>
    </row>
    <row r="676" spans="3:3">
      <c r="C676" s="83"/>
    </row>
    <row r="677" spans="3:3">
      <c r="C677" s="83"/>
    </row>
    <row r="678" spans="3:3">
      <c r="C678" s="83"/>
    </row>
    <row r="679" spans="3:3">
      <c r="C679" s="83"/>
    </row>
    <row r="680" spans="3:3">
      <c r="C680" s="83"/>
    </row>
    <row r="681" spans="3:3">
      <c r="C681" s="83"/>
    </row>
    <row r="682" spans="3:3">
      <c r="C682" s="83"/>
    </row>
    <row r="683" spans="3:3">
      <c r="C683" s="83"/>
    </row>
    <row r="684" spans="3:3">
      <c r="C684" s="83"/>
    </row>
    <row r="685" spans="3:3">
      <c r="C685" s="83"/>
    </row>
    <row r="686" spans="3:3">
      <c r="C686" s="83"/>
    </row>
    <row r="687" spans="3:3">
      <c r="C687" s="83"/>
    </row>
    <row r="688" spans="3:3">
      <c r="C688" s="83"/>
    </row>
    <row r="689" spans="3:3">
      <c r="C689" s="83"/>
    </row>
    <row r="690" spans="3:3">
      <c r="C690" s="83"/>
    </row>
    <row r="691" spans="3:3">
      <c r="C691" s="83"/>
    </row>
    <row r="692" spans="3:3">
      <c r="C692" s="83"/>
    </row>
    <row r="693" spans="3:3">
      <c r="C693" s="83"/>
    </row>
    <row r="694" spans="3:3">
      <c r="C694" s="83"/>
    </row>
    <row r="695" spans="3:3">
      <c r="C695" s="83"/>
    </row>
    <row r="696" spans="3:3">
      <c r="C696" s="83"/>
    </row>
    <row r="697" spans="3:3">
      <c r="C697" s="83"/>
    </row>
    <row r="698" spans="3:3">
      <c r="C698" s="83"/>
    </row>
    <row r="699" spans="3:3">
      <c r="C699" s="83"/>
    </row>
    <row r="700" spans="3:3">
      <c r="C700" s="83"/>
    </row>
    <row r="701" spans="3:3">
      <c r="C701" s="83"/>
    </row>
    <row r="702" spans="3:3">
      <c r="C702" s="83"/>
    </row>
    <row r="703" spans="3:3">
      <c r="C703" s="83"/>
    </row>
    <row r="704" spans="3:3">
      <c r="C704" s="83"/>
    </row>
    <row r="705" spans="3:3">
      <c r="C705" s="83"/>
    </row>
    <row r="706" spans="3:3">
      <c r="C706" s="83"/>
    </row>
    <row r="707" spans="3:3">
      <c r="C707" s="83"/>
    </row>
    <row r="708" spans="3:3">
      <c r="C708" s="83"/>
    </row>
    <row r="709" spans="3:3">
      <c r="C709" s="83"/>
    </row>
    <row r="710" spans="3:3">
      <c r="C710" s="83"/>
    </row>
    <row r="711" spans="3:3">
      <c r="C711" s="83"/>
    </row>
    <row r="712" spans="3:3">
      <c r="C712" s="83"/>
    </row>
    <row r="713" spans="3:3">
      <c r="C713" s="83"/>
    </row>
    <row r="714" spans="3:3">
      <c r="C714" s="83"/>
    </row>
    <row r="715" spans="3:3">
      <c r="C715" s="83"/>
    </row>
    <row r="716" spans="3:3">
      <c r="C716" s="83"/>
    </row>
    <row r="717" spans="3:3">
      <c r="C717" s="83"/>
    </row>
    <row r="718" spans="3:3">
      <c r="C718" s="83"/>
    </row>
    <row r="719" spans="3:3">
      <c r="C719" s="83"/>
    </row>
    <row r="720" spans="3:3">
      <c r="C720" s="83"/>
    </row>
    <row r="721" spans="3:3">
      <c r="C721" s="83"/>
    </row>
    <row r="722" spans="3:3">
      <c r="C722" s="83"/>
    </row>
    <row r="723" spans="3:3">
      <c r="C723" s="83"/>
    </row>
    <row r="724" spans="3:3">
      <c r="C724" s="83"/>
    </row>
    <row r="725" spans="3:3">
      <c r="C725" s="83"/>
    </row>
    <row r="726" spans="3:3">
      <c r="C726" s="83"/>
    </row>
    <row r="727" spans="3:3">
      <c r="C727" s="83"/>
    </row>
    <row r="728" spans="3:3">
      <c r="C728" s="83"/>
    </row>
    <row r="729" spans="3:3">
      <c r="C729" s="83"/>
    </row>
    <row r="730" spans="3:3">
      <c r="C730" s="83"/>
    </row>
    <row r="731" spans="3:3">
      <c r="C731" s="83"/>
    </row>
    <row r="732" spans="3:3">
      <c r="C732" s="83"/>
    </row>
    <row r="733" spans="3:3">
      <c r="C733" s="83"/>
    </row>
    <row r="734" spans="3:3">
      <c r="C734" s="83"/>
    </row>
    <row r="735" spans="3:3">
      <c r="C735" s="83"/>
    </row>
    <row r="736" spans="3:3">
      <c r="C736" s="83"/>
    </row>
    <row r="737" spans="3:3">
      <c r="C737" s="83"/>
    </row>
    <row r="738" spans="3:3">
      <c r="C738" s="83"/>
    </row>
    <row r="739" spans="3:3">
      <c r="C739" s="83"/>
    </row>
    <row r="740" spans="3:3">
      <c r="C740" s="83"/>
    </row>
    <row r="741" spans="3:3">
      <c r="C741" s="83"/>
    </row>
    <row r="742" spans="3:3">
      <c r="C742" s="83"/>
    </row>
    <row r="743" spans="3:3">
      <c r="C743" s="83"/>
    </row>
    <row r="744" spans="3:3">
      <c r="C744" s="83"/>
    </row>
    <row r="745" spans="3:3">
      <c r="C745" s="83"/>
    </row>
    <row r="746" spans="3:3">
      <c r="C746" s="83"/>
    </row>
    <row r="747" spans="3:3">
      <c r="C747" s="83"/>
    </row>
    <row r="748" spans="3:3">
      <c r="C748" s="83"/>
    </row>
    <row r="749" spans="3:3">
      <c r="C749" s="83"/>
    </row>
    <row r="750" spans="3:3">
      <c r="C750" s="83"/>
    </row>
    <row r="751" spans="3:3">
      <c r="C751" s="83"/>
    </row>
    <row r="752" spans="3:3">
      <c r="C752" s="83"/>
    </row>
    <row r="753" spans="3:3">
      <c r="C753" s="83"/>
    </row>
    <row r="754" spans="3:3">
      <c r="C754" s="83"/>
    </row>
    <row r="755" spans="3:3">
      <c r="C755" s="83"/>
    </row>
    <row r="756" spans="3:3">
      <c r="C756" s="83"/>
    </row>
    <row r="757" spans="3:3">
      <c r="C757" s="83"/>
    </row>
    <row r="758" spans="3:3">
      <c r="C758" s="83"/>
    </row>
    <row r="759" spans="3:3">
      <c r="C759" s="83"/>
    </row>
    <row r="760" spans="3:3">
      <c r="C760" s="83"/>
    </row>
    <row r="761" spans="3:3">
      <c r="C761" s="83"/>
    </row>
    <row r="762" spans="3:3">
      <c r="C762" s="83"/>
    </row>
    <row r="763" spans="3:3">
      <c r="C763" s="83"/>
    </row>
    <row r="764" spans="3:3">
      <c r="C764" s="83"/>
    </row>
    <row r="765" spans="3:3">
      <c r="C765" s="83"/>
    </row>
    <row r="766" spans="3:3">
      <c r="C766" s="83"/>
    </row>
    <row r="767" spans="3:3">
      <c r="C767" s="83"/>
    </row>
    <row r="768" spans="3:3">
      <c r="C768" s="83"/>
    </row>
    <row r="769" spans="3:3">
      <c r="C769" s="83"/>
    </row>
    <row r="770" spans="3:3">
      <c r="C770" s="83"/>
    </row>
    <row r="771" spans="3:3">
      <c r="C771" s="83"/>
    </row>
    <row r="772" spans="3:3">
      <c r="C772" s="83"/>
    </row>
    <row r="773" spans="3:3">
      <c r="C773" s="83"/>
    </row>
    <row r="774" spans="3:3">
      <c r="C774" s="83"/>
    </row>
    <row r="775" spans="3:3">
      <c r="C775" s="83"/>
    </row>
    <row r="776" spans="3:3">
      <c r="C776" s="83"/>
    </row>
    <row r="777" spans="3:3">
      <c r="C777" s="83"/>
    </row>
    <row r="778" spans="3:3">
      <c r="C778" s="83"/>
    </row>
    <row r="779" spans="3:3">
      <c r="C779" s="83"/>
    </row>
    <row r="780" spans="3:3">
      <c r="C780" s="83"/>
    </row>
    <row r="781" spans="3:3">
      <c r="C781" s="83"/>
    </row>
    <row r="782" spans="3:3">
      <c r="C782" s="83"/>
    </row>
    <row r="783" spans="3:3">
      <c r="C783" s="83"/>
    </row>
    <row r="784" spans="3:3">
      <c r="C784" s="83"/>
    </row>
    <row r="785" spans="3:3">
      <c r="C785" s="83"/>
    </row>
    <row r="786" spans="3:3">
      <c r="C786" s="83"/>
    </row>
    <row r="787" spans="3:3">
      <c r="C787" s="83"/>
    </row>
    <row r="788" spans="3:3">
      <c r="C788" s="83"/>
    </row>
    <row r="789" spans="3:3">
      <c r="C789" s="83"/>
    </row>
    <row r="790" spans="3:3">
      <c r="C790" s="83"/>
    </row>
    <row r="791" spans="3:3">
      <c r="C791" s="83"/>
    </row>
    <row r="792" spans="3:3">
      <c r="C792" s="83"/>
    </row>
    <row r="793" spans="3:3">
      <c r="C793" s="83"/>
    </row>
    <row r="794" spans="3:3">
      <c r="C794" s="83"/>
    </row>
    <row r="795" spans="3:3">
      <c r="C795" s="83"/>
    </row>
    <row r="796" spans="3:3">
      <c r="C796" s="83"/>
    </row>
    <row r="797" spans="3:3">
      <c r="C797" s="83"/>
    </row>
    <row r="798" spans="3:3">
      <c r="C798" s="83"/>
    </row>
    <row r="799" spans="3:3">
      <c r="C799" s="83"/>
    </row>
    <row r="800" spans="3:3">
      <c r="C800" s="83"/>
    </row>
    <row r="801" spans="3:3">
      <c r="C801" s="83"/>
    </row>
    <row r="802" spans="3:3">
      <c r="C802" s="83"/>
    </row>
    <row r="803" spans="3:3">
      <c r="C803" s="83"/>
    </row>
    <row r="804" spans="3:3">
      <c r="C804" s="83"/>
    </row>
    <row r="805" spans="3:3">
      <c r="C805" s="83"/>
    </row>
    <row r="806" spans="3:3">
      <c r="C806" s="83"/>
    </row>
    <row r="807" spans="3:3">
      <c r="C807" s="83"/>
    </row>
    <row r="808" spans="3:3">
      <c r="C808" s="83"/>
    </row>
    <row r="809" spans="3:3">
      <c r="C809" s="83"/>
    </row>
    <row r="810" spans="3:3">
      <c r="C810" s="83"/>
    </row>
    <row r="811" spans="3:3">
      <c r="C811" s="83"/>
    </row>
    <row r="812" spans="3:3">
      <c r="C812" s="83"/>
    </row>
    <row r="813" spans="3:3">
      <c r="C813" s="83"/>
    </row>
    <row r="814" spans="3:3">
      <c r="C814" s="83"/>
    </row>
    <row r="815" spans="3:3">
      <c r="C815" s="83"/>
    </row>
    <row r="816" spans="3:3">
      <c r="C816" s="83"/>
    </row>
    <row r="817" spans="3:3">
      <c r="C817" s="83"/>
    </row>
    <row r="818" spans="3:3">
      <c r="C818" s="83"/>
    </row>
    <row r="819" spans="3:3">
      <c r="C819" s="83"/>
    </row>
    <row r="820" spans="3:3">
      <c r="C820" s="83"/>
    </row>
    <row r="821" spans="3:3">
      <c r="C821" s="83"/>
    </row>
    <row r="822" spans="3:3">
      <c r="C822" s="83"/>
    </row>
    <row r="823" spans="3:3">
      <c r="C823" s="83"/>
    </row>
    <row r="824" spans="3:3">
      <c r="C824" s="83"/>
    </row>
    <row r="825" spans="3:3">
      <c r="C825" s="83"/>
    </row>
    <row r="826" spans="3:3">
      <c r="C826" s="83"/>
    </row>
    <row r="827" spans="3:3">
      <c r="C827" s="83"/>
    </row>
    <row r="828" spans="3:3">
      <c r="C828" s="83"/>
    </row>
    <row r="829" spans="3:3">
      <c r="C829" s="83"/>
    </row>
    <row r="830" spans="3:3">
      <c r="C830" s="83"/>
    </row>
    <row r="831" spans="3:3">
      <c r="C831" s="83"/>
    </row>
    <row r="832" spans="3:3">
      <c r="C832" s="83"/>
    </row>
    <row r="833" spans="3:3">
      <c r="C833" s="83"/>
    </row>
    <row r="834" spans="3:3">
      <c r="C834" s="83"/>
    </row>
    <row r="835" spans="3:3">
      <c r="C835" s="83"/>
    </row>
    <row r="836" spans="3:3">
      <c r="C836" s="83"/>
    </row>
    <row r="837" spans="3:3">
      <c r="C837" s="83"/>
    </row>
    <row r="838" spans="3:3">
      <c r="C838" s="83"/>
    </row>
    <row r="839" spans="3:3">
      <c r="C839" s="83"/>
    </row>
    <row r="840" spans="3:3">
      <c r="C840" s="83"/>
    </row>
    <row r="841" spans="3:3">
      <c r="C841" s="83"/>
    </row>
    <row r="842" spans="3:3">
      <c r="C842" s="83"/>
    </row>
    <row r="843" spans="3:3">
      <c r="C843" s="83"/>
    </row>
    <row r="844" spans="3:3">
      <c r="C844" s="83"/>
    </row>
    <row r="845" spans="3:3">
      <c r="C845" s="83"/>
    </row>
    <row r="846" spans="3:3">
      <c r="C846" s="83"/>
    </row>
    <row r="847" spans="3:3">
      <c r="C847" s="83"/>
    </row>
    <row r="848" spans="3:3">
      <c r="C848" s="83"/>
    </row>
    <row r="849" spans="3:3">
      <c r="C849" s="83"/>
    </row>
    <row r="850" spans="3:3">
      <c r="C850" s="83"/>
    </row>
    <row r="851" spans="3:3">
      <c r="C851" s="83"/>
    </row>
    <row r="852" spans="3:3">
      <c r="C852" s="83"/>
    </row>
    <row r="853" spans="3:3">
      <c r="C853" s="83"/>
    </row>
    <row r="854" spans="3:3">
      <c r="C854" s="83"/>
    </row>
    <row r="855" spans="3:3">
      <c r="C855" s="83"/>
    </row>
    <row r="856" spans="3:3">
      <c r="C856" s="83"/>
    </row>
    <row r="857" spans="3:3">
      <c r="C857" s="83"/>
    </row>
    <row r="858" spans="3:3">
      <c r="C858" s="83"/>
    </row>
    <row r="859" spans="3:3">
      <c r="C859" s="83"/>
    </row>
    <row r="860" spans="3:3">
      <c r="C860" s="83"/>
    </row>
    <row r="861" spans="3:3">
      <c r="C861" s="83"/>
    </row>
    <row r="862" spans="3:3">
      <c r="C862" s="83"/>
    </row>
    <row r="863" spans="3:3">
      <c r="C863" s="83"/>
    </row>
    <row r="864" spans="3:3">
      <c r="C864" s="83"/>
    </row>
    <row r="865" spans="3:3">
      <c r="C865" s="83"/>
    </row>
    <row r="866" spans="3:3">
      <c r="C866" s="83"/>
    </row>
    <row r="867" spans="3:3">
      <c r="C867" s="83"/>
    </row>
    <row r="868" spans="3:3">
      <c r="C868" s="83"/>
    </row>
    <row r="869" spans="3:3">
      <c r="C869" s="83"/>
    </row>
    <row r="870" spans="3:3">
      <c r="C870" s="83"/>
    </row>
    <row r="871" spans="3:3">
      <c r="C871" s="83"/>
    </row>
    <row r="872" spans="3:3">
      <c r="C872" s="83"/>
    </row>
    <row r="873" spans="3:3">
      <c r="C873" s="83"/>
    </row>
    <row r="874" spans="3:3">
      <c r="C874" s="83"/>
    </row>
    <row r="875" spans="3:3">
      <c r="C875" s="83"/>
    </row>
    <row r="876" spans="3:3">
      <c r="C876" s="83"/>
    </row>
    <row r="877" spans="3:3">
      <c r="C877" s="83"/>
    </row>
    <row r="878" spans="3:3">
      <c r="C878" s="83"/>
    </row>
    <row r="879" spans="3:3">
      <c r="C879" s="83"/>
    </row>
    <row r="880" spans="3:3">
      <c r="C880" s="83"/>
    </row>
    <row r="881" spans="3:3">
      <c r="C881" s="83"/>
    </row>
    <row r="882" spans="3:3">
      <c r="C882" s="83"/>
    </row>
    <row r="883" spans="3:3">
      <c r="C883" s="83"/>
    </row>
    <row r="884" spans="3:3">
      <c r="C884" s="83"/>
    </row>
    <row r="885" spans="3:3">
      <c r="C885" s="83"/>
    </row>
    <row r="886" spans="3:3">
      <c r="C886" s="83"/>
    </row>
    <row r="887" spans="3:3">
      <c r="C887" s="83"/>
    </row>
    <row r="888" spans="3:3">
      <c r="C888" s="83"/>
    </row>
    <row r="889" spans="3:3">
      <c r="C889" s="83"/>
    </row>
    <row r="890" spans="3:3">
      <c r="C890" s="83"/>
    </row>
    <row r="891" spans="3:3">
      <c r="C891" s="83"/>
    </row>
    <row r="892" spans="3:3">
      <c r="C892" s="83"/>
    </row>
    <row r="893" spans="3:3">
      <c r="C893" s="83"/>
    </row>
    <row r="894" spans="3:3">
      <c r="C894" s="83"/>
    </row>
    <row r="895" spans="3:3">
      <c r="C895" s="83"/>
    </row>
    <row r="896" spans="3:3">
      <c r="C896" s="83"/>
    </row>
    <row r="897" spans="3:3">
      <c r="C897" s="83"/>
    </row>
    <row r="898" spans="3:3">
      <c r="C898" s="83"/>
    </row>
    <row r="899" spans="3:3">
      <c r="C899" s="83"/>
    </row>
    <row r="900" spans="3:3">
      <c r="C900" s="83"/>
    </row>
    <row r="901" spans="3:3">
      <c r="C901" s="83"/>
    </row>
    <row r="902" spans="3:3">
      <c r="C902" s="83"/>
    </row>
    <row r="903" spans="3:3">
      <c r="C903" s="83"/>
    </row>
    <row r="904" spans="3:3">
      <c r="C904" s="83"/>
    </row>
    <row r="905" spans="3:3">
      <c r="C905" s="83"/>
    </row>
    <row r="906" spans="3:3">
      <c r="C906" s="83"/>
    </row>
    <row r="907" spans="3:3">
      <c r="C907" s="83"/>
    </row>
    <row r="908" spans="3:3">
      <c r="C908" s="83"/>
    </row>
    <row r="909" spans="3:3">
      <c r="C909" s="83"/>
    </row>
    <row r="910" spans="3:3">
      <c r="C910" s="83"/>
    </row>
    <row r="911" spans="3:3">
      <c r="C911" s="83"/>
    </row>
    <row r="912" spans="3:3">
      <c r="C912" s="83"/>
    </row>
    <row r="913" spans="3:3">
      <c r="C913" s="83"/>
    </row>
    <row r="914" spans="3:3">
      <c r="C914" s="83"/>
    </row>
    <row r="915" spans="3:3">
      <c r="C915" s="83"/>
    </row>
    <row r="916" spans="3:3">
      <c r="C916" s="83"/>
    </row>
    <row r="917" spans="3:3">
      <c r="C917" s="83"/>
    </row>
    <row r="918" spans="3:3">
      <c r="C918" s="83"/>
    </row>
    <row r="919" spans="3:3">
      <c r="C919" s="83"/>
    </row>
    <row r="920" spans="3:3">
      <c r="C920" s="83"/>
    </row>
    <row r="921" spans="3:3">
      <c r="C921" s="83"/>
    </row>
    <row r="922" spans="3:3">
      <c r="C922" s="83"/>
    </row>
    <row r="923" spans="3:3">
      <c r="C923" s="83"/>
    </row>
    <row r="924" spans="3:3">
      <c r="C924" s="83"/>
    </row>
    <row r="925" spans="3:3">
      <c r="C925" s="83"/>
    </row>
    <row r="926" spans="3:3">
      <c r="C926" s="83"/>
    </row>
    <row r="927" spans="3:3">
      <c r="C927" s="83"/>
    </row>
    <row r="928" spans="3:3">
      <c r="C928" s="83"/>
    </row>
    <row r="929" spans="3:3">
      <c r="C929" s="83"/>
    </row>
    <row r="930" spans="3:3">
      <c r="C930" s="83"/>
    </row>
    <row r="931" spans="3:3">
      <c r="C931" s="83"/>
    </row>
    <row r="932" spans="3:3">
      <c r="C932" s="83"/>
    </row>
    <row r="933" spans="3:3">
      <c r="C933" s="83"/>
    </row>
    <row r="934" spans="3:3">
      <c r="C934" s="83"/>
    </row>
    <row r="935" spans="3:3">
      <c r="C935" s="83"/>
    </row>
    <row r="936" spans="3:3">
      <c r="C936" s="83"/>
    </row>
    <row r="937" spans="3:3">
      <c r="C937" s="83"/>
    </row>
    <row r="938" spans="3:3">
      <c r="C938" s="83"/>
    </row>
    <row r="939" spans="3:3">
      <c r="C939" s="83"/>
    </row>
    <row r="940" spans="3:3">
      <c r="C940" s="83"/>
    </row>
    <row r="941" spans="3:3">
      <c r="C941" s="83"/>
    </row>
    <row r="942" spans="3:3">
      <c r="C942" s="83"/>
    </row>
    <row r="943" spans="3:3">
      <c r="C943" s="83"/>
    </row>
    <row r="944" spans="3:3">
      <c r="C944" s="83"/>
    </row>
    <row r="945" spans="3:3">
      <c r="C945" s="83"/>
    </row>
    <row r="946" spans="3:3">
      <c r="C946" s="83"/>
    </row>
    <row r="947" spans="3:3">
      <c r="C947" s="83"/>
    </row>
    <row r="948" spans="3:3">
      <c r="C948" s="83"/>
    </row>
    <row r="949" spans="3:3">
      <c r="C949" s="83"/>
    </row>
    <row r="950" spans="3:3">
      <c r="C950" s="83"/>
    </row>
    <row r="951" spans="3:3">
      <c r="C951" s="83"/>
    </row>
    <row r="952" spans="3:3">
      <c r="C952" s="83"/>
    </row>
    <row r="953" spans="3:3">
      <c r="C953" s="83"/>
    </row>
    <row r="954" spans="3:3">
      <c r="C954" s="83"/>
    </row>
    <row r="955" spans="3:3">
      <c r="C955" s="83"/>
    </row>
    <row r="956" spans="3:3">
      <c r="C956" s="83"/>
    </row>
    <row r="957" spans="3:3">
      <c r="C957" s="83"/>
    </row>
    <row r="958" spans="3:3">
      <c r="C958" s="83"/>
    </row>
    <row r="959" spans="3:3">
      <c r="C959" s="83"/>
    </row>
    <row r="960" spans="3:3">
      <c r="C960" s="83"/>
    </row>
    <row r="961" spans="3:3">
      <c r="C961" s="83"/>
    </row>
    <row r="962" spans="3:3">
      <c r="C962" s="83"/>
    </row>
    <row r="963" spans="3:3">
      <c r="C963" s="83"/>
    </row>
    <row r="964" spans="3:3">
      <c r="C964" s="83"/>
    </row>
    <row r="965" spans="3:3">
      <c r="C965" s="83"/>
    </row>
    <row r="966" spans="3:3">
      <c r="C966" s="83"/>
    </row>
    <row r="967" spans="3:3">
      <c r="C967" s="83"/>
    </row>
    <row r="968" spans="3:3">
      <c r="C968" s="83"/>
    </row>
    <row r="969" spans="3:3">
      <c r="C969" s="83"/>
    </row>
    <row r="970" spans="3:3">
      <c r="C970" s="83"/>
    </row>
    <row r="971" spans="3:3">
      <c r="C971" s="83"/>
    </row>
    <row r="972" spans="3:3">
      <c r="C972" s="83"/>
    </row>
    <row r="973" spans="3:3">
      <c r="C973" s="83"/>
    </row>
    <row r="974" spans="3:3">
      <c r="C974" s="83"/>
    </row>
    <row r="975" spans="3:3">
      <c r="C975" s="83"/>
    </row>
    <row r="976" spans="3:3">
      <c r="C976" s="83"/>
    </row>
    <row r="977" spans="3:3">
      <c r="C977" s="83"/>
    </row>
    <row r="978" spans="3:3">
      <c r="C978" s="83"/>
    </row>
    <row r="979" spans="3:3">
      <c r="C979" s="83"/>
    </row>
    <row r="980" spans="3:3">
      <c r="C980" s="83"/>
    </row>
    <row r="981" spans="3:3">
      <c r="C981" s="83"/>
    </row>
    <row r="982" spans="3:3">
      <c r="C982" s="83"/>
    </row>
    <row r="983" spans="3:3">
      <c r="C983" s="83"/>
    </row>
    <row r="984" spans="3:3">
      <c r="C984" s="83"/>
    </row>
    <row r="985" spans="3:3">
      <c r="C985" s="83"/>
    </row>
    <row r="986" spans="3:3">
      <c r="C986" s="83"/>
    </row>
    <row r="987" spans="3:3">
      <c r="C987" s="83"/>
    </row>
    <row r="988" spans="3:3">
      <c r="C988" s="83"/>
    </row>
    <row r="989" spans="3:3">
      <c r="C989" s="83"/>
    </row>
    <row r="990" spans="3:3">
      <c r="C990" s="83"/>
    </row>
    <row r="991" spans="3:3">
      <c r="C991" s="83"/>
    </row>
    <row r="992" spans="3:3">
      <c r="C992" s="83"/>
    </row>
    <row r="993" spans="3:3">
      <c r="C993" s="83"/>
    </row>
    <row r="994" spans="3:3">
      <c r="C994" s="83"/>
    </row>
    <row r="995" spans="3:3">
      <c r="C995" s="83"/>
    </row>
    <row r="996" spans="3:3">
      <c r="C996" s="83"/>
    </row>
    <row r="997" spans="3:3">
      <c r="C997" s="83"/>
    </row>
    <row r="998" spans="3:3">
      <c r="C998" s="83"/>
    </row>
    <row r="999" spans="3:3">
      <c r="C999" s="83"/>
    </row>
    <row r="1000" spans="3:3">
      <c r="C1000" s="83"/>
    </row>
    <row r="1001" spans="3:3">
      <c r="C1001" s="83"/>
    </row>
    <row r="1002" spans="3:3">
      <c r="C1002" s="83"/>
    </row>
    <row r="1003" spans="3:3">
      <c r="C1003" s="83"/>
    </row>
    <row r="1004" spans="3:3">
      <c r="C1004" s="83"/>
    </row>
    <row r="1005" spans="3:3">
      <c r="C1005" s="83"/>
    </row>
    <row r="1006" spans="3:3">
      <c r="C1006" s="83"/>
    </row>
    <row r="1007" spans="3:3">
      <c r="C1007" s="83"/>
    </row>
    <row r="1008" spans="3:3">
      <c r="C1008" s="83"/>
    </row>
    <row r="1009" spans="3:3">
      <c r="C1009" s="83"/>
    </row>
    <row r="1010" spans="3:3">
      <c r="C1010" s="83"/>
    </row>
    <row r="1011" spans="3:3">
      <c r="C1011" s="83"/>
    </row>
    <row r="1012" spans="3:3">
      <c r="C1012" s="83"/>
    </row>
    <row r="1013" spans="3:3">
      <c r="C1013" s="83"/>
    </row>
    <row r="1014" spans="3:3">
      <c r="C1014" s="83"/>
    </row>
    <row r="1015" spans="3:3">
      <c r="C1015" s="83"/>
    </row>
    <row r="1016" spans="3:3">
      <c r="C1016" s="83"/>
    </row>
    <row r="1017" spans="3:3">
      <c r="C1017" s="83"/>
    </row>
    <row r="1018" spans="3:3">
      <c r="C1018" s="83"/>
    </row>
    <row r="1019" spans="3:3">
      <c r="C1019" s="83"/>
    </row>
    <row r="1020" spans="3:3">
      <c r="C1020" s="83"/>
    </row>
    <row r="1021" spans="3:3">
      <c r="C1021" s="83"/>
    </row>
    <row r="1022" spans="3:3">
      <c r="C1022" s="83"/>
    </row>
    <row r="1023" spans="3:3">
      <c r="C1023" s="83"/>
    </row>
    <row r="1024" spans="3:3">
      <c r="C1024" s="83"/>
    </row>
    <row r="1025" spans="3:3">
      <c r="C1025" s="83"/>
    </row>
    <row r="1026" spans="3:3">
      <c r="C1026" s="83"/>
    </row>
    <row r="1027" spans="3:3">
      <c r="C1027" s="83"/>
    </row>
    <row r="1028" spans="3:3">
      <c r="C1028" s="83"/>
    </row>
    <row r="1029" spans="3:3">
      <c r="C1029" s="83"/>
    </row>
    <row r="1030" spans="3:3">
      <c r="C1030" s="83"/>
    </row>
    <row r="1031" spans="3:3">
      <c r="C1031" s="83"/>
    </row>
    <row r="1032" spans="3:3">
      <c r="C1032" s="83"/>
    </row>
    <row r="1033" spans="3:3">
      <c r="C1033" s="83"/>
    </row>
    <row r="1034" spans="3:3">
      <c r="C1034" s="83"/>
    </row>
    <row r="1035" spans="3:3">
      <c r="C1035" s="83"/>
    </row>
    <row r="1036" spans="3:3">
      <c r="C1036" s="83"/>
    </row>
    <row r="1037" spans="3:3">
      <c r="C1037" s="83"/>
    </row>
    <row r="1038" spans="3:3">
      <c r="C1038" s="83"/>
    </row>
    <row r="1039" spans="3:3">
      <c r="C1039" s="83"/>
    </row>
    <row r="1040" spans="3:3">
      <c r="C1040" s="83"/>
    </row>
    <row r="1041" spans="3:3">
      <c r="C1041" s="83"/>
    </row>
    <row r="1042" spans="3:3">
      <c r="C1042" s="83"/>
    </row>
    <row r="1043" spans="3:3">
      <c r="C1043" s="83"/>
    </row>
    <row r="1044" spans="3:3">
      <c r="C1044" s="83"/>
    </row>
    <row r="1045" spans="3:3">
      <c r="C1045" s="83"/>
    </row>
    <row r="1046" spans="3:3">
      <c r="C1046" s="83"/>
    </row>
    <row r="1047" spans="3:3">
      <c r="C1047" s="83"/>
    </row>
    <row r="1048" spans="3:3">
      <c r="C1048" s="83"/>
    </row>
    <row r="1049" spans="3:3">
      <c r="C1049" s="83"/>
    </row>
    <row r="1050" spans="3:3">
      <c r="C1050" s="83"/>
    </row>
    <row r="1051" spans="3:3">
      <c r="C1051" s="83"/>
    </row>
    <row r="1052" spans="3:3">
      <c r="C1052" s="83"/>
    </row>
    <row r="1053" spans="3:3">
      <c r="C1053" s="83"/>
    </row>
    <row r="1054" spans="3:3">
      <c r="C1054" s="83"/>
    </row>
    <row r="1055" spans="3:3">
      <c r="C1055" s="83"/>
    </row>
    <row r="1056" spans="3:3">
      <c r="C1056" s="83"/>
    </row>
    <row r="1057" spans="3:3">
      <c r="C1057" s="83"/>
    </row>
    <row r="1058" spans="3:3">
      <c r="C1058" s="83"/>
    </row>
    <row r="1059" spans="3:3">
      <c r="C1059" s="83"/>
    </row>
    <row r="1060" spans="3:3">
      <c r="C1060" s="83"/>
    </row>
    <row r="1061" spans="3:3">
      <c r="C1061" s="83"/>
    </row>
    <row r="1062" spans="3:3">
      <c r="C1062" s="83"/>
    </row>
    <row r="1063" spans="3:3">
      <c r="C1063" s="83"/>
    </row>
    <row r="1064" spans="3:3">
      <c r="C1064" s="83"/>
    </row>
    <row r="1065" spans="3:3">
      <c r="C1065" s="83"/>
    </row>
    <row r="1066" spans="3:3">
      <c r="C1066" s="83"/>
    </row>
    <row r="1067" spans="3:3">
      <c r="C1067" s="83"/>
    </row>
    <row r="1068" spans="3:3">
      <c r="C1068" s="83"/>
    </row>
    <row r="1069" spans="3:3">
      <c r="C1069" s="83"/>
    </row>
    <row r="1070" spans="3:3">
      <c r="C1070" s="83"/>
    </row>
    <row r="1071" spans="3:3">
      <c r="C1071" s="83"/>
    </row>
    <row r="1072" spans="3:3">
      <c r="C1072" s="83"/>
    </row>
    <row r="1073" spans="3:3">
      <c r="C1073" s="83"/>
    </row>
    <row r="1074" spans="3:3">
      <c r="C1074" s="83"/>
    </row>
    <row r="1075" spans="3:3">
      <c r="C1075" s="83"/>
    </row>
    <row r="1076" spans="3:3">
      <c r="C1076" s="83"/>
    </row>
    <row r="1077" spans="3:3">
      <c r="C1077" s="83"/>
    </row>
    <row r="1078" spans="3:3">
      <c r="C1078" s="83"/>
    </row>
    <row r="1079" spans="3:3">
      <c r="C1079" s="83"/>
    </row>
    <row r="1080" spans="3:3">
      <c r="C1080" s="83"/>
    </row>
    <row r="1081" spans="3:3">
      <c r="C1081" s="83"/>
    </row>
    <row r="1082" spans="3:3">
      <c r="C1082" s="83"/>
    </row>
    <row r="1083" spans="3:3">
      <c r="C1083" s="83"/>
    </row>
    <row r="1084" spans="3:3">
      <c r="C1084" s="83"/>
    </row>
    <row r="1085" spans="3:3">
      <c r="C1085" s="83"/>
    </row>
    <row r="1086" spans="3:3">
      <c r="C1086" s="83"/>
    </row>
    <row r="1087" spans="3:3">
      <c r="C1087" s="83"/>
    </row>
    <row r="1088" spans="3:3">
      <c r="C1088" s="83"/>
    </row>
    <row r="1089" spans="3:3">
      <c r="C1089" s="83"/>
    </row>
    <row r="1090" spans="3:3">
      <c r="C1090" s="83"/>
    </row>
    <row r="1091" spans="3:3">
      <c r="C1091" s="83"/>
    </row>
    <row r="1092" spans="3:3">
      <c r="C1092" s="83"/>
    </row>
    <row r="1093" spans="3:3">
      <c r="C1093" s="83"/>
    </row>
    <row r="1094" spans="3:3">
      <c r="C1094" s="83"/>
    </row>
    <row r="1095" spans="3:3">
      <c r="C1095" s="83"/>
    </row>
    <row r="1096" spans="3:3">
      <c r="C1096" s="83"/>
    </row>
    <row r="1097" spans="3:3">
      <c r="C1097" s="83"/>
    </row>
    <row r="1098" spans="3:3">
      <c r="C1098" s="83"/>
    </row>
    <row r="1099" spans="3:3">
      <c r="C1099" s="83"/>
    </row>
    <row r="1100" spans="3:3">
      <c r="C1100" s="83"/>
    </row>
    <row r="1101" spans="3:3">
      <c r="C1101" s="83"/>
    </row>
    <row r="1102" spans="3:3">
      <c r="C1102" s="83"/>
    </row>
    <row r="1103" spans="3:3">
      <c r="C1103" s="83"/>
    </row>
    <row r="1104" spans="3:3">
      <c r="C1104" s="83"/>
    </row>
    <row r="1105" spans="3:3">
      <c r="C1105" s="83"/>
    </row>
    <row r="1106" spans="3:3">
      <c r="C1106" s="83"/>
    </row>
    <row r="1107" spans="3:3">
      <c r="C1107" s="83"/>
    </row>
    <row r="1108" spans="3:3">
      <c r="C1108" s="83"/>
    </row>
    <row r="1109" spans="3:3">
      <c r="C1109" s="83"/>
    </row>
    <row r="1110" spans="3:3">
      <c r="C1110" s="83"/>
    </row>
    <row r="1111" spans="3:3">
      <c r="C1111" s="83"/>
    </row>
    <row r="1112" spans="3:3">
      <c r="C1112" s="83"/>
    </row>
    <row r="1113" spans="3:3">
      <c r="C1113" s="83"/>
    </row>
    <row r="1114" spans="3:3">
      <c r="C1114" s="83"/>
    </row>
    <row r="1115" spans="3:3">
      <c r="C1115" s="83"/>
    </row>
    <row r="1116" spans="3:3">
      <c r="C1116" s="83"/>
    </row>
    <row r="1117" spans="3:3">
      <c r="C1117" s="83"/>
    </row>
    <row r="1118" spans="3:3">
      <c r="C1118" s="83"/>
    </row>
    <row r="1119" spans="3:3">
      <c r="C1119" s="83"/>
    </row>
    <row r="1120" spans="3:3">
      <c r="C1120" s="83"/>
    </row>
    <row r="1121" spans="3:3">
      <c r="C1121" s="83"/>
    </row>
    <row r="1122" spans="3:3">
      <c r="C1122" s="83"/>
    </row>
    <row r="1123" spans="3:3">
      <c r="C1123" s="83"/>
    </row>
    <row r="1124" spans="3:3">
      <c r="C1124" s="83"/>
    </row>
    <row r="1125" spans="3:3">
      <c r="C1125" s="83"/>
    </row>
    <row r="1126" spans="3:3">
      <c r="C1126" s="83"/>
    </row>
    <row r="1127" spans="3:3">
      <c r="C1127" s="83"/>
    </row>
    <row r="1128" spans="3:3">
      <c r="C1128" s="83"/>
    </row>
    <row r="1129" spans="3:3">
      <c r="C1129" s="83"/>
    </row>
    <row r="1130" spans="3:3">
      <c r="C1130" s="83"/>
    </row>
    <row r="1131" spans="3:3">
      <c r="C1131" s="83"/>
    </row>
    <row r="1132" spans="3:3">
      <c r="C1132" s="83"/>
    </row>
    <row r="1133" spans="3:3">
      <c r="C1133" s="83"/>
    </row>
    <row r="1134" spans="3:3">
      <c r="C1134" s="83"/>
    </row>
    <row r="1135" spans="3:3">
      <c r="C1135" s="83"/>
    </row>
    <row r="1136" spans="3:3">
      <c r="C1136" s="83"/>
    </row>
    <row r="1137" spans="3:3">
      <c r="C1137" s="83"/>
    </row>
    <row r="1138" spans="3:3">
      <c r="C1138" s="83"/>
    </row>
  </sheetData>
  <mergeCells count="1">
    <mergeCell ref="G2:I2"/>
  </mergeCells>
  <phoneticPr fontId="2"/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5CA2B-C783-4347-BC01-FE16442DBCD2}">
  <dimension ref="A1:AI383"/>
  <sheetViews>
    <sheetView zoomScaleNormal="100" zoomScalePageLayoutView="84" workbookViewId="0">
      <selection activeCell="A2" sqref="A2"/>
    </sheetView>
  </sheetViews>
  <sheetFormatPr baseColWidth="10" defaultColWidth="6.7109375" defaultRowHeight="16"/>
  <cols>
    <col min="1" max="1" width="36.42578125" style="1" customWidth="1"/>
    <col min="2" max="2" width="8.140625" style="1" customWidth="1"/>
    <col min="3" max="3" width="6.7109375" style="1" customWidth="1"/>
    <col min="4" max="4" width="7.28515625" style="1" bestFit="1" customWidth="1"/>
    <col min="5" max="5" width="7" style="1" bestFit="1" customWidth="1"/>
    <col min="6" max="6" width="7.42578125" style="1" bestFit="1" customWidth="1"/>
    <col min="7" max="7" width="7.28515625" style="1" customWidth="1"/>
    <col min="8" max="8" width="6.7109375" style="1" customWidth="1"/>
    <col min="9" max="9" width="7" style="1" customWidth="1"/>
    <col min="10" max="10" width="2.140625" style="46" customWidth="1"/>
    <col min="11" max="11" width="7.140625" style="1" bestFit="1" customWidth="1"/>
    <col min="12" max="12" width="11.7109375" style="1" customWidth="1"/>
    <col min="13" max="13" width="22.7109375" style="1" customWidth="1"/>
    <col min="14" max="14" width="7.140625" style="1" bestFit="1" customWidth="1"/>
    <col min="15" max="15" width="7.42578125" style="1" bestFit="1" customWidth="1"/>
    <col min="16" max="16" width="7.140625" style="1" bestFit="1" customWidth="1"/>
    <col min="17" max="17" width="7.28515625" style="1" bestFit="1" customWidth="1"/>
    <col min="18" max="26" width="6.7109375" style="1"/>
    <col min="27" max="28" width="7" style="1" bestFit="1" customWidth="1"/>
    <col min="29" max="29" width="8.85546875" style="1" bestFit="1" customWidth="1"/>
    <col min="30" max="30" width="7" style="1" bestFit="1" customWidth="1"/>
    <col min="31" max="31" width="6.7109375" style="1"/>
    <col min="32" max="32" width="7" style="1" bestFit="1" customWidth="1"/>
    <col min="33" max="33" width="6.7109375" style="1"/>
    <col min="34" max="34" width="7.42578125" style="1" bestFit="1" customWidth="1"/>
    <col min="35" max="16384" width="6.7109375" style="1"/>
  </cols>
  <sheetData>
    <row r="1" spans="1:32">
      <c r="A1" s="2" t="s">
        <v>406</v>
      </c>
      <c r="B1" s="2"/>
      <c r="C1" s="2"/>
      <c r="D1" s="2"/>
      <c r="E1" s="2"/>
      <c r="F1" s="2"/>
      <c r="G1" s="2"/>
      <c r="H1" s="2"/>
      <c r="I1" s="2"/>
      <c r="J1" s="58"/>
      <c r="K1" s="2"/>
      <c r="L1" s="2"/>
      <c r="M1" s="2"/>
    </row>
    <row r="2" spans="1:32" ht="35" customHeight="1">
      <c r="A2" s="54" t="s">
        <v>102</v>
      </c>
      <c r="B2" s="54" t="s">
        <v>141</v>
      </c>
      <c r="C2" s="54" t="s">
        <v>140</v>
      </c>
      <c r="D2" s="80" t="s">
        <v>0</v>
      </c>
      <c r="E2" s="80" t="s">
        <v>1</v>
      </c>
      <c r="F2" s="80" t="s">
        <v>3</v>
      </c>
      <c r="G2" s="80" t="s">
        <v>5</v>
      </c>
      <c r="H2" s="80" t="s">
        <v>183</v>
      </c>
      <c r="I2" s="293" t="s">
        <v>184</v>
      </c>
      <c r="J2" s="293"/>
      <c r="K2" s="293"/>
      <c r="L2" s="55" t="s">
        <v>384</v>
      </c>
      <c r="M2" s="56" t="s">
        <v>138</v>
      </c>
      <c r="N2" s="7"/>
      <c r="O2" s="7"/>
      <c r="P2" s="7"/>
      <c r="Q2" s="7"/>
      <c r="R2" s="5"/>
      <c r="S2" s="7"/>
      <c r="T2" s="7"/>
      <c r="U2" s="7"/>
      <c r="V2" s="7"/>
      <c r="W2" s="7"/>
      <c r="X2" s="7"/>
      <c r="Y2" s="5"/>
      <c r="Z2" s="2"/>
      <c r="AA2" s="7"/>
      <c r="AB2" s="7"/>
      <c r="AC2" s="7"/>
      <c r="AD2" s="7"/>
      <c r="AE2" s="7"/>
      <c r="AF2" s="7"/>
    </row>
    <row r="3" spans="1:32" ht="17">
      <c r="A3" s="5" t="s">
        <v>134</v>
      </c>
      <c r="B3" s="5">
        <v>245.94</v>
      </c>
      <c r="C3" s="11">
        <v>63.905148148148001</v>
      </c>
      <c r="D3" s="6">
        <v>4.3999999999999997E-2</v>
      </c>
      <c r="E3" s="6"/>
      <c r="F3" s="6"/>
      <c r="G3" s="6">
        <v>7.0000000000000001E-3</v>
      </c>
      <c r="H3" s="12">
        <v>0.8</v>
      </c>
      <c r="I3" s="6">
        <v>0.4229</v>
      </c>
      <c r="J3" s="8" t="s">
        <v>111</v>
      </c>
      <c r="K3" s="6">
        <v>4.5999999999999999E-3</v>
      </c>
      <c r="L3" s="11">
        <f t="shared" ref="L3:L19" si="0">I3-H3*(EXP(1.666*10^-11*C3*10^6)-1)</f>
        <v>0.42204781862436419</v>
      </c>
      <c r="M3" s="7" t="s">
        <v>145</v>
      </c>
      <c r="N3" s="7"/>
      <c r="O3" s="7"/>
      <c r="P3" s="7"/>
      <c r="Q3" s="7"/>
      <c r="R3" s="5"/>
      <c r="S3" s="7"/>
      <c r="T3" s="7"/>
      <c r="U3" s="7"/>
      <c r="V3" s="7"/>
      <c r="W3" s="7"/>
      <c r="X3" s="7"/>
      <c r="Y3" s="5"/>
      <c r="Z3" s="2"/>
      <c r="AA3" s="10"/>
      <c r="AB3" s="10"/>
      <c r="AC3" s="10"/>
      <c r="AD3" s="10"/>
      <c r="AE3" s="10"/>
      <c r="AF3" s="10"/>
    </row>
    <row r="4" spans="1:32" ht="17">
      <c r="A4" s="2" t="s">
        <v>135</v>
      </c>
      <c r="B4" s="82">
        <v>246.04</v>
      </c>
      <c r="C4" s="11">
        <v>64.016629629629492</v>
      </c>
      <c r="D4" s="83">
        <v>3.3000000000000002E-2</v>
      </c>
      <c r="E4" s="83"/>
      <c r="F4" s="83"/>
      <c r="G4" s="83">
        <v>8.0000000000000002E-3</v>
      </c>
      <c r="H4" s="84">
        <v>1.2</v>
      </c>
      <c r="I4" s="85">
        <v>0.42559999999999998</v>
      </c>
      <c r="J4" s="8" t="s">
        <v>111</v>
      </c>
      <c r="K4" s="85">
        <v>6.8999999999999999E-3</v>
      </c>
      <c r="L4" s="11">
        <f t="shared" si="0"/>
        <v>0.42431949682258574</v>
      </c>
      <c r="M4" s="7" t="s">
        <v>145</v>
      </c>
      <c r="N4" s="7"/>
      <c r="O4" s="17"/>
      <c r="P4" s="17"/>
      <c r="Q4" s="17"/>
      <c r="S4" s="16"/>
      <c r="T4" s="18"/>
      <c r="U4" s="18"/>
      <c r="V4" s="16"/>
      <c r="W4" s="16"/>
      <c r="X4" s="16"/>
      <c r="Y4" s="19"/>
      <c r="AA4" s="14"/>
      <c r="AB4" s="14"/>
      <c r="AC4" s="14"/>
      <c r="AD4" s="14"/>
      <c r="AE4" s="14"/>
      <c r="AF4" s="14"/>
    </row>
    <row r="5" spans="1:32" ht="17">
      <c r="A5" s="2" t="s">
        <v>136</v>
      </c>
      <c r="B5" s="82">
        <v>246.14</v>
      </c>
      <c r="C5" s="11">
        <v>64.128111111110968</v>
      </c>
      <c r="D5" s="83">
        <v>3.3600000000000005E-2</v>
      </c>
      <c r="E5" s="83"/>
      <c r="F5" s="83"/>
      <c r="G5" s="83">
        <v>9.8000000000000004E-2</v>
      </c>
      <c r="H5" s="84">
        <v>14.5</v>
      </c>
      <c r="I5" s="85">
        <v>0.4219</v>
      </c>
      <c r="J5" s="8" t="s">
        <v>111</v>
      </c>
      <c r="K5" s="85">
        <v>3.2000000000000002E-3</v>
      </c>
      <c r="L5" s="11">
        <f t="shared" si="0"/>
        <v>0.40640029392914628</v>
      </c>
      <c r="M5" s="7" t="s">
        <v>144</v>
      </c>
      <c r="N5" s="7"/>
      <c r="O5" s="17"/>
      <c r="P5" s="17"/>
      <c r="Q5" s="17"/>
      <c r="S5" s="16"/>
      <c r="T5" s="18"/>
      <c r="U5" s="18"/>
      <c r="V5" s="16"/>
      <c r="W5" s="16"/>
      <c r="X5" s="16"/>
      <c r="Y5" s="19"/>
      <c r="AA5" s="14"/>
      <c r="AB5" s="14"/>
      <c r="AC5" s="14"/>
      <c r="AD5" s="14"/>
      <c r="AE5" s="14"/>
      <c r="AF5" s="14"/>
    </row>
    <row r="6" spans="1:32" ht="17">
      <c r="A6" s="2" t="s">
        <v>7</v>
      </c>
      <c r="B6" s="82">
        <v>246.21</v>
      </c>
      <c r="C6" s="11">
        <v>64.206148148148031</v>
      </c>
      <c r="D6" s="83">
        <v>3.7600000000000001E-2</v>
      </c>
      <c r="E6" s="83"/>
      <c r="F6" s="83"/>
      <c r="G6" s="83">
        <v>8.0000000000000002E-3</v>
      </c>
      <c r="H6" s="84">
        <v>1</v>
      </c>
      <c r="I6" s="85">
        <v>0.42320000000000002</v>
      </c>
      <c r="J6" s="8" t="s">
        <v>111</v>
      </c>
      <c r="K6" s="85">
        <v>3.0999999999999999E-3</v>
      </c>
      <c r="L6" s="11">
        <f t="shared" si="0"/>
        <v>0.42212975326611879</v>
      </c>
      <c r="M6" s="7" t="s">
        <v>144</v>
      </c>
      <c r="N6" s="7"/>
      <c r="O6" s="17"/>
      <c r="P6" s="17"/>
      <c r="Q6" s="17"/>
      <c r="S6" s="16"/>
      <c r="T6" s="18"/>
      <c r="U6" s="18"/>
      <c r="V6" s="16"/>
      <c r="W6" s="16"/>
      <c r="X6" s="16"/>
      <c r="Y6" s="19"/>
      <c r="AA6" s="14"/>
      <c r="AB6" s="14"/>
      <c r="AC6" s="14"/>
      <c r="AD6" s="14"/>
      <c r="AE6" s="14"/>
      <c r="AF6" s="14"/>
    </row>
    <row r="7" spans="1:32" ht="17">
      <c r="A7" s="2" t="s">
        <v>8</v>
      </c>
      <c r="B7" s="82">
        <v>246.34</v>
      </c>
      <c r="C7" s="11">
        <v>64.351074074073964</v>
      </c>
      <c r="D7" s="83">
        <v>4.2799999999999998E-2</v>
      </c>
      <c r="E7" s="83"/>
      <c r="F7" s="86"/>
      <c r="G7" s="83">
        <v>8.0000000000000002E-3</v>
      </c>
      <c r="H7" s="84">
        <v>0.9</v>
      </c>
      <c r="I7" s="85">
        <v>0.42120000000000002</v>
      </c>
      <c r="J7" s="8" t="s">
        <v>111</v>
      </c>
      <c r="K7" s="85">
        <v>1.6000000000000001E-3</v>
      </c>
      <c r="L7" s="11">
        <f t="shared" si="0"/>
        <v>0.4202346025918805</v>
      </c>
      <c r="M7" s="7" t="s">
        <v>144</v>
      </c>
      <c r="N7" s="7"/>
      <c r="O7" s="17"/>
      <c r="P7" s="17"/>
      <c r="Q7" s="17"/>
      <c r="S7" s="16"/>
      <c r="T7" s="18"/>
      <c r="U7" s="18"/>
      <c r="V7" s="16"/>
      <c r="W7" s="16"/>
      <c r="X7" s="16"/>
      <c r="Y7" s="19"/>
      <c r="AA7" s="14"/>
      <c r="AB7" s="14"/>
      <c r="AC7" s="14"/>
      <c r="AD7" s="14"/>
      <c r="AE7" s="14"/>
      <c r="AF7" s="14"/>
    </row>
    <row r="8" spans="1:32" ht="17">
      <c r="A8" s="2" t="s">
        <v>9</v>
      </c>
      <c r="B8" s="82">
        <v>246.44</v>
      </c>
      <c r="C8" s="11">
        <v>64.462555555555454</v>
      </c>
      <c r="D8" s="83">
        <v>3.8200000000000005E-2</v>
      </c>
      <c r="E8" s="83"/>
      <c r="F8" s="83"/>
      <c r="G8" s="83">
        <v>1.2E-2</v>
      </c>
      <c r="H8" s="84">
        <v>1.5</v>
      </c>
      <c r="I8" s="85">
        <v>0.42930000000000001</v>
      </c>
      <c r="J8" s="8" t="s">
        <v>111</v>
      </c>
      <c r="K8" s="85">
        <v>1.9E-3</v>
      </c>
      <c r="L8" s="11">
        <f t="shared" si="0"/>
        <v>0.42768821540663071</v>
      </c>
      <c r="M8" s="7" t="s">
        <v>144</v>
      </c>
      <c r="N8" s="7"/>
      <c r="O8" s="17"/>
      <c r="P8" s="17"/>
      <c r="Q8" s="17"/>
      <c r="S8" s="16"/>
      <c r="T8" s="18"/>
      <c r="U8" s="18"/>
      <c r="V8" s="16"/>
      <c r="W8" s="16"/>
      <c r="X8" s="16"/>
      <c r="Y8" s="19"/>
      <c r="AA8" s="14"/>
      <c r="AB8" s="14"/>
      <c r="AC8" s="14"/>
      <c r="AD8" s="14"/>
      <c r="AE8" s="14"/>
      <c r="AF8" s="14"/>
    </row>
    <row r="9" spans="1:32" ht="17">
      <c r="A9" s="2" t="s">
        <v>10</v>
      </c>
      <c r="B9" s="82">
        <v>246.54</v>
      </c>
      <c r="C9" s="11">
        <v>64.574037037036931</v>
      </c>
      <c r="D9" s="83">
        <v>3.6200000000000003E-2</v>
      </c>
      <c r="E9" s="83"/>
      <c r="F9" s="83"/>
      <c r="G9" s="83">
        <v>2.9000000000000001E-2</v>
      </c>
      <c r="H9" s="84">
        <v>4</v>
      </c>
      <c r="I9" s="85">
        <v>0.43090000000000001</v>
      </c>
      <c r="J9" s="8" t="s">
        <v>111</v>
      </c>
      <c r="K9" s="85">
        <v>2.0999999999999999E-3</v>
      </c>
      <c r="L9" s="11">
        <f t="shared" si="0"/>
        <v>0.42659447063541628</v>
      </c>
      <c r="M9" s="7" t="s">
        <v>144</v>
      </c>
      <c r="N9" s="7"/>
      <c r="O9" s="17"/>
      <c r="P9" s="17"/>
      <c r="Q9" s="17"/>
      <c r="S9" s="16"/>
      <c r="T9" s="18"/>
      <c r="U9" s="18"/>
      <c r="V9" s="16"/>
      <c r="W9" s="16"/>
      <c r="X9" s="16"/>
      <c r="Y9" s="19"/>
      <c r="AA9" s="14"/>
      <c r="AB9" s="14"/>
      <c r="AC9" s="14"/>
      <c r="AD9" s="14"/>
      <c r="AE9" s="14"/>
      <c r="AF9" s="14"/>
    </row>
    <row r="10" spans="1:32" ht="17">
      <c r="A10" s="2" t="s">
        <v>11</v>
      </c>
      <c r="B10" s="82">
        <v>246.64</v>
      </c>
      <c r="C10" s="11">
        <v>64.685518518518421</v>
      </c>
      <c r="D10" s="83">
        <v>3.6499999999999998E-2</v>
      </c>
      <c r="E10" s="83"/>
      <c r="F10" s="83"/>
      <c r="G10" s="83">
        <v>1.0999999999999999E-2</v>
      </c>
      <c r="H10" s="84">
        <v>1.5</v>
      </c>
      <c r="I10" s="85">
        <v>0.4209</v>
      </c>
      <c r="J10" s="8" t="s">
        <v>111</v>
      </c>
      <c r="K10" s="85">
        <v>2.8E-3</v>
      </c>
      <c r="L10" s="11">
        <f t="shared" si="0"/>
        <v>0.41928263756475131</v>
      </c>
      <c r="M10" s="7" t="s">
        <v>144</v>
      </c>
      <c r="N10" s="7"/>
      <c r="O10" s="17"/>
      <c r="P10" s="17"/>
      <c r="Q10" s="17"/>
      <c r="S10" s="16"/>
      <c r="T10" s="18"/>
      <c r="U10" s="18"/>
      <c r="V10" s="16"/>
      <c r="W10" s="16"/>
      <c r="X10" s="16"/>
      <c r="Y10" s="19"/>
      <c r="AA10" s="14"/>
      <c r="AB10" s="14"/>
      <c r="AC10" s="14"/>
      <c r="AD10" s="14"/>
      <c r="AE10" s="14"/>
      <c r="AF10" s="14"/>
    </row>
    <row r="11" spans="1:32" ht="17">
      <c r="A11" s="2" t="s">
        <v>12</v>
      </c>
      <c r="B11" s="82">
        <v>246.74</v>
      </c>
      <c r="C11" s="11">
        <v>64.79699999999994</v>
      </c>
      <c r="D11" s="83">
        <v>3.6899999999999995E-2</v>
      </c>
      <c r="E11" s="83"/>
      <c r="F11" s="83"/>
      <c r="G11" s="83">
        <v>1.9E-2</v>
      </c>
      <c r="H11" s="84">
        <v>2.6</v>
      </c>
      <c r="I11" s="85">
        <v>0.43519999999999998</v>
      </c>
      <c r="J11" s="8" t="s">
        <v>111</v>
      </c>
      <c r="K11" s="85">
        <v>2.0999999999999999E-3</v>
      </c>
      <c r="L11" s="11">
        <f t="shared" si="0"/>
        <v>0.43239173763580613</v>
      </c>
      <c r="M11" s="7" t="s">
        <v>144</v>
      </c>
      <c r="N11" s="7"/>
      <c r="O11" s="17"/>
      <c r="P11" s="17"/>
      <c r="Q11" s="17"/>
      <c r="S11" s="16"/>
      <c r="T11" s="18"/>
      <c r="U11" s="18"/>
      <c r="V11" s="18"/>
      <c r="W11" s="16"/>
      <c r="X11" s="16"/>
      <c r="Y11" s="19"/>
      <c r="AA11" s="14"/>
      <c r="AB11" s="14"/>
      <c r="AC11" s="14"/>
      <c r="AD11" s="14"/>
      <c r="AE11" s="14"/>
      <c r="AF11" s="14"/>
    </row>
    <row r="12" spans="1:32" ht="17">
      <c r="A12" s="2" t="s">
        <v>13</v>
      </c>
      <c r="B12" s="82">
        <v>246.84</v>
      </c>
      <c r="C12" s="11">
        <v>64.908481481481417</v>
      </c>
      <c r="D12" s="83">
        <v>3.7200000000000004E-2</v>
      </c>
      <c r="E12" s="83"/>
      <c r="F12" s="83"/>
      <c r="G12" s="83">
        <v>2.1000000000000001E-2</v>
      </c>
      <c r="H12" s="84">
        <v>2.8</v>
      </c>
      <c r="I12" s="85">
        <v>0.43409999999999999</v>
      </c>
      <c r="J12" s="8" t="s">
        <v>111</v>
      </c>
      <c r="K12" s="85">
        <v>2.3999999999999998E-3</v>
      </c>
      <c r="L12" s="11">
        <f t="shared" si="0"/>
        <v>0.43107051144401803</v>
      </c>
      <c r="M12" s="7" t="s">
        <v>144</v>
      </c>
      <c r="N12" s="7"/>
      <c r="O12" s="17"/>
      <c r="P12" s="17"/>
      <c r="Q12" s="17"/>
      <c r="S12" s="16"/>
      <c r="T12" s="18"/>
      <c r="U12" s="18"/>
      <c r="V12" s="18"/>
      <c r="W12" s="16"/>
      <c r="X12" s="16"/>
      <c r="Y12" s="19"/>
      <c r="AA12" s="14"/>
      <c r="AB12" s="14"/>
      <c r="AC12" s="14"/>
      <c r="AD12" s="14"/>
      <c r="AE12" s="14"/>
      <c r="AF12" s="14"/>
    </row>
    <row r="13" spans="1:32" ht="17">
      <c r="A13" s="2" t="s">
        <v>14</v>
      </c>
      <c r="B13" s="82">
        <v>246.94</v>
      </c>
      <c r="C13" s="11">
        <v>65.019962962962907</v>
      </c>
      <c r="D13" s="83">
        <v>3.7700000000000004E-2</v>
      </c>
      <c r="E13" s="83"/>
      <c r="F13" s="83"/>
      <c r="G13" s="83">
        <v>0.112</v>
      </c>
      <c r="H13" s="84">
        <v>14.9</v>
      </c>
      <c r="I13" s="85">
        <v>0.44109999999999999</v>
      </c>
      <c r="J13" s="8" t="s">
        <v>111</v>
      </c>
      <c r="K13" s="85">
        <v>3.8E-3</v>
      </c>
      <c r="L13" s="11">
        <f t="shared" si="0"/>
        <v>0.42495108957996269</v>
      </c>
      <c r="M13" s="7" t="s">
        <v>144</v>
      </c>
      <c r="N13" s="7"/>
      <c r="O13" s="17"/>
      <c r="P13" s="17"/>
      <c r="Q13" s="17"/>
      <c r="S13" s="16"/>
      <c r="T13" s="18"/>
      <c r="U13" s="18"/>
      <c r="V13" s="18"/>
      <c r="W13" s="16"/>
      <c r="X13" s="16"/>
      <c r="Y13" s="19"/>
      <c r="AA13" s="14"/>
      <c r="AB13" s="14"/>
      <c r="AC13" s="14"/>
      <c r="AD13" s="14"/>
      <c r="AE13" s="14"/>
      <c r="AF13" s="14"/>
    </row>
    <row r="14" spans="1:32" ht="17">
      <c r="A14" s="2" t="s">
        <v>15</v>
      </c>
      <c r="B14" s="82">
        <v>247.04</v>
      </c>
      <c r="C14" s="11">
        <v>65.131444444444384</v>
      </c>
      <c r="D14" s="83">
        <v>4.65E-2</v>
      </c>
      <c r="E14" s="83"/>
      <c r="F14" s="83"/>
      <c r="G14" s="83">
        <v>1.7999999999999999E-2</v>
      </c>
      <c r="H14" s="84">
        <v>2</v>
      </c>
      <c r="I14" s="85">
        <v>0.43740000000000001</v>
      </c>
      <c r="J14" s="8" t="s">
        <v>111</v>
      </c>
      <c r="K14" s="85">
        <v>2E-3</v>
      </c>
      <c r="L14" s="11">
        <f t="shared" si="0"/>
        <v>0.43522864242511283</v>
      </c>
      <c r="M14" s="7" t="s">
        <v>144</v>
      </c>
      <c r="N14" s="7"/>
      <c r="O14" s="17"/>
      <c r="P14" s="17"/>
      <c r="Q14" s="17"/>
      <c r="S14" s="16"/>
      <c r="T14" s="18"/>
      <c r="U14" s="18"/>
      <c r="V14" s="16"/>
      <c r="W14" s="16"/>
      <c r="X14" s="16"/>
      <c r="Y14" s="19"/>
      <c r="AA14" s="14"/>
      <c r="AB14" s="14"/>
      <c r="AC14" s="14"/>
      <c r="AD14" s="14"/>
      <c r="AE14" s="14"/>
      <c r="AF14" s="14"/>
    </row>
    <row r="15" spans="1:32" ht="17">
      <c r="A15" s="2" t="s">
        <v>16</v>
      </c>
      <c r="B15" s="82">
        <v>247.14</v>
      </c>
      <c r="C15" s="11">
        <v>65.242925925925874</v>
      </c>
      <c r="D15" s="83">
        <v>3.7999999999999999E-2</v>
      </c>
      <c r="E15" s="83"/>
      <c r="F15" s="83"/>
      <c r="G15" s="83">
        <v>1.9E-2</v>
      </c>
      <c r="H15" s="84">
        <v>2.5</v>
      </c>
      <c r="I15" s="85">
        <v>0.45500000000000002</v>
      </c>
      <c r="J15" s="8" t="s">
        <v>111</v>
      </c>
      <c r="K15" s="85">
        <v>6.4000000000000003E-3</v>
      </c>
      <c r="L15" s="11">
        <f t="shared" si="0"/>
        <v>0.45228115478234315</v>
      </c>
      <c r="M15" s="7" t="s">
        <v>144</v>
      </c>
      <c r="N15" s="7"/>
      <c r="O15" s="17"/>
      <c r="P15" s="17"/>
      <c r="Q15" s="17"/>
      <c r="S15" s="16"/>
      <c r="T15" s="18"/>
      <c r="U15" s="18"/>
      <c r="V15" s="16"/>
      <c r="W15" s="16"/>
      <c r="X15" s="16"/>
      <c r="Y15" s="19"/>
      <c r="AA15" s="14"/>
      <c r="AB15" s="14"/>
      <c r="AC15" s="14"/>
      <c r="AD15" s="14"/>
      <c r="AE15" s="14"/>
      <c r="AF15" s="14"/>
    </row>
    <row r="16" spans="1:32" ht="17">
      <c r="A16" s="2" t="s">
        <v>17</v>
      </c>
      <c r="B16" s="82">
        <v>247.24</v>
      </c>
      <c r="C16" s="11">
        <v>65.354407407407379</v>
      </c>
      <c r="D16" s="83">
        <v>3.8899999999999997E-2</v>
      </c>
      <c r="E16" s="83"/>
      <c r="F16" s="83"/>
      <c r="G16" s="83">
        <v>0.02</v>
      </c>
      <c r="H16" s="84">
        <v>2.6</v>
      </c>
      <c r="I16" s="85">
        <v>0.44840000000000002</v>
      </c>
      <c r="J16" s="8" t="s">
        <v>111</v>
      </c>
      <c r="K16" s="85">
        <v>8.9999999999999993E-3</v>
      </c>
      <c r="L16" s="11">
        <f t="shared" si="0"/>
        <v>0.44556756678564807</v>
      </c>
      <c r="M16" s="7" t="s">
        <v>144</v>
      </c>
      <c r="N16" s="7"/>
      <c r="O16" s="17"/>
      <c r="P16" s="17"/>
      <c r="Q16" s="17"/>
      <c r="S16" s="16"/>
      <c r="T16" s="18"/>
      <c r="U16" s="18"/>
      <c r="V16" s="16"/>
      <c r="W16" s="16"/>
      <c r="X16" s="16"/>
      <c r="Y16" s="19"/>
      <c r="AA16" s="14"/>
      <c r="AB16" s="14"/>
      <c r="AC16" s="14"/>
      <c r="AD16" s="14"/>
      <c r="AE16" s="14"/>
      <c r="AF16" s="14"/>
    </row>
    <row r="17" spans="1:32" ht="17">
      <c r="A17" s="2" t="s">
        <v>18</v>
      </c>
      <c r="B17" s="82">
        <v>247.34</v>
      </c>
      <c r="C17" s="11">
        <v>65.46588888888887</v>
      </c>
      <c r="D17" s="83">
        <v>4.2000000000000003E-2</v>
      </c>
      <c r="E17" s="83"/>
      <c r="F17" s="83"/>
      <c r="G17" s="83">
        <v>2.1999999999999999E-2</v>
      </c>
      <c r="H17" s="84">
        <v>2.6</v>
      </c>
      <c r="I17" s="85">
        <v>0.439</v>
      </c>
      <c r="J17" s="8" t="s">
        <v>111</v>
      </c>
      <c r="K17" s="85">
        <v>3.7000000000000002E-3</v>
      </c>
      <c r="L17" s="11">
        <f t="shared" si="0"/>
        <v>0.43616273258868143</v>
      </c>
      <c r="M17" s="7" t="s">
        <v>144</v>
      </c>
      <c r="N17" s="7"/>
      <c r="O17" s="17"/>
      <c r="P17" s="17"/>
      <c r="Q17" s="17"/>
      <c r="S17" s="16"/>
      <c r="T17" s="18"/>
      <c r="U17" s="18"/>
      <c r="V17" s="16"/>
      <c r="W17" s="16"/>
      <c r="X17" s="16"/>
      <c r="Y17" s="19"/>
      <c r="AA17" s="14"/>
      <c r="AB17" s="14"/>
      <c r="AC17" s="14"/>
      <c r="AD17" s="14"/>
      <c r="AE17" s="14"/>
      <c r="AF17" s="14"/>
    </row>
    <row r="18" spans="1:32" ht="17">
      <c r="A18" s="2" t="s">
        <v>19</v>
      </c>
      <c r="B18" s="82">
        <v>247.41</v>
      </c>
      <c r="C18" s="11">
        <v>65.543925925925905</v>
      </c>
      <c r="D18" s="83">
        <v>4.1599999999999998E-2</v>
      </c>
      <c r="E18" s="83"/>
      <c r="F18" s="83"/>
      <c r="G18" s="83">
        <v>4.5999999999999999E-2</v>
      </c>
      <c r="H18" s="84">
        <v>5.6</v>
      </c>
      <c r="I18" s="85">
        <v>0.43440000000000001</v>
      </c>
      <c r="J18" s="8" t="s">
        <v>111</v>
      </c>
      <c r="K18" s="85">
        <v>2.5999999999999999E-3</v>
      </c>
      <c r="L18" s="11">
        <f t="shared" si="0"/>
        <v>0.42828167400561135</v>
      </c>
      <c r="M18" s="7" t="s">
        <v>144</v>
      </c>
      <c r="N18" s="7"/>
      <c r="O18" s="17"/>
      <c r="P18" s="17"/>
      <c r="Q18" s="17"/>
      <c r="S18" s="16"/>
      <c r="T18" s="18"/>
      <c r="U18" s="18"/>
      <c r="V18" s="16"/>
      <c r="W18" s="16"/>
      <c r="X18" s="16"/>
      <c r="Y18" s="19"/>
      <c r="AA18" s="14"/>
      <c r="AB18" s="14"/>
      <c r="AC18" s="14"/>
      <c r="AD18" s="14"/>
      <c r="AE18" s="14"/>
      <c r="AF18" s="14"/>
    </row>
    <row r="19" spans="1:32" ht="17">
      <c r="A19" s="2" t="s">
        <v>20</v>
      </c>
      <c r="B19" s="82">
        <v>247.49</v>
      </c>
      <c r="C19" s="11">
        <v>65.633111111111106</v>
      </c>
      <c r="D19" s="83">
        <v>3.9700000000000006E-2</v>
      </c>
      <c r="E19" s="83"/>
      <c r="F19" s="83"/>
      <c r="G19" s="83">
        <v>2.5000000000000001E-2</v>
      </c>
      <c r="H19" s="84">
        <v>3.1</v>
      </c>
      <c r="I19" s="85">
        <v>0.42859999999999998</v>
      </c>
      <c r="J19" s="8" t="s">
        <v>111</v>
      </c>
      <c r="K19" s="85">
        <v>3.0999999999999999E-3</v>
      </c>
      <c r="L19" s="11">
        <f t="shared" si="0"/>
        <v>0.4252084584449341</v>
      </c>
      <c r="M19" s="7" t="s">
        <v>144</v>
      </c>
      <c r="N19" s="7"/>
      <c r="O19" s="17"/>
      <c r="P19" s="17"/>
      <c r="Q19" s="17"/>
      <c r="S19" s="16"/>
      <c r="T19" s="18"/>
      <c r="U19" s="18"/>
      <c r="V19" s="16"/>
      <c r="W19" s="16"/>
      <c r="X19" s="16"/>
      <c r="Y19" s="19"/>
      <c r="AA19" s="14"/>
      <c r="AB19" s="14"/>
      <c r="AC19" s="14"/>
      <c r="AD19" s="14"/>
      <c r="AE19" s="14"/>
      <c r="AF19" s="14"/>
    </row>
    <row r="20" spans="1:32" ht="17">
      <c r="A20" s="68" t="s">
        <v>101</v>
      </c>
      <c r="B20" s="87">
        <v>247.55</v>
      </c>
      <c r="C20" s="207">
        <v>65.7</v>
      </c>
      <c r="D20" s="83"/>
      <c r="E20" s="83"/>
      <c r="F20" s="83"/>
      <c r="G20" s="83"/>
      <c r="H20" s="84"/>
      <c r="I20" s="85"/>
      <c r="J20" s="8" t="s">
        <v>111</v>
      </c>
      <c r="K20" s="85"/>
      <c r="L20" s="11"/>
      <c r="M20" s="7"/>
      <c r="N20" s="7"/>
      <c r="O20" s="17"/>
      <c r="P20" s="17"/>
      <c r="Q20" s="17"/>
      <c r="S20" s="16"/>
      <c r="T20" s="18"/>
      <c r="U20" s="18"/>
      <c r="V20" s="16"/>
      <c r="W20" s="16"/>
      <c r="X20" s="16"/>
      <c r="Y20" s="19"/>
      <c r="AA20" s="14"/>
      <c r="AB20" s="14"/>
      <c r="AC20" s="14"/>
      <c r="AD20" s="14"/>
      <c r="AE20" s="14"/>
      <c r="AF20" s="14"/>
    </row>
    <row r="21" spans="1:32" ht="17">
      <c r="A21" s="2" t="s">
        <v>21</v>
      </c>
      <c r="B21" s="82">
        <v>247.57</v>
      </c>
      <c r="C21" s="11">
        <v>65.722296296296278</v>
      </c>
      <c r="D21" s="83">
        <v>4.3400000000000001E-2</v>
      </c>
      <c r="E21" s="83"/>
      <c r="F21" s="83"/>
      <c r="G21" s="83">
        <v>3.4000000000000002E-2</v>
      </c>
      <c r="H21" s="84">
        <v>3.9</v>
      </c>
      <c r="I21" s="85">
        <v>0.4007</v>
      </c>
      <c r="J21" s="8" t="s">
        <v>111</v>
      </c>
      <c r="K21" s="85">
        <v>1.4E-3</v>
      </c>
      <c r="L21" s="11">
        <f t="shared" ref="L21:L30" si="1">I21-H21*(EXP(1.666*10^-11*C21*10^6)-1)</f>
        <v>0.39642742085237642</v>
      </c>
      <c r="M21" s="7" t="s">
        <v>144</v>
      </c>
      <c r="N21" s="7"/>
      <c r="O21" s="17"/>
      <c r="P21" s="17"/>
      <c r="Q21" s="17"/>
      <c r="S21" s="16"/>
      <c r="T21" s="18"/>
      <c r="U21" s="18"/>
      <c r="V21" s="18"/>
      <c r="W21" s="16"/>
      <c r="X21" s="16"/>
      <c r="Y21" s="19"/>
      <c r="AA21" s="14"/>
      <c r="AB21" s="14"/>
      <c r="AC21" s="14"/>
      <c r="AD21" s="14"/>
      <c r="AE21" s="14"/>
      <c r="AF21" s="14"/>
    </row>
    <row r="22" spans="1:32" ht="17">
      <c r="A22" s="2" t="s">
        <v>22</v>
      </c>
      <c r="B22" s="82">
        <v>247.65</v>
      </c>
      <c r="C22" s="11">
        <v>65.811481481481479</v>
      </c>
      <c r="D22" s="83">
        <v>4.2099999999999999E-2</v>
      </c>
      <c r="E22" s="83"/>
      <c r="F22" s="83"/>
      <c r="G22" s="83">
        <v>2.8000000000000001E-2</v>
      </c>
      <c r="H22" s="84">
        <v>3.3</v>
      </c>
      <c r="I22" s="85">
        <v>0.39050000000000001</v>
      </c>
      <c r="J22" s="8" t="s">
        <v>111</v>
      </c>
      <c r="K22" s="85">
        <v>2.0999999999999999E-3</v>
      </c>
      <c r="L22" s="11">
        <f t="shared" si="1"/>
        <v>0.38687983212284088</v>
      </c>
      <c r="M22" s="7" t="s">
        <v>144</v>
      </c>
      <c r="N22" s="7"/>
      <c r="O22" s="17"/>
      <c r="P22" s="17"/>
      <c r="Q22" s="17"/>
      <c r="S22" s="16"/>
      <c r="T22" s="18"/>
      <c r="U22" s="18"/>
      <c r="V22" s="16"/>
      <c r="W22" s="16"/>
      <c r="X22" s="16"/>
      <c r="Y22" s="19"/>
      <c r="AA22" s="14"/>
      <c r="AB22" s="14"/>
      <c r="AC22" s="14"/>
      <c r="AD22" s="14"/>
      <c r="AE22" s="14"/>
      <c r="AF22" s="14"/>
    </row>
    <row r="23" spans="1:32" ht="17">
      <c r="A23" s="2" t="s">
        <v>23</v>
      </c>
      <c r="B23" s="82">
        <v>247.7</v>
      </c>
      <c r="C23" s="11">
        <v>65.86722222222221</v>
      </c>
      <c r="D23" s="83">
        <v>4.8299999999999996E-2</v>
      </c>
      <c r="E23" s="83"/>
      <c r="F23" s="83"/>
      <c r="G23" s="83">
        <v>4.1000000000000002E-2</v>
      </c>
      <c r="H23" s="84">
        <v>4.2</v>
      </c>
      <c r="I23" s="85">
        <v>0.34589999999999999</v>
      </c>
      <c r="J23" s="8" t="s">
        <v>111</v>
      </c>
      <c r="K23" s="85">
        <v>2.5000000000000001E-3</v>
      </c>
      <c r="L23" s="11">
        <f t="shared" si="1"/>
        <v>0.34128860903926478</v>
      </c>
      <c r="M23" s="7" t="s">
        <v>144</v>
      </c>
      <c r="N23" s="7"/>
      <c r="O23" s="17"/>
      <c r="P23" s="17"/>
      <c r="Q23" s="17"/>
      <c r="S23" s="16"/>
      <c r="T23" s="18"/>
      <c r="U23" s="18"/>
      <c r="V23" s="16"/>
      <c r="W23" s="16"/>
      <c r="X23" s="18"/>
      <c r="Y23" s="19"/>
      <c r="AA23" s="14"/>
      <c r="AB23" s="14"/>
      <c r="AC23" s="14"/>
      <c r="AD23" s="14"/>
      <c r="AE23" s="14"/>
      <c r="AF23" s="14"/>
    </row>
    <row r="24" spans="1:32" ht="17">
      <c r="A24" s="2" t="s">
        <v>24</v>
      </c>
      <c r="B24" s="82">
        <v>247.72</v>
      </c>
      <c r="C24" s="11">
        <v>65.889518518518528</v>
      </c>
      <c r="D24" s="83">
        <v>5.2600000000000001E-2</v>
      </c>
      <c r="E24" s="83"/>
      <c r="F24" s="83"/>
      <c r="G24" s="83">
        <v>3.5999999999999997E-2</v>
      </c>
      <c r="H24" s="84">
        <v>3.4</v>
      </c>
      <c r="I24" s="85">
        <v>0.33679999999999999</v>
      </c>
      <c r="J24" s="8" t="s">
        <v>111</v>
      </c>
      <c r="K24" s="85">
        <v>1.8E-3</v>
      </c>
      <c r="L24" s="11">
        <f t="shared" si="1"/>
        <v>0.33306570488396198</v>
      </c>
      <c r="M24" s="7" t="s">
        <v>144</v>
      </c>
      <c r="N24" s="7"/>
      <c r="O24" s="17"/>
      <c r="P24" s="17"/>
      <c r="Q24" s="17"/>
      <c r="S24" s="16"/>
      <c r="T24" s="18"/>
      <c r="U24" s="16"/>
      <c r="V24" s="18"/>
      <c r="W24" s="16"/>
      <c r="X24" s="16"/>
      <c r="Y24" s="19"/>
      <c r="AA24" s="14"/>
      <c r="AB24" s="14"/>
      <c r="AC24" s="14"/>
      <c r="AD24" s="14"/>
      <c r="AE24" s="14"/>
      <c r="AF24" s="14"/>
    </row>
    <row r="25" spans="1:32" ht="17">
      <c r="A25" s="2" t="s">
        <v>25</v>
      </c>
      <c r="B25" s="82">
        <v>247.74</v>
      </c>
      <c r="C25" s="11">
        <v>65.911814814814832</v>
      </c>
      <c r="D25" s="83">
        <v>7.2099999999999997E-2</v>
      </c>
      <c r="E25" s="83"/>
      <c r="F25" s="83"/>
      <c r="G25" s="83">
        <v>4.5999999999999999E-2</v>
      </c>
      <c r="H25" s="84">
        <v>3.1</v>
      </c>
      <c r="I25" s="85">
        <v>0.28660000000000002</v>
      </c>
      <c r="J25" s="8" t="s">
        <v>111</v>
      </c>
      <c r="K25" s="85">
        <v>2.2000000000000001E-3</v>
      </c>
      <c r="L25" s="11">
        <f t="shared" si="1"/>
        <v>0.28319404873238069</v>
      </c>
      <c r="M25" s="7" t="s">
        <v>144</v>
      </c>
      <c r="N25" s="7"/>
      <c r="O25" s="17"/>
      <c r="P25" s="17"/>
      <c r="Q25" s="17"/>
      <c r="S25" s="16"/>
      <c r="T25" s="18"/>
      <c r="U25" s="16"/>
      <c r="V25" s="16"/>
      <c r="W25" s="16"/>
      <c r="X25" s="16"/>
      <c r="Y25" s="19"/>
      <c r="AA25" s="14"/>
      <c r="AB25" s="14"/>
      <c r="AC25" s="14"/>
      <c r="AD25" s="14"/>
      <c r="AE25" s="14"/>
      <c r="AF25" s="14"/>
    </row>
    <row r="26" spans="1:32" ht="17">
      <c r="A26" s="2" t="s">
        <v>26</v>
      </c>
      <c r="B26" s="82">
        <v>247.76</v>
      </c>
      <c r="C26" s="11">
        <v>65.934111111111108</v>
      </c>
      <c r="D26" s="83">
        <v>0.13830000000000001</v>
      </c>
      <c r="E26" s="83"/>
      <c r="F26" s="83"/>
      <c r="G26" s="83">
        <v>9.0999999999999998E-2</v>
      </c>
      <c r="H26" s="84">
        <v>3.2</v>
      </c>
      <c r="I26" s="85">
        <v>0.21060000000000001</v>
      </c>
      <c r="J26" s="8" t="s">
        <v>111</v>
      </c>
      <c r="K26" s="85">
        <v>2.2000000000000001E-3</v>
      </c>
      <c r="L26" s="11">
        <f t="shared" si="1"/>
        <v>0.20708298937030831</v>
      </c>
      <c r="M26" s="7" t="s">
        <v>144</v>
      </c>
      <c r="N26" s="7"/>
      <c r="O26" s="17"/>
      <c r="P26" s="17"/>
      <c r="Q26" s="17"/>
      <c r="S26" s="16"/>
      <c r="T26" s="18"/>
      <c r="U26" s="16"/>
      <c r="V26" s="16"/>
      <c r="W26" s="16"/>
      <c r="X26" s="16"/>
      <c r="Y26" s="19"/>
      <c r="AA26" s="14"/>
      <c r="AB26" s="14"/>
      <c r="AC26" s="14"/>
      <c r="AD26" s="14"/>
      <c r="AE26" s="14"/>
      <c r="AF26" s="14"/>
    </row>
    <row r="27" spans="1:32" ht="17">
      <c r="A27" s="2" t="s">
        <v>27</v>
      </c>
      <c r="B27" s="82">
        <v>247.78</v>
      </c>
      <c r="C27" s="11">
        <v>65.956407407407411</v>
      </c>
      <c r="D27" s="83">
        <v>0.11550000000000001</v>
      </c>
      <c r="E27" s="83"/>
      <c r="F27" s="83"/>
      <c r="G27" s="83">
        <v>7.0999999999999994E-2</v>
      </c>
      <c r="H27" s="84">
        <v>3</v>
      </c>
      <c r="I27" s="85">
        <v>0.2278</v>
      </c>
      <c r="J27" s="8" t="s">
        <v>111</v>
      </c>
      <c r="K27" s="85">
        <v>8.9999999999999998E-4</v>
      </c>
      <c r="L27" s="11">
        <f t="shared" si="1"/>
        <v>0.22450168694080341</v>
      </c>
      <c r="M27" s="7" t="s">
        <v>144</v>
      </c>
      <c r="N27" s="7"/>
      <c r="O27" s="17"/>
      <c r="P27" s="17"/>
      <c r="Q27" s="17"/>
      <c r="S27" s="16"/>
      <c r="T27" s="18"/>
      <c r="U27" s="16"/>
      <c r="V27" s="18"/>
      <c r="W27" s="16"/>
      <c r="X27" s="16"/>
      <c r="Y27" s="19"/>
      <c r="AA27" s="14"/>
      <c r="AB27" s="14"/>
      <c r="AC27" s="14"/>
      <c r="AD27" s="14"/>
      <c r="AE27" s="14"/>
      <c r="AF27" s="14"/>
    </row>
    <row r="28" spans="1:32" ht="17">
      <c r="A28" s="68" t="s">
        <v>387</v>
      </c>
      <c r="B28" s="87">
        <v>247.82</v>
      </c>
      <c r="C28" s="207">
        <v>66.001000000000005</v>
      </c>
      <c r="D28" s="83">
        <v>7.0199999999999999E-2</v>
      </c>
      <c r="E28" s="83"/>
      <c r="F28" s="83"/>
      <c r="G28" s="83">
        <v>4.1000000000000002E-2</v>
      </c>
      <c r="H28" s="84">
        <v>2.9</v>
      </c>
      <c r="I28" s="85">
        <v>0.26910000000000001</v>
      </c>
      <c r="J28" s="8" t="s">
        <v>111</v>
      </c>
      <c r="K28" s="85">
        <v>3.0000000000000001E-3</v>
      </c>
      <c r="L28" s="11">
        <f>I28-H28*(EXP(1.666*10^-11*C28*10^6)-1)</f>
        <v>0.26590947389344388</v>
      </c>
      <c r="M28" s="7" t="s">
        <v>144</v>
      </c>
      <c r="N28" s="7"/>
      <c r="O28" s="17"/>
      <c r="P28" s="17"/>
      <c r="Q28" s="17"/>
      <c r="S28" s="16"/>
      <c r="T28" s="18"/>
      <c r="U28" s="18"/>
      <c r="V28" s="18"/>
      <c r="W28" s="16"/>
      <c r="X28" s="18"/>
      <c r="Y28" s="19"/>
      <c r="AA28" s="14"/>
      <c r="AB28" s="14"/>
      <c r="AC28" s="14"/>
      <c r="AD28" s="14"/>
      <c r="AE28" s="14"/>
      <c r="AF28" s="14"/>
    </row>
    <row r="29" spans="1:32" ht="17">
      <c r="A29" s="2" t="s">
        <v>28</v>
      </c>
      <c r="B29" s="82">
        <v>247.86</v>
      </c>
      <c r="C29" s="83">
        <v>66.004399103139022</v>
      </c>
      <c r="D29" s="83">
        <v>6.8599999999999994E-2</v>
      </c>
      <c r="E29" s="83"/>
      <c r="F29" s="83"/>
      <c r="G29" s="83">
        <v>2.9000000000000001E-2</v>
      </c>
      <c r="H29" s="84">
        <v>2.1</v>
      </c>
      <c r="I29" s="85">
        <v>0.2959</v>
      </c>
      <c r="J29" s="8" t="s">
        <v>111</v>
      </c>
      <c r="K29" s="85">
        <v>2.2000000000000001E-3</v>
      </c>
      <c r="L29" s="11">
        <f t="shared" si="1"/>
        <v>0.29358949997442663</v>
      </c>
      <c r="M29" s="7" t="s">
        <v>144</v>
      </c>
      <c r="N29" s="17"/>
      <c r="O29" s="17"/>
      <c r="P29" s="17"/>
      <c r="Q29" s="17"/>
      <c r="S29" s="16"/>
      <c r="T29" s="18"/>
      <c r="U29" s="16"/>
      <c r="V29" s="16"/>
      <c r="W29" s="16"/>
      <c r="X29" s="18"/>
      <c r="Y29" s="19"/>
      <c r="AA29" s="14"/>
      <c r="AB29" s="14"/>
      <c r="AC29" s="14"/>
      <c r="AD29" s="14"/>
      <c r="AE29" s="14"/>
      <c r="AF29" s="14"/>
    </row>
    <row r="30" spans="1:32" ht="17">
      <c r="A30" s="2" t="s">
        <v>29</v>
      </c>
      <c r="B30" s="82">
        <v>247.9</v>
      </c>
      <c r="C30" s="83">
        <v>66.007798206278039</v>
      </c>
      <c r="D30" s="83">
        <v>6.08E-2</v>
      </c>
      <c r="E30" s="83"/>
      <c r="F30" s="83"/>
      <c r="G30" s="83">
        <v>2.1999999999999999E-2</v>
      </c>
      <c r="H30" s="84">
        <v>1.8</v>
      </c>
      <c r="I30" s="85">
        <v>0.3095</v>
      </c>
      <c r="J30" s="8" t="s">
        <v>111</v>
      </c>
      <c r="K30" s="85">
        <v>3.5999999999999999E-3</v>
      </c>
      <c r="L30" s="11">
        <f t="shared" si="1"/>
        <v>0.30751946936219371</v>
      </c>
      <c r="M30" s="7" t="s">
        <v>144</v>
      </c>
      <c r="N30" s="17"/>
      <c r="O30" s="17"/>
      <c r="P30" s="17"/>
      <c r="Q30" s="17"/>
      <c r="S30" s="16"/>
      <c r="T30" s="18"/>
      <c r="U30" s="16"/>
      <c r="V30" s="16"/>
      <c r="W30" s="16"/>
      <c r="X30" s="18"/>
      <c r="Y30" s="19"/>
      <c r="AA30" s="14"/>
      <c r="AB30" s="14"/>
      <c r="AC30" s="14"/>
      <c r="AD30" s="14"/>
      <c r="AE30" s="14"/>
      <c r="AF30" s="14"/>
    </row>
    <row r="31" spans="1:32" ht="17">
      <c r="A31" s="3" t="s">
        <v>30</v>
      </c>
      <c r="B31" s="3">
        <v>248</v>
      </c>
      <c r="C31" s="83">
        <v>66.016295964125561</v>
      </c>
      <c r="D31" s="83">
        <v>4.99E-2</v>
      </c>
      <c r="E31" s="3">
        <v>0.11799999999999999</v>
      </c>
      <c r="F31" s="83">
        <v>0.52600000000000002</v>
      </c>
      <c r="G31" s="83"/>
      <c r="H31" s="88"/>
      <c r="I31" s="3">
        <v>0.33739999999999998</v>
      </c>
      <c r="J31" s="8" t="s">
        <v>111</v>
      </c>
      <c r="K31" s="3">
        <v>1.4E-3</v>
      </c>
      <c r="L31" s="2"/>
      <c r="M31" s="85" t="s">
        <v>66</v>
      </c>
      <c r="N31" s="17"/>
      <c r="O31" s="17"/>
      <c r="P31" s="17"/>
      <c r="Q31" s="17"/>
      <c r="S31" s="16"/>
      <c r="T31" s="18"/>
      <c r="U31" s="16"/>
      <c r="V31" s="16"/>
      <c r="W31" s="16"/>
      <c r="X31" s="18"/>
      <c r="Y31" s="19"/>
      <c r="AA31" s="14"/>
      <c r="AB31" s="14"/>
      <c r="AC31" s="14"/>
      <c r="AD31" s="14"/>
      <c r="AE31" s="14"/>
      <c r="AF31" s="14"/>
    </row>
    <row r="32" spans="1:32" ht="17">
      <c r="A32" s="3" t="s">
        <v>31</v>
      </c>
      <c r="B32" s="3">
        <v>248.23</v>
      </c>
      <c r="C32" s="83">
        <v>66.035840807174893</v>
      </c>
      <c r="D32" s="83">
        <v>4.2999999999999997E-2</v>
      </c>
      <c r="E32" s="3">
        <v>9.8000000000000004E-2</v>
      </c>
      <c r="F32" s="83">
        <v>0.58299999999999996</v>
      </c>
      <c r="G32" s="83"/>
      <c r="H32" s="88"/>
      <c r="I32" s="3">
        <v>0.36349999999999999</v>
      </c>
      <c r="J32" s="8" t="s">
        <v>111</v>
      </c>
      <c r="K32" s="3">
        <v>3.0000000000000001E-3</v>
      </c>
      <c r="L32" s="2"/>
      <c r="M32" s="85" t="s">
        <v>66</v>
      </c>
      <c r="N32" s="17"/>
      <c r="O32" s="17"/>
      <c r="P32" s="17"/>
      <c r="Q32" s="17"/>
      <c r="S32" s="16"/>
      <c r="T32" s="18"/>
      <c r="U32" s="16"/>
      <c r="V32" s="18"/>
      <c r="W32" s="16"/>
      <c r="X32" s="18"/>
      <c r="Y32" s="19"/>
      <c r="AA32" s="14"/>
      <c r="AB32" s="14"/>
      <c r="AC32" s="14"/>
      <c r="AD32" s="14"/>
      <c r="AE32" s="14"/>
      <c r="AF32" s="14"/>
    </row>
    <row r="33" spans="1:35" ht="17">
      <c r="A33" s="3" t="s">
        <v>32</v>
      </c>
      <c r="B33" s="3">
        <v>248.4</v>
      </c>
      <c r="C33" s="83">
        <v>66.050286995515705</v>
      </c>
      <c r="D33" s="83">
        <v>4.0299999999999996E-2</v>
      </c>
      <c r="E33" s="3">
        <v>3.5000000000000003E-2</v>
      </c>
      <c r="F33" s="83">
        <v>0.41</v>
      </c>
      <c r="G33" s="83"/>
      <c r="H33" s="88"/>
      <c r="I33" s="3">
        <v>0.40550000000000003</v>
      </c>
      <c r="J33" s="8" t="s">
        <v>111</v>
      </c>
      <c r="K33" s="3">
        <v>6.8999999999999999E-3</v>
      </c>
      <c r="L33" s="2"/>
      <c r="M33" s="85" t="s">
        <v>139</v>
      </c>
      <c r="N33" s="17"/>
      <c r="O33" s="17"/>
      <c r="P33" s="17"/>
      <c r="Q33" s="17"/>
      <c r="S33" s="16"/>
      <c r="T33" s="18"/>
      <c r="U33" s="16"/>
      <c r="V33" s="18"/>
      <c r="W33" s="16"/>
      <c r="X33" s="18"/>
      <c r="Y33" s="19"/>
      <c r="AA33" s="14"/>
      <c r="AB33" s="14"/>
      <c r="AC33" s="14"/>
      <c r="AD33" s="14"/>
      <c r="AE33" s="14"/>
      <c r="AF33" s="14"/>
    </row>
    <row r="34" spans="1:35" ht="17">
      <c r="A34" s="3" t="s">
        <v>32</v>
      </c>
      <c r="B34" s="3">
        <v>248.4</v>
      </c>
      <c r="C34" s="83">
        <v>66.050286995515705</v>
      </c>
      <c r="D34" s="83">
        <v>4.1100000000000005E-2</v>
      </c>
      <c r="E34" s="3">
        <v>3.4000000000000002E-2</v>
      </c>
      <c r="F34" s="83">
        <v>0.372</v>
      </c>
      <c r="G34" s="83"/>
      <c r="H34" s="88"/>
      <c r="I34" s="3">
        <v>0.39050000000000001</v>
      </c>
      <c r="J34" s="8" t="s">
        <v>111</v>
      </c>
      <c r="K34" s="3">
        <v>1.5E-3</v>
      </c>
      <c r="L34" s="2"/>
      <c r="M34" s="85" t="s">
        <v>139</v>
      </c>
      <c r="N34" s="17"/>
      <c r="O34" s="17"/>
      <c r="P34" s="17"/>
      <c r="Q34" s="17"/>
      <c r="S34" s="16"/>
      <c r="T34" s="18"/>
      <c r="U34" s="16"/>
      <c r="V34" s="18"/>
      <c r="W34" s="16"/>
      <c r="X34" s="18"/>
      <c r="Y34" s="19"/>
      <c r="AA34" s="14"/>
      <c r="AB34" s="14"/>
      <c r="AC34" s="14"/>
      <c r="AD34" s="14"/>
      <c r="AE34" s="14"/>
      <c r="AF34" s="14"/>
    </row>
    <row r="35" spans="1:35" ht="17">
      <c r="A35" s="3" t="s">
        <v>33</v>
      </c>
      <c r="B35" s="3">
        <v>248.6</v>
      </c>
      <c r="C35" s="83">
        <v>66.067282511210763</v>
      </c>
      <c r="D35" s="83">
        <v>3.49E-2</v>
      </c>
      <c r="E35" s="3">
        <v>3.1E-2</v>
      </c>
      <c r="F35" s="83">
        <v>0.47099999999999997</v>
      </c>
      <c r="G35" s="83"/>
      <c r="H35" s="88"/>
      <c r="I35" s="3">
        <v>0.4052</v>
      </c>
      <c r="J35" s="8" t="s">
        <v>111</v>
      </c>
      <c r="K35" s="3">
        <v>2.8E-3</v>
      </c>
      <c r="L35" s="2"/>
      <c r="M35" s="85" t="s">
        <v>139</v>
      </c>
      <c r="N35" s="17"/>
      <c r="O35" s="17"/>
      <c r="P35" s="17"/>
      <c r="Q35" s="17"/>
      <c r="S35" s="16"/>
      <c r="T35" s="18"/>
      <c r="U35" s="16"/>
      <c r="V35" s="18"/>
      <c r="W35" s="16"/>
      <c r="X35" s="18"/>
      <c r="Y35" s="19"/>
      <c r="AA35" s="14"/>
      <c r="AB35" s="14"/>
      <c r="AC35" s="14"/>
      <c r="AD35" s="14"/>
      <c r="AE35" s="14"/>
      <c r="AF35" s="14"/>
    </row>
    <row r="36" spans="1:35" ht="17">
      <c r="A36" s="3" t="s">
        <v>34</v>
      </c>
      <c r="B36" s="3">
        <v>248.8</v>
      </c>
      <c r="C36" s="83">
        <v>66.084278026905835</v>
      </c>
      <c r="D36" s="83">
        <v>3.1100000000000003E-2</v>
      </c>
      <c r="E36" s="3">
        <v>3.5999999999999997E-2</v>
      </c>
      <c r="F36" s="83">
        <v>0.48399999999999999</v>
      </c>
      <c r="G36" s="83"/>
      <c r="H36" s="88"/>
      <c r="I36" s="3">
        <v>0.42199999999999999</v>
      </c>
      <c r="J36" s="8" t="s">
        <v>111</v>
      </c>
      <c r="K36" s="3">
        <v>1.4E-3</v>
      </c>
      <c r="L36" s="2"/>
      <c r="M36" s="85" t="s">
        <v>139</v>
      </c>
      <c r="N36" s="17"/>
      <c r="O36" s="17"/>
      <c r="P36" s="17"/>
      <c r="Q36" s="17"/>
      <c r="S36" s="16"/>
      <c r="T36" s="18"/>
      <c r="U36" s="16"/>
      <c r="V36" s="18"/>
      <c r="W36" s="16"/>
      <c r="X36" s="18"/>
      <c r="Y36" s="19"/>
      <c r="AA36" s="14"/>
      <c r="AB36" s="14"/>
      <c r="AC36" s="14"/>
      <c r="AD36" s="14"/>
      <c r="AE36" s="14"/>
      <c r="AF36" s="14"/>
    </row>
    <row r="37" spans="1:35" ht="17">
      <c r="A37" s="3" t="s">
        <v>35</v>
      </c>
      <c r="B37" s="3">
        <v>249.05</v>
      </c>
      <c r="C37" s="83">
        <v>66.105522421524668</v>
      </c>
      <c r="D37" s="83">
        <v>3.0699999999999998E-2</v>
      </c>
      <c r="E37" s="3">
        <v>2.8000000000000001E-2</v>
      </c>
      <c r="F37" s="83">
        <v>0.51</v>
      </c>
      <c r="G37" s="83"/>
      <c r="H37" s="88"/>
      <c r="I37" s="3">
        <v>0.43859999999999999</v>
      </c>
      <c r="J37" s="8" t="s">
        <v>111</v>
      </c>
      <c r="K37" s="3">
        <v>2.0999999999999999E-3</v>
      </c>
      <c r="L37" s="2"/>
      <c r="M37" s="85" t="s">
        <v>139</v>
      </c>
      <c r="N37" s="17"/>
      <c r="O37" s="17"/>
      <c r="P37" s="17"/>
      <c r="Q37" s="17"/>
      <c r="S37" s="16"/>
      <c r="T37" s="18"/>
      <c r="U37" s="16"/>
      <c r="V37" s="16"/>
      <c r="W37" s="16"/>
      <c r="X37" s="18"/>
      <c r="Y37" s="19"/>
      <c r="AA37" s="14"/>
      <c r="AB37" s="14"/>
      <c r="AC37" s="14"/>
      <c r="AD37" s="14"/>
      <c r="AE37" s="14"/>
      <c r="AF37" s="14"/>
    </row>
    <row r="38" spans="1:35" s="21" customFormat="1" ht="17">
      <c r="A38" s="3" t="s">
        <v>36</v>
      </c>
      <c r="B38" s="3">
        <v>249.54</v>
      </c>
      <c r="C38" s="83">
        <v>66.147161434977576</v>
      </c>
      <c r="D38" s="83">
        <v>3.0600000000000002E-2</v>
      </c>
      <c r="E38" s="3">
        <v>0.02</v>
      </c>
      <c r="F38" s="83">
        <v>0.35699999999999998</v>
      </c>
      <c r="G38" s="83"/>
      <c r="H38" s="89"/>
      <c r="I38" s="3">
        <v>0.4234</v>
      </c>
      <c r="J38" s="8" t="s">
        <v>111</v>
      </c>
      <c r="K38" s="3">
        <v>1.4E-3</v>
      </c>
      <c r="L38" s="90"/>
      <c r="M38" s="85" t="s">
        <v>139</v>
      </c>
      <c r="N38" s="23"/>
      <c r="O38" s="23"/>
      <c r="P38" s="23"/>
      <c r="Q38" s="23"/>
      <c r="S38" s="24"/>
      <c r="T38" s="25"/>
      <c r="U38" s="24"/>
      <c r="V38" s="24"/>
      <c r="W38" s="24"/>
      <c r="X38" s="25"/>
      <c r="Y38" s="22"/>
      <c r="AA38" s="23"/>
      <c r="AB38" s="23"/>
      <c r="AC38" s="23"/>
      <c r="AD38" s="23"/>
      <c r="AE38" s="23"/>
      <c r="AF38" s="23"/>
      <c r="AI38" s="1"/>
    </row>
    <row r="39" spans="1:35" s="21" customFormat="1" ht="17">
      <c r="A39" s="3" t="s">
        <v>37</v>
      </c>
      <c r="B39" s="3">
        <v>249.9</v>
      </c>
      <c r="C39" s="83">
        <v>66.177753363228703</v>
      </c>
      <c r="D39" s="83">
        <v>3.1100000000000003E-2</v>
      </c>
      <c r="E39" s="3">
        <v>1.4999999999999999E-2</v>
      </c>
      <c r="F39" s="83">
        <v>0.27600000000000002</v>
      </c>
      <c r="G39" s="83"/>
      <c r="H39" s="89"/>
      <c r="I39" s="3">
        <v>0.60219999999999996</v>
      </c>
      <c r="J39" s="8" t="s">
        <v>111</v>
      </c>
      <c r="K39" s="3">
        <v>4.7999999999999996E-3</v>
      </c>
      <c r="L39" s="90"/>
      <c r="M39" s="85" t="s">
        <v>139</v>
      </c>
      <c r="N39" s="23"/>
      <c r="O39" s="23"/>
      <c r="P39" s="23"/>
      <c r="Q39" s="23"/>
      <c r="S39" s="24"/>
      <c r="T39" s="25"/>
      <c r="U39" s="24"/>
      <c r="V39" s="24"/>
      <c r="W39" s="24"/>
      <c r="X39" s="25"/>
      <c r="Y39" s="22"/>
      <c r="AA39" s="23"/>
      <c r="AB39" s="23"/>
      <c r="AC39" s="23"/>
      <c r="AD39" s="23"/>
      <c r="AE39" s="23"/>
      <c r="AF39" s="23"/>
      <c r="AI39" s="1"/>
    </row>
    <row r="40" spans="1:35" s="21" customFormat="1" ht="17">
      <c r="A40" s="3" t="s">
        <v>37</v>
      </c>
      <c r="B40" s="3">
        <v>249.9</v>
      </c>
      <c r="C40" s="83">
        <v>66.177753363228703</v>
      </c>
      <c r="D40" s="83">
        <v>3.0699999999999998E-2</v>
      </c>
      <c r="E40" s="3">
        <v>1.9E-2</v>
      </c>
      <c r="F40" s="83">
        <v>0.28699999999999998</v>
      </c>
      <c r="G40" s="83"/>
      <c r="H40" s="89"/>
      <c r="I40" s="3">
        <v>0.43990000000000001</v>
      </c>
      <c r="J40" s="8" t="s">
        <v>111</v>
      </c>
      <c r="K40" s="3">
        <v>1.4E-3</v>
      </c>
      <c r="L40" s="90"/>
      <c r="M40" s="85" t="s">
        <v>139</v>
      </c>
      <c r="N40" s="22"/>
      <c r="O40" s="22"/>
      <c r="P40" s="22"/>
      <c r="Q40" s="23"/>
      <c r="S40" s="24"/>
      <c r="T40" s="25"/>
      <c r="U40" s="24"/>
      <c r="V40" s="24"/>
      <c r="W40" s="24"/>
      <c r="X40" s="25"/>
      <c r="Y40" s="22"/>
      <c r="AA40" s="23"/>
      <c r="AB40" s="23"/>
      <c r="AC40" s="23"/>
      <c r="AD40" s="23"/>
      <c r="AE40" s="23"/>
      <c r="AF40" s="23"/>
      <c r="AI40" s="1"/>
    </row>
    <row r="41" spans="1:35" ht="17">
      <c r="A41" s="3" t="s">
        <v>38</v>
      </c>
      <c r="B41" s="3">
        <v>250.3</v>
      </c>
      <c r="C41" s="83">
        <v>66.211744394618833</v>
      </c>
      <c r="D41" s="83">
        <v>3.2899999999999999E-2</v>
      </c>
      <c r="E41" s="3">
        <v>2.3E-2</v>
      </c>
      <c r="F41" s="83">
        <v>0.441</v>
      </c>
      <c r="G41" s="83"/>
      <c r="H41" s="88"/>
      <c r="I41" s="3">
        <v>0.44990000000000002</v>
      </c>
      <c r="J41" s="8" t="s">
        <v>111</v>
      </c>
      <c r="K41" s="3">
        <v>2E-3</v>
      </c>
      <c r="L41" s="2"/>
      <c r="M41" s="85" t="s">
        <v>139</v>
      </c>
      <c r="N41" s="17"/>
      <c r="O41" s="17"/>
      <c r="P41" s="17"/>
      <c r="Q41" s="17"/>
      <c r="S41" s="26"/>
      <c r="T41" s="27"/>
      <c r="U41" s="26"/>
      <c r="V41" s="26"/>
      <c r="W41" s="26"/>
      <c r="X41" s="26"/>
      <c r="Y41" s="28"/>
      <c r="AA41" s="14"/>
      <c r="AB41" s="14"/>
      <c r="AC41" s="14"/>
      <c r="AD41" s="14"/>
      <c r="AE41" s="14"/>
      <c r="AF41" s="14"/>
    </row>
    <row r="42" spans="1:35" ht="17">
      <c r="A42" s="3" t="s">
        <v>39</v>
      </c>
      <c r="B42" s="3">
        <v>250.55</v>
      </c>
      <c r="C42" s="83">
        <v>66.232988789237666</v>
      </c>
      <c r="D42" s="83">
        <v>2.5899999999999999E-2</v>
      </c>
      <c r="E42" s="3">
        <v>2.4E-2</v>
      </c>
      <c r="F42" s="83">
        <v>0.45</v>
      </c>
      <c r="G42" s="83"/>
      <c r="H42" s="88"/>
      <c r="I42" s="3">
        <v>0.4582</v>
      </c>
      <c r="J42" s="8" t="s">
        <v>111</v>
      </c>
      <c r="K42" s="3">
        <v>2.2000000000000001E-3</v>
      </c>
      <c r="L42" s="2"/>
      <c r="M42" s="85" t="s">
        <v>139</v>
      </c>
      <c r="N42" s="17"/>
      <c r="O42" s="17"/>
      <c r="P42" s="17"/>
      <c r="Q42" s="17"/>
      <c r="S42" s="16"/>
      <c r="T42" s="16"/>
      <c r="U42" s="16"/>
      <c r="V42" s="16"/>
      <c r="W42" s="16"/>
      <c r="X42" s="16"/>
      <c r="Y42" s="19"/>
      <c r="AA42" s="14"/>
      <c r="AB42" s="14"/>
      <c r="AC42" s="14"/>
      <c r="AD42" s="14"/>
      <c r="AE42" s="14"/>
      <c r="AF42" s="14"/>
    </row>
    <row r="43" spans="1:35" s="21" customFormat="1" ht="17">
      <c r="A43" s="3" t="s">
        <v>40</v>
      </c>
      <c r="B43" s="3">
        <v>251.03</v>
      </c>
      <c r="C43" s="83">
        <v>66.273778026905831</v>
      </c>
      <c r="D43" s="83">
        <v>2.7699999999999999E-2</v>
      </c>
      <c r="E43" s="3">
        <v>3.3000000000000002E-2</v>
      </c>
      <c r="F43" s="83">
        <v>0.41899999999999998</v>
      </c>
      <c r="G43" s="83"/>
      <c r="H43" s="89"/>
      <c r="I43" s="3">
        <v>0.37159999999999999</v>
      </c>
      <c r="J43" s="8" t="s">
        <v>111</v>
      </c>
      <c r="K43" s="3">
        <v>1.6000000000000001E-3</v>
      </c>
      <c r="L43" s="90"/>
      <c r="M43" s="85" t="s">
        <v>139</v>
      </c>
      <c r="N43" s="29"/>
      <c r="O43" s="23"/>
      <c r="P43" s="29"/>
      <c r="Q43" s="23"/>
      <c r="S43" s="24"/>
      <c r="T43" s="25"/>
      <c r="U43" s="24"/>
      <c r="V43" s="24"/>
      <c r="W43" s="24"/>
      <c r="X43" s="25"/>
      <c r="Y43" s="22"/>
      <c r="AA43" s="23"/>
      <c r="AB43" s="23"/>
      <c r="AC43" s="23"/>
      <c r="AD43" s="23"/>
      <c r="AE43" s="23"/>
      <c r="AF43" s="23"/>
      <c r="AI43" s="1"/>
    </row>
    <row r="44" spans="1:35" s="30" customFormat="1" ht="17">
      <c r="A44" s="3" t="s">
        <v>40</v>
      </c>
      <c r="B44" s="3">
        <v>251.03</v>
      </c>
      <c r="C44" s="83">
        <v>66.273778026905831</v>
      </c>
      <c r="D44" s="83">
        <v>1.9899999999999998E-2</v>
      </c>
      <c r="E44" s="3">
        <v>2.5000000000000001E-2</v>
      </c>
      <c r="F44" s="83">
        <v>0.42399999999999999</v>
      </c>
      <c r="G44" s="83"/>
      <c r="H44" s="91"/>
      <c r="I44" s="3">
        <v>0.46929999999999999</v>
      </c>
      <c r="J44" s="8" t="s">
        <v>111</v>
      </c>
      <c r="K44" s="3">
        <v>3.0999999999999999E-3</v>
      </c>
      <c r="L44" s="57"/>
      <c r="M44" s="85" t="s">
        <v>139</v>
      </c>
      <c r="N44" s="33"/>
      <c r="O44" s="32"/>
      <c r="P44" s="33"/>
      <c r="Q44" s="32"/>
      <c r="S44" s="34"/>
      <c r="T44" s="35"/>
      <c r="U44" s="34"/>
      <c r="V44" s="34"/>
      <c r="W44" s="34"/>
      <c r="X44" s="35"/>
      <c r="Y44" s="31"/>
      <c r="AA44" s="32"/>
      <c r="AB44" s="32"/>
      <c r="AC44" s="32"/>
      <c r="AD44" s="32"/>
      <c r="AE44" s="32"/>
      <c r="AF44" s="32"/>
      <c r="AI44" s="1"/>
    </row>
    <row r="45" spans="1:35" ht="17">
      <c r="A45" s="3" t="s">
        <v>41</v>
      </c>
      <c r="B45" s="3">
        <v>251.42</v>
      </c>
      <c r="C45" s="83">
        <v>66.306919282511203</v>
      </c>
      <c r="D45" s="83">
        <v>1.5699999999999999E-2</v>
      </c>
      <c r="E45" s="3">
        <v>1.7000000000000001E-2</v>
      </c>
      <c r="F45" s="83">
        <v>0.27500000000000002</v>
      </c>
      <c r="G45" s="83"/>
      <c r="H45" s="88"/>
      <c r="I45" s="3">
        <v>0.49819999999999998</v>
      </c>
      <c r="J45" s="8" t="s">
        <v>111</v>
      </c>
      <c r="K45" s="3">
        <v>2.5000000000000001E-3</v>
      </c>
      <c r="L45" s="2"/>
      <c r="M45" s="85" t="s">
        <v>139</v>
      </c>
      <c r="N45" s="17"/>
      <c r="O45" s="17"/>
      <c r="P45" s="17"/>
      <c r="Q45" s="17"/>
      <c r="S45" s="26"/>
      <c r="T45" s="27"/>
      <c r="U45" s="26"/>
      <c r="V45" s="26"/>
      <c r="W45" s="26"/>
      <c r="X45" s="26"/>
      <c r="Y45" s="28"/>
      <c r="AA45" s="14"/>
      <c r="AB45" s="14"/>
      <c r="AC45" s="14"/>
      <c r="AD45" s="14"/>
      <c r="AE45" s="14"/>
      <c r="AF45" s="14"/>
    </row>
    <row r="46" spans="1:35" ht="17">
      <c r="A46" s="3" t="s">
        <v>42</v>
      </c>
      <c r="B46" s="3">
        <v>251.82</v>
      </c>
      <c r="C46" s="83">
        <v>66.340910313901347</v>
      </c>
      <c r="D46" s="83">
        <v>1.5099999999999999E-2</v>
      </c>
      <c r="E46" s="3">
        <v>1.2999999999999999E-2</v>
      </c>
      <c r="F46" s="83">
        <v>0.217</v>
      </c>
      <c r="G46" s="83"/>
      <c r="H46" s="88"/>
      <c r="I46" s="3">
        <v>0.52939999999999998</v>
      </c>
      <c r="J46" s="8" t="s">
        <v>111</v>
      </c>
      <c r="K46" s="3">
        <v>2.2000000000000001E-3</v>
      </c>
      <c r="L46" s="2"/>
      <c r="M46" s="85" t="s">
        <v>139</v>
      </c>
      <c r="N46" s="17"/>
      <c r="O46" s="17"/>
      <c r="P46" s="17"/>
      <c r="Q46" s="17"/>
      <c r="S46" s="16"/>
      <c r="T46" s="16"/>
      <c r="U46" s="16"/>
      <c r="V46" s="16"/>
      <c r="W46" s="16"/>
      <c r="X46" s="16"/>
      <c r="Y46" s="19"/>
      <c r="AA46" s="14"/>
      <c r="AB46" s="14"/>
      <c r="AC46" s="14"/>
      <c r="AD46" s="14"/>
      <c r="AE46" s="14"/>
      <c r="AF46" s="14"/>
    </row>
    <row r="47" spans="1:35" s="21" customFormat="1" ht="17">
      <c r="A47" s="3" t="s">
        <v>42</v>
      </c>
      <c r="B47" s="3">
        <v>251.82</v>
      </c>
      <c r="C47" s="83">
        <v>66.340910313901347</v>
      </c>
      <c r="D47" s="83">
        <v>6.4000000000000003E-3</v>
      </c>
      <c r="E47" s="3">
        <v>1.2E-2</v>
      </c>
      <c r="F47" s="83">
        <v>0.20499999999999999</v>
      </c>
      <c r="G47" s="83"/>
      <c r="H47" s="89"/>
      <c r="I47" s="3">
        <v>0.81259999999999999</v>
      </c>
      <c r="J47" s="8" t="s">
        <v>111</v>
      </c>
      <c r="K47" s="3">
        <v>9.2999999999999992E-3</v>
      </c>
      <c r="L47" s="90"/>
      <c r="M47" s="85" t="s">
        <v>139</v>
      </c>
      <c r="N47" s="29"/>
      <c r="O47" s="23"/>
      <c r="P47" s="29"/>
      <c r="Q47" s="23"/>
      <c r="S47" s="24"/>
      <c r="T47" s="24"/>
      <c r="U47" s="24"/>
      <c r="V47" s="24"/>
      <c r="W47" s="24"/>
      <c r="X47" s="24"/>
      <c r="Y47" s="22"/>
      <c r="AA47" s="23"/>
      <c r="AB47" s="23"/>
      <c r="AC47" s="23"/>
      <c r="AD47" s="23"/>
      <c r="AE47" s="23"/>
      <c r="AF47" s="23"/>
      <c r="AI47" s="1"/>
    </row>
    <row r="48" spans="1:35" s="30" customFormat="1" ht="17">
      <c r="A48" s="3" t="s">
        <v>43</v>
      </c>
      <c r="B48" s="3">
        <v>252.12</v>
      </c>
      <c r="C48" s="83">
        <v>66.366403587443941</v>
      </c>
      <c r="D48" s="83">
        <v>1.3099999999999999E-2</v>
      </c>
      <c r="E48" s="3">
        <v>1.2E-2</v>
      </c>
      <c r="F48" s="83">
        <v>0.18099999999999999</v>
      </c>
      <c r="G48" s="83"/>
      <c r="H48" s="91"/>
      <c r="I48" s="3">
        <v>0.58420000000000005</v>
      </c>
      <c r="J48" s="8" t="s">
        <v>111</v>
      </c>
      <c r="K48" s="3">
        <v>2.5999999999999999E-3</v>
      </c>
      <c r="L48" s="57"/>
      <c r="M48" s="85" t="s">
        <v>139</v>
      </c>
      <c r="N48" s="33"/>
      <c r="O48" s="32"/>
      <c r="P48" s="33"/>
      <c r="Q48" s="32"/>
      <c r="S48" s="34"/>
      <c r="T48" s="34"/>
      <c r="U48" s="34"/>
      <c r="V48" s="34"/>
      <c r="W48" s="34"/>
      <c r="X48" s="34"/>
      <c r="Y48" s="31"/>
      <c r="AA48" s="32"/>
      <c r="AB48" s="32"/>
      <c r="AC48" s="32"/>
      <c r="AD48" s="32"/>
      <c r="AE48" s="32"/>
      <c r="AF48" s="32"/>
      <c r="AI48" s="1"/>
    </row>
    <row r="49" spans="1:35" ht="17">
      <c r="A49" s="3" t="s">
        <v>44</v>
      </c>
      <c r="B49" s="3">
        <v>252.26</v>
      </c>
      <c r="C49" s="83">
        <v>66.378300448430494</v>
      </c>
      <c r="D49" s="83">
        <v>1.52E-2</v>
      </c>
      <c r="E49" s="3">
        <v>1.6E-2</v>
      </c>
      <c r="F49" s="83">
        <v>0.24099999999999999</v>
      </c>
      <c r="G49" s="83"/>
      <c r="H49" s="88"/>
      <c r="I49" s="3">
        <v>0.54179999999999995</v>
      </c>
      <c r="J49" s="8" t="s">
        <v>111</v>
      </c>
      <c r="K49" s="3">
        <v>2.8999999999999998E-3</v>
      </c>
      <c r="L49" s="2"/>
      <c r="M49" s="85" t="s">
        <v>139</v>
      </c>
      <c r="N49" s="17"/>
      <c r="O49" s="17"/>
      <c r="P49" s="17"/>
      <c r="Q49" s="17"/>
      <c r="S49" s="16"/>
      <c r="T49" s="18"/>
      <c r="U49" s="16"/>
      <c r="V49" s="16"/>
      <c r="W49" s="16"/>
      <c r="X49" s="16"/>
      <c r="Y49" s="19"/>
      <c r="AA49" s="14"/>
      <c r="AB49" s="14"/>
      <c r="AC49" s="14"/>
      <c r="AD49" s="14"/>
      <c r="AE49" s="14"/>
      <c r="AF49" s="14"/>
    </row>
    <row r="50" spans="1:35">
      <c r="A50" s="4" t="s">
        <v>99</v>
      </c>
      <c r="B50" s="4">
        <v>252.28</v>
      </c>
      <c r="C50" s="92">
        <v>66.38</v>
      </c>
      <c r="D50" s="83"/>
      <c r="E50" s="3"/>
      <c r="F50" s="83"/>
      <c r="G50" s="83"/>
      <c r="H50" s="88"/>
      <c r="I50" s="3"/>
      <c r="J50" s="8"/>
      <c r="K50" s="3"/>
      <c r="L50" s="2"/>
      <c r="M50" s="85"/>
      <c r="N50" s="17"/>
      <c r="O50" s="17"/>
      <c r="P50" s="17"/>
      <c r="Q50" s="17"/>
      <c r="S50" s="16"/>
      <c r="T50" s="18"/>
      <c r="U50" s="16"/>
      <c r="V50" s="16"/>
      <c r="W50" s="16"/>
      <c r="X50" s="16"/>
      <c r="Y50" s="19"/>
      <c r="AA50" s="14"/>
      <c r="AB50" s="14"/>
      <c r="AC50" s="14"/>
      <c r="AD50" s="14"/>
      <c r="AE50" s="14"/>
      <c r="AF50" s="14"/>
    </row>
    <row r="51" spans="1:35" s="30" customFormat="1" ht="17">
      <c r="A51" s="3" t="s">
        <v>45</v>
      </c>
      <c r="B51" s="3">
        <v>252.65</v>
      </c>
      <c r="C51" s="109">
        <v>66.624580882352944</v>
      </c>
      <c r="D51" s="83">
        <v>1.8499999999999999E-2</v>
      </c>
      <c r="E51" s="3">
        <v>1.2999999999999999E-2</v>
      </c>
      <c r="F51" s="83">
        <v>0.19700000000000001</v>
      </c>
      <c r="G51" s="83"/>
      <c r="H51" s="91"/>
      <c r="I51" s="3">
        <v>0.5796</v>
      </c>
      <c r="J51" s="8" t="s">
        <v>111</v>
      </c>
      <c r="K51" s="3">
        <v>2.3E-3</v>
      </c>
      <c r="L51" s="57"/>
      <c r="M51" s="85" t="s">
        <v>139</v>
      </c>
      <c r="N51" s="37"/>
      <c r="O51" s="37"/>
      <c r="P51" s="37"/>
      <c r="Q51" s="37"/>
      <c r="S51" s="34"/>
      <c r="T51" s="35"/>
      <c r="U51" s="34"/>
      <c r="V51" s="34"/>
      <c r="W51" s="34"/>
      <c r="X51" s="34"/>
      <c r="Y51" s="31"/>
      <c r="AA51" s="32"/>
      <c r="AB51" s="32"/>
      <c r="AC51" s="32"/>
      <c r="AD51" s="32"/>
      <c r="AE51" s="32"/>
      <c r="AF51" s="32"/>
      <c r="AI51" s="1"/>
    </row>
    <row r="52" spans="1:35" s="30" customFormat="1" ht="17">
      <c r="A52" s="3" t="s">
        <v>46</v>
      </c>
      <c r="B52" s="3">
        <v>253.1</v>
      </c>
      <c r="C52" s="109">
        <v>66.922044117647047</v>
      </c>
      <c r="D52" s="83">
        <v>1.9699999999999999E-2</v>
      </c>
      <c r="E52" s="3">
        <v>8.9999999999999993E-3</v>
      </c>
      <c r="F52" s="83">
        <v>0.16300000000000001</v>
      </c>
      <c r="G52" s="83"/>
      <c r="H52" s="91"/>
      <c r="I52" s="3">
        <v>0.58720000000000006</v>
      </c>
      <c r="J52" s="8" t="s">
        <v>111</v>
      </c>
      <c r="K52" s="3">
        <v>2.5000000000000001E-3</v>
      </c>
      <c r="L52" s="57"/>
      <c r="M52" s="85" t="s">
        <v>139</v>
      </c>
      <c r="N52" s="37"/>
      <c r="O52" s="37"/>
      <c r="P52" s="37"/>
      <c r="Q52" s="37"/>
      <c r="S52" s="34"/>
      <c r="T52" s="35"/>
      <c r="U52" s="34"/>
      <c r="V52" s="34"/>
      <c r="W52" s="34"/>
      <c r="X52" s="34"/>
      <c r="Y52" s="31"/>
      <c r="AA52" s="32"/>
      <c r="AB52" s="32"/>
      <c r="AC52" s="32"/>
      <c r="AD52" s="32"/>
      <c r="AE52" s="32"/>
      <c r="AF52" s="32"/>
      <c r="AI52" s="1"/>
    </row>
    <row r="53" spans="1:35" ht="17">
      <c r="A53" s="3" t="s">
        <v>47</v>
      </c>
      <c r="B53" s="3">
        <v>253.5</v>
      </c>
      <c r="C53" s="109">
        <v>67.186455882352931</v>
      </c>
      <c r="D53" s="83">
        <v>2.2100000000000002E-2</v>
      </c>
      <c r="E53" s="3">
        <v>1.7000000000000001E-2</v>
      </c>
      <c r="F53" s="83">
        <v>0.245</v>
      </c>
      <c r="G53" s="83"/>
      <c r="H53" s="88"/>
      <c r="I53" s="3">
        <v>0.59419999999999995</v>
      </c>
      <c r="J53" s="8" t="s">
        <v>111</v>
      </c>
      <c r="K53" s="3">
        <v>1.6999999999999999E-3</v>
      </c>
      <c r="L53" s="2"/>
      <c r="M53" s="85" t="s">
        <v>139</v>
      </c>
      <c r="N53" s="17"/>
      <c r="O53" s="17"/>
      <c r="P53" s="17"/>
      <c r="Q53" s="17"/>
      <c r="S53" s="16"/>
      <c r="T53" s="18"/>
      <c r="U53" s="16"/>
      <c r="V53" s="16"/>
      <c r="W53" s="16"/>
      <c r="X53" s="16"/>
      <c r="Y53" s="19"/>
      <c r="AA53" s="14"/>
      <c r="AB53" s="14"/>
      <c r="AC53" s="14"/>
      <c r="AD53" s="14"/>
      <c r="AE53" s="14"/>
      <c r="AF53" s="14"/>
    </row>
    <row r="54" spans="1:35" s="30" customFormat="1" ht="17">
      <c r="A54" s="3" t="s">
        <v>47</v>
      </c>
      <c r="B54" s="3">
        <v>253.5</v>
      </c>
      <c r="C54" s="109">
        <v>67.186455882352931</v>
      </c>
      <c r="D54" s="83">
        <v>2.2200000000000001E-2</v>
      </c>
      <c r="E54" s="3">
        <v>0.01</v>
      </c>
      <c r="F54" s="83">
        <v>0.16900000000000001</v>
      </c>
      <c r="G54" s="83"/>
      <c r="H54" s="91"/>
      <c r="I54" s="3">
        <v>0.5968</v>
      </c>
      <c r="J54" s="8" t="s">
        <v>111</v>
      </c>
      <c r="K54" s="3">
        <v>6.3E-3</v>
      </c>
      <c r="L54" s="57"/>
      <c r="M54" s="85" t="s">
        <v>139</v>
      </c>
      <c r="N54" s="37"/>
      <c r="O54" s="37"/>
      <c r="P54" s="37"/>
      <c r="Q54" s="37"/>
      <c r="S54" s="34"/>
      <c r="T54" s="35"/>
      <c r="U54" s="34"/>
      <c r="V54" s="34"/>
      <c r="W54" s="34"/>
      <c r="X54" s="34"/>
      <c r="Y54" s="31"/>
      <c r="AA54" s="32"/>
      <c r="AB54" s="32"/>
      <c r="AC54" s="32"/>
      <c r="AD54" s="32"/>
      <c r="AE54" s="32"/>
      <c r="AF54" s="32"/>
      <c r="AI54" s="1"/>
    </row>
    <row r="55" spans="1:35" s="30" customFormat="1" ht="17">
      <c r="A55" s="3" t="s">
        <v>48</v>
      </c>
      <c r="B55" s="3">
        <v>253.96</v>
      </c>
      <c r="C55" s="109">
        <v>67.490529411764712</v>
      </c>
      <c r="D55" s="83">
        <v>1.9600000000000003E-2</v>
      </c>
      <c r="E55" s="3">
        <v>8.9999999999999993E-3</v>
      </c>
      <c r="F55" s="83">
        <v>0.14899999999999999</v>
      </c>
      <c r="G55" s="83"/>
      <c r="H55" s="91"/>
      <c r="I55" s="3">
        <v>0.58499999999999996</v>
      </c>
      <c r="J55" s="8" t="s">
        <v>111</v>
      </c>
      <c r="K55" s="3">
        <v>1.9E-3</v>
      </c>
      <c r="L55" s="57"/>
      <c r="M55" s="85" t="s">
        <v>139</v>
      </c>
      <c r="N55" s="37"/>
      <c r="O55" s="37"/>
      <c r="P55" s="37"/>
      <c r="Q55" s="37"/>
      <c r="S55" s="34"/>
      <c r="T55" s="35"/>
      <c r="U55" s="34"/>
      <c r="V55" s="34"/>
      <c r="W55" s="34"/>
      <c r="X55" s="34"/>
      <c r="Y55" s="31"/>
      <c r="AA55" s="32"/>
      <c r="AB55" s="32"/>
      <c r="AC55" s="32"/>
      <c r="AD55" s="32"/>
      <c r="AE55" s="32"/>
      <c r="AF55" s="32"/>
      <c r="AI55" s="1"/>
    </row>
    <row r="56" spans="1:35" ht="17">
      <c r="A56" s="3" t="s">
        <v>49</v>
      </c>
      <c r="B56" s="3">
        <v>254.16</v>
      </c>
      <c r="C56" s="109">
        <v>67.622735294117646</v>
      </c>
      <c r="D56" s="83">
        <v>1.9399999999999997E-2</v>
      </c>
      <c r="E56" s="3">
        <v>8.9999999999999993E-3</v>
      </c>
      <c r="F56" s="83">
        <v>0.14699999999999999</v>
      </c>
      <c r="G56" s="83"/>
      <c r="H56" s="93"/>
      <c r="I56" s="3">
        <v>0.58579999999999999</v>
      </c>
      <c r="J56" s="8" t="s">
        <v>111</v>
      </c>
      <c r="K56" s="3">
        <v>1.9E-3</v>
      </c>
      <c r="L56" s="2"/>
      <c r="M56" s="85" t="s">
        <v>139</v>
      </c>
      <c r="N56" s="17"/>
      <c r="O56" s="17"/>
      <c r="P56" s="17"/>
      <c r="Q56" s="17"/>
      <c r="S56" s="16"/>
      <c r="T56" s="18"/>
      <c r="U56" s="16"/>
      <c r="V56" s="16"/>
      <c r="W56" s="16"/>
      <c r="X56" s="16"/>
      <c r="Y56" s="19"/>
      <c r="AA56" s="14"/>
      <c r="AB56" s="14"/>
      <c r="AC56" s="14"/>
      <c r="AD56" s="14"/>
      <c r="AE56" s="14"/>
      <c r="AF56" s="14"/>
    </row>
    <row r="57" spans="1:35" ht="17">
      <c r="A57" s="3" t="s">
        <v>50</v>
      </c>
      <c r="B57" s="3">
        <v>254.6</v>
      </c>
      <c r="C57" s="109">
        <v>67.913588235294114</v>
      </c>
      <c r="D57" s="83">
        <v>1.7999999999999999E-2</v>
      </c>
      <c r="E57" s="3">
        <v>1.2E-2</v>
      </c>
      <c r="F57" s="83">
        <v>0.21</v>
      </c>
      <c r="G57" s="83"/>
      <c r="H57" s="93"/>
      <c r="I57" s="3">
        <v>0.55389999999999995</v>
      </c>
      <c r="J57" s="8" t="s">
        <v>111</v>
      </c>
      <c r="K57" s="3">
        <v>2.5000000000000001E-3</v>
      </c>
      <c r="L57" s="2"/>
      <c r="M57" s="85" t="s">
        <v>139</v>
      </c>
      <c r="N57" s="17"/>
      <c r="O57" s="17"/>
      <c r="P57" s="17"/>
      <c r="Q57" s="17"/>
      <c r="S57" s="16"/>
      <c r="T57" s="18"/>
      <c r="U57" s="18"/>
      <c r="V57" s="18"/>
      <c r="W57" s="18"/>
      <c r="X57" s="16"/>
      <c r="Y57" s="19"/>
      <c r="AA57" s="14"/>
      <c r="AB57" s="14"/>
      <c r="AC57" s="14"/>
      <c r="AD57" s="14"/>
      <c r="AE57" s="14"/>
      <c r="AF57" s="14"/>
    </row>
    <row r="58" spans="1:35" ht="17">
      <c r="A58" s="3" t="s">
        <v>50</v>
      </c>
      <c r="B58" s="3">
        <v>254.6</v>
      </c>
      <c r="C58" s="109">
        <v>67.913588235294114</v>
      </c>
      <c r="D58" s="83">
        <v>1.7899999999999999E-2</v>
      </c>
      <c r="E58" s="3">
        <v>1.2E-2</v>
      </c>
      <c r="F58" s="83">
        <v>0.215</v>
      </c>
      <c r="G58" s="83"/>
      <c r="H58" s="93"/>
      <c r="I58" s="3">
        <v>0.55940000000000001</v>
      </c>
      <c r="J58" s="8" t="s">
        <v>111</v>
      </c>
      <c r="K58" s="3">
        <v>3.0000000000000001E-3</v>
      </c>
      <c r="L58" s="2"/>
      <c r="M58" s="85" t="s">
        <v>139</v>
      </c>
      <c r="N58" s="17"/>
      <c r="O58" s="17"/>
      <c r="P58" s="17"/>
      <c r="Q58" s="17"/>
      <c r="S58" s="16"/>
      <c r="T58" s="18"/>
      <c r="U58" s="18"/>
      <c r="V58" s="18"/>
      <c r="W58" s="18"/>
      <c r="X58" s="16"/>
      <c r="Y58" s="19"/>
      <c r="AA58" s="14"/>
      <c r="AB58" s="14"/>
      <c r="AC58" s="14"/>
      <c r="AD58" s="14"/>
      <c r="AE58" s="14"/>
      <c r="AF58" s="14"/>
    </row>
    <row r="59" spans="1:35" s="30" customFormat="1" ht="17">
      <c r="A59" s="3" t="s">
        <v>137</v>
      </c>
      <c r="B59" s="4">
        <v>255</v>
      </c>
      <c r="C59" s="94">
        <v>68.177999999999997</v>
      </c>
      <c r="D59" s="83">
        <v>2.86E-2</v>
      </c>
      <c r="E59" s="3">
        <v>1.6E-2</v>
      </c>
      <c r="F59" s="83">
        <v>0.504</v>
      </c>
      <c r="G59" s="83"/>
      <c r="H59" s="91"/>
      <c r="I59" s="3">
        <v>0.54010000000000002</v>
      </c>
      <c r="J59" s="8" t="s">
        <v>111</v>
      </c>
      <c r="K59" s="3">
        <v>1.6999999999999999E-3</v>
      </c>
      <c r="L59" s="57"/>
      <c r="M59" s="85" t="s">
        <v>139</v>
      </c>
      <c r="N59" s="37"/>
      <c r="O59" s="37"/>
      <c r="P59" s="37"/>
      <c r="Q59" s="37"/>
      <c r="S59" s="34"/>
      <c r="T59" s="35"/>
      <c r="U59" s="34"/>
      <c r="V59" s="34"/>
      <c r="W59" s="34"/>
      <c r="X59" s="34"/>
      <c r="Y59" s="31"/>
      <c r="AA59" s="32"/>
      <c r="AB59" s="32"/>
      <c r="AC59" s="32"/>
      <c r="AD59" s="32"/>
      <c r="AE59" s="32"/>
      <c r="AF59" s="32"/>
      <c r="AI59" s="1"/>
    </row>
    <row r="60" spans="1:35" ht="17">
      <c r="A60" s="3" t="s">
        <v>51</v>
      </c>
      <c r="B60" s="3">
        <v>255.4</v>
      </c>
      <c r="C60" s="109">
        <v>68.203344927536236</v>
      </c>
      <c r="D60" s="83">
        <v>1.9300000000000001E-2</v>
      </c>
      <c r="E60" s="3">
        <v>7.0000000000000001E-3</v>
      </c>
      <c r="F60" s="83">
        <v>0.26600000000000001</v>
      </c>
      <c r="G60" s="83"/>
      <c r="H60" s="88"/>
      <c r="I60" s="3">
        <v>0.56779999999999997</v>
      </c>
      <c r="J60" s="8" t="s">
        <v>111</v>
      </c>
      <c r="K60" s="3">
        <v>2.2000000000000001E-3</v>
      </c>
      <c r="L60" s="2"/>
      <c r="M60" s="85" t="s">
        <v>139</v>
      </c>
      <c r="N60" s="17"/>
      <c r="O60" s="17"/>
      <c r="P60" s="17"/>
      <c r="Q60" s="17"/>
      <c r="S60" s="16"/>
      <c r="T60" s="18"/>
      <c r="U60" s="18"/>
      <c r="V60" s="18"/>
      <c r="W60" s="18"/>
      <c r="X60" s="16"/>
      <c r="Y60" s="19"/>
      <c r="AA60" s="14"/>
      <c r="AB60" s="14"/>
      <c r="AC60" s="14"/>
      <c r="AD60" s="14"/>
      <c r="AE60" s="14"/>
      <c r="AF60" s="14"/>
    </row>
    <row r="61" spans="1:35" s="30" customFormat="1" ht="17">
      <c r="A61" s="3" t="s">
        <v>51</v>
      </c>
      <c r="B61" s="3">
        <v>255.4</v>
      </c>
      <c r="C61" s="109">
        <v>68.203344927536236</v>
      </c>
      <c r="D61" s="83">
        <v>1.9100000000000002E-2</v>
      </c>
      <c r="E61" s="3">
        <v>7.0000000000000001E-3</v>
      </c>
      <c r="F61" s="83">
        <v>0.26400000000000001</v>
      </c>
      <c r="G61" s="83"/>
      <c r="H61" s="91"/>
      <c r="I61" s="3">
        <v>0.57179999999999997</v>
      </c>
      <c r="J61" s="8" t="s">
        <v>111</v>
      </c>
      <c r="K61" s="3">
        <v>2.8999999999999998E-3</v>
      </c>
      <c r="L61" s="57"/>
      <c r="M61" s="85" t="s">
        <v>139</v>
      </c>
      <c r="N61" s="37"/>
      <c r="O61" s="37"/>
      <c r="P61" s="37"/>
      <c r="Q61" s="37"/>
      <c r="S61" s="34"/>
      <c r="T61" s="35"/>
      <c r="U61" s="34"/>
      <c r="V61" s="34"/>
      <c r="W61" s="34"/>
      <c r="X61" s="34"/>
      <c r="Y61" s="31"/>
      <c r="AA61" s="32"/>
      <c r="AB61" s="32"/>
      <c r="AC61" s="32"/>
      <c r="AD61" s="32"/>
      <c r="AE61" s="32"/>
      <c r="AF61" s="32"/>
      <c r="AI61" s="1"/>
    </row>
    <row r="62" spans="1:35" ht="17">
      <c r="A62" s="3" t="s">
        <v>52</v>
      </c>
      <c r="B62" s="3">
        <v>255.65</v>
      </c>
      <c r="C62" s="109">
        <v>68.21918550724638</v>
      </c>
      <c r="D62" s="83">
        <v>2.0399999999999998E-2</v>
      </c>
      <c r="E62" s="3">
        <v>7.0000000000000001E-3</v>
      </c>
      <c r="F62" s="83">
        <v>0.315</v>
      </c>
      <c r="G62" s="83"/>
      <c r="H62" s="93"/>
      <c r="I62" s="3">
        <v>0.56399999999999995</v>
      </c>
      <c r="J62" s="8" t="s">
        <v>111</v>
      </c>
      <c r="K62" s="3">
        <v>2E-3</v>
      </c>
      <c r="L62" s="2"/>
      <c r="M62" s="85" t="s">
        <v>139</v>
      </c>
      <c r="N62" s="17"/>
      <c r="O62" s="17"/>
      <c r="P62" s="17"/>
      <c r="Q62" s="17"/>
      <c r="S62" s="26"/>
      <c r="T62" s="27"/>
      <c r="U62" s="27"/>
      <c r="V62" s="27"/>
      <c r="W62" s="27"/>
      <c r="X62" s="26"/>
      <c r="Y62" s="28"/>
      <c r="AA62" s="14"/>
      <c r="AB62" s="14"/>
      <c r="AC62" s="14"/>
      <c r="AD62" s="14"/>
      <c r="AE62" s="14"/>
      <c r="AF62" s="14"/>
    </row>
    <row r="63" spans="1:35" ht="17">
      <c r="A63" s="3" t="s">
        <v>52</v>
      </c>
      <c r="B63" s="3">
        <v>255.65</v>
      </c>
      <c r="C63" s="109">
        <v>68.21918550724638</v>
      </c>
      <c r="D63" s="83">
        <v>1.9800000000000002E-2</v>
      </c>
      <c r="E63" s="3">
        <v>7.0000000000000001E-3</v>
      </c>
      <c r="F63" s="83">
        <v>0.32200000000000001</v>
      </c>
      <c r="G63" s="83"/>
      <c r="H63" s="93"/>
      <c r="I63" s="3">
        <v>0.57040000000000002</v>
      </c>
      <c r="J63" s="8" t="s">
        <v>111</v>
      </c>
      <c r="K63" s="3">
        <v>2.3999999999999998E-3</v>
      </c>
      <c r="L63" s="2"/>
      <c r="M63" s="85" t="s">
        <v>139</v>
      </c>
      <c r="N63" s="17"/>
      <c r="O63" s="17"/>
      <c r="P63" s="17"/>
      <c r="Q63" s="17"/>
      <c r="S63" s="16"/>
      <c r="T63" s="18"/>
      <c r="U63" s="16"/>
      <c r="V63" s="16"/>
      <c r="W63" s="16"/>
      <c r="X63" s="16"/>
      <c r="Y63" s="19"/>
      <c r="AA63" s="14"/>
      <c r="AB63" s="14"/>
      <c r="AC63" s="14"/>
      <c r="AD63" s="14"/>
      <c r="AE63" s="14"/>
      <c r="AF63" s="14"/>
    </row>
    <row r="64" spans="1:35" s="21" customFormat="1" ht="17">
      <c r="A64" s="3" t="s">
        <v>53</v>
      </c>
      <c r="B64" s="3">
        <v>256.10000000000002</v>
      </c>
      <c r="C64" s="109">
        <v>68.247698550724635</v>
      </c>
      <c r="D64" s="83">
        <v>2.1600000000000001E-2</v>
      </c>
      <c r="E64" s="3">
        <v>8.9999999999999993E-3</v>
      </c>
      <c r="F64" s="83">
        <v>0.32200000000000001</v>
      </c>
      <c r="G64" s="83"/>
      <c r="H64" s="95"/>
      <c r="I64" s="3">
        <v>0.57769999999999999</v>
      </c>
      <c r="J64" s="8" t="s">
        <v>111</v>
      </c>
      <c r="K64" s="3">
        <v>1.6999999999999999E-3</v>
      </c>
      <c r="L64" s="90"/>
      <c r="M64" s="85" t="s">
        <v>139</v>
      </c>
      <c r="N64" s="29"/>
      <c r="O64" s="23"/>
      <c r="P64" s="29"/>
      <c r="Q64" s="23"/>
      <c r="S64" s="24"/>
      <c r="T64" s="25"/>
      <c r="U64" s="24"/>
      <c r="V64" s="24"/>
      <c r="W64" s="24"/>
      <c r="X64" s="24"/>
      <c r="Y64" s="22"/>
      <c r="AA64" s="23"/>
      <c r="AB64" s="23"/>
      <c r="AC64" s="23"/>
      <c r="AD64" s="23"/>
      <c r="AE64" s="23"/>
      <c r="AF64" s="23"/>
      <c r="AI64" s="1"/>
    </row>
    <row r="65" spans="1:35" s="30" customFormat="1" ht="17">
      <c r="A65" s="3" t="s">
        <v>54</v>
      </c>
      <c r="B65" s="3">
        <v>256.5</v>
      </c>
      <c r="C65" s="109">
        <v>68.273043478260874</v>
      </c>
      <c r="D65" s="83">
        <v>3.1899999999999998E-2</v>
      </c>
      <c r="E65" s="3">
        <v>0.01</v>
      </c>
      <c r="F65" s="83">
        <v>2.2970000000000002</v>
      </c>
      <c r="G65" s="83"/>
      <c r="H65" s="91"/>
      <c r="I65" s="3">
        <v>0.51870000000000005</v>
      </c>
      <c r="J65" s="8" t="s">
        <v>111</v>
      </c>
      <c r="K65" s="3">
        <v>1.2999999999999999E-3</v>
      </c>
      <c r="L65" s="57"/>
      <c r="M65" s="85" t="s">
        <v>139</v>
      </c>
      <c r="N65" s="37"/>
      <c r="O65" s="37"/>
      <c r="P65" s="37"/>
      <c r="Q65" s="37"/>
      <c r="S65" s="34"/>
      <c r="T65" s="35"/>
      <c r="U65" s="34"/>
      <c r="V65" s="34"/>
      <c r="W65" s="34"/>
      <c r="X65" s="34"/>
      <c r="Y65" s="31"/>
      <c r="AA65" s="32"/>
      <c r="AB65" s="32"/>
      <c r="AC65" s="32"/>
      <c r="AD65" s="32"/>
      <c r="AE65" s="32"/>
      <c r="AF65" s="32"/>
      <c r="AI65" s="1"/>
    </row>
    <row r="66" spans="1:35" ht="17">
      <c r="A66" s="3" t="s">
        <v>54</v>
      </c>
      <c r="B66" s="3">
        <v>256.5</v>
      </c>
      <c r="C66" s="109">
        <v>68.273043478260874</v>
      </c>
      <c r="D66" s="83">
        <v>4.1200000000000001E-2</v>
      </c>
      <c r="E66" s="3">
        <v>1.0999999999999999E-2</v>
      </c>
      <c r="F66" s="83">
        <v>2.351</v>
      </c>
      <c r="G66" s="83"/>
      <c r="H66" s="93"/>
      <c r="I66" s="3">
        <v>0.53180000000000005</v>
      </c>
      <c r="J66" s="8" t="s">
        <v>111</v>
      </c>
      <c r="K66" s="3">
        <v>2.2000000000000001E-3</v>
      </c>
      <c r="L66" s="2"/>
      <c r="M66" s="85" t="s">
        <v>139</v>
      </c>
      <c r="N66" s="17"/>
      <c r="O66" s="17"/>
      <c r="P66" s="17"/>
      <c r="Q66" s="17"/>
      <c r="S66" s="26"/>
      <c r="T66" s="27"/>
      <c r="U66" s="27"/>
      <c r="V66" s="27"/>
      <c r="W66" s="27"/>
      <c r="X66" s="26"/>
      <c r="Y66" s="28"/>
      <c r="AA66" s="14"/>
      <c r="AB66" s="14"/>
      <c r="AC66" s="14"/>
      <c r="AD66" s="14"/>
      <c r="AE66" s="14"/>
      <c r="AF66" s="14"/>
    </row>
    <row r="67" spans="1:35" ht="17">
      <c r="A67" s="3" t="s">
        <v>55</v>
      </c>
      <c r="B67" s="3">
        <v>256.94</v>
      </c>
      <c r="C67" s="109">
        <v>68.300922898550724</v>
      </c>
      <c r="D67" s="83">
        <v>2.24E-2</v>
      </c>
      <c r="E67" s="3">
        <v>1.0999999999999999E-2</v>
      </c>
      <c r="F67" s="83">
        <v>0.375</v>
      </c>
      <c r="G67" s="83"/>
      <c r="H67" s="93"/>
      <c r="I67" s="3">
        <v>0.54220000000000002</v>
      </c>
      <c r="J67" s="8" t="s">
        <v>111</v>
      </c>
      <c r="K67" s="3">
        <v>2E-3</v>
      </c>
      <c r="L67" s="2"/>
      <c r="M67" s="85" t="s">
        <v>139</v>
      </c>
      <c r="N67" s="17"/>
      <c r="O67" s="17"/>
      <c r="P67" s="17"/>
      <c r="Q67" s="17"/>
      <c r="S67" s="16"/>
      <c r="T67" s="18"/>
      <c r="U67" s="16"/>
      <c r="V67" s="16"/>
      <c r="W67" s="16"/>
      <c r="X67" s="16"/>
      <c r="Y67" s="19"/>
      <c r="AA67" s="14"/>
      <c r="AB67" s="14"/>
      <c r="AC67" s="14"/>
      <c r="AD67" s="14"/>
      <c r="AE67" s="14"/>
      <c r="AF67" s="14"/>
    </row>
    <row r="68" spans="1:35" s="21" customFormat="1" ht="17">
      <c r="A68" s="3" t="s">
        <v>56</v>
      </c>
      <c r="B68" s="3">
        <v>257.36</v>
      </c>
      <c r="C68" s="109">
        <v>68.32753507246376</v>
      </c>
      <c r="D68" s="83">
        <v>1.8499999999999999E-2</v>
      </c>
      <c r="E68" s="3">
        <v>1.0999999999999999E-2</v>
      </c>
      <c r="F68" s="83">
        <v>0.193</v>
      </c>
      <c r="G68" s="83"/>
      <c r="H68" s="95"/>
      <c r="I68" s="3">
        <v>0.53690000000000004</v>
      </c>
      <c r="J68" s="8" t="s">
        <v>111</v>
      </c>
      <c r="K68" s="3">
        <v>2.3E-3</v>
      </c>
      <c r="L68" s="90"/>
      <c r="M68" s="85" t="s">
        <v>139</v>
      </c>
      <c r="N68" s="29"/>
      <c r="O68" s="23"/>
      <c r="P68" s="29"/>
      <c r="Q68" s="23"/>
      <c r="S68" s="24"/>
      <c r="T68" s="25"/>
      <c r="U68" s="24"/>
      <c r="V68" s="24"/>
      <c r="W68" s="24"/>
      <c r="X68" s="24"/>
      <c r="Y68" s="22"/>
      <c r="AA68" s="23"/>
      <c r="AB68" s="23"/>
      <c r="AC68" s="23"/>
      <c r="AD68" s="23"/>
      <c r="AE68" s="23"/>
      <c r="AF68" s="23"/>
      <c r="AI68" s="1"/>
    </row>
    <row r="69" spans="1:35" ht="17">
      <c r="A69" s="3" t="s">
        <v>56</v>
      </c>
      <c r="B69" s="3">
        <v>257.36</v>
      </c>
      <c r="C69" s="109">
        <v>68.32753507246376</v>
      </c>
      <c r="D69" s="86">
        <v>1.8100000000000002E-2</v>
      </c>
      <c r="E69" s="3">
        <v>0.01</v>
      </c>
      <c r="F69" s="83">
        <v>0.20599999999999999</v>
      </c>
      <c r="G69" s="83"/>
      <c r="H69" s="96"/>
      <c r="I69" s="3">
        <v>0.54339999999999999</v>
      </c>
      <c r="J69" s="8" t="s">
        <v>111</v>
      </c>
      <c r="K69" s="3">
        <v>3.0000000000000001E-3</v>
      </c>
      <c r="L69" s="2"/>
      <c r="M69" s="85" t="s">
        <v>139</v>
      </c>
      <c r="N69" s="17"/>
      <c r="O69" s="17"/>
      <c r="P69" s="17"/>
      <c r="Q69" s="17"/>
      <c r="S69" s="26"/>
      <c r="T69" s="27"/>
      <c r="U69" s="27"/>
      <c r="V69" s="27"/>
      <c r="W69" s="27"/>
      <c r="X69" s="26"/>
      <c r="Y69" s="28"/>
      <c r="AA69" s="14"/>
      <c r="AB69" s="14"/>
      <c r="AC69" s="14"/>
      <c r="AD69" s="14"/>
      <c r="AE69" s="14"/>
      <c r="AF69" s="14"/>
    </row>
    <row r="70" spans="1:35" ht="17">
      <c r="A70" s="3" t="s">
        <v>57</v>
      </c>
      <c r="B70" s="3">
        <v>257.8</v>
      </c>
      <c r="C70" s="109">
        <v>68.355414492753624</v>
      </c>
      <c r="D70" s="86">
        <v>2.1399999999999999E-2</v>
      </c>
      <c r="E70" s="3">
        <v>0.01</v>
      </c>
      <c r="F70" s="83">
        <v>0.24</v>
      </c>
      <c r="G70" s="83"/>
      <c r="H70" s="96"/>
      <c r="I70" s="3">
        <v>0.56340000000000001</v>
      </c>
      <c r="J70" s="8" t="s">
        <v>111</v>
      </c>
      <c r="K70" s="3">
        <v>2E-3</v>
      </c>
      <c r="L70" s="2"/>
      <c r="M70" s="85" t="s">
        <v>139</v>
      </c>
      <c r="N70" s="17"/>
      <c r="O70" s="17"/>
      <c r="P70" s="17"/>
      <c r="Q70" s="17"/>
      <c r="S70" s="16"/>
      <c r="T70" s="18"/>
      <c r="U70" s="16"/>
      <c r="V70" s="16"/>
      <c r="W70" s="16"/>
      <c r="X70" s="16"/>
      <c r="Y70" s="19"/>
      <c r="AA70" s="14"/>
      <c r="AB70" s="14"/>
      <c r="AC70" s="14"/>
      <c r="AD70" s="14"/>
      <c r="AE70" s="14"/>
      <c r="AF70" s="14"/>
    </row>
    <row r="71" spans="1:35" s="21" customFormat="1" ht="17">
      <c r="A71" s="3" t="s">
        <v>58</v>
      </c>
      <c r="B71" s="3">
        <v>258.05</v>
      </c>
      <c r="C71" s="109">
        <v>68.371255072463768</v>
      </c>
      <c r="D71" s="97">
        <v>5.4600000000000003E-2</v>
      </c>
      <c r="E71" s="3">
        <v>8.9999999999999993E-3</v>
      </c>
      <c r="F71" s="83">
        <v>0.26700000000000002</v>
      </c>
      <c r="G71" s="83"/>
      <c r="H71" s="98"/>
      <c r="I71" s="3">
        <v>0.5181</v>
      </c>
      <c r="J71" s="8" t="s">
        <v>111</v>
      </c>
      <c r="K71" s="3">
        <v>1.4E-3</v>
      </c>
      <c r="L71" s="90"/>
      <c r="M71" s="85" t="s">
        <v>139</v>
      </c>
      <c r="N71" s="29"/>
      <c r="O71" s="23"/>
      <c r="P71" s="29"/>
      <c r="Q71" s="22"/>
      <c r="S71" s="24"/>
      <c r="T71" s="25"/>
      <c r="U71" s="24"/>
      <c r="V71" s="24"/>
      <c r="W71" s="24"/>
      <c r="X71" s="24"/>
      <c r="Y71" s="22"/>
      <c r="AA71" s="23"/>
      <c r="AB71" s="23"/>
      <c r="AC71" s="23"/>
      <c r="AD71" s="23"/>
      <c r="AE71" s="23"/>
      <c r="AF71" s="23"/>
      <c r="AI71" s="1"/>
    </row>
    <row r="72" spans="1:35" s="30" customFormat="1" ht="17">
      <c r="A72" s="3" t="s">
        <v>58</v>
      </c>
      <c r="B72" s="3">
        <v>258.05</v>
      </c>
      <c r="C72" s="109">
        <v>68.371255072463768</v>
      </c>
      <c r="D72" s="83">
        <v>5.4600000000000003E-2</v>
      </c>
      <c r="E72" s="3">
        <v>8.0000000000000002E-3</v>
      </c>
      <c r="F72" s="83">
        <v>0.249</v>
      </c>
      <c r="G72" s="83"/>
      <c r="H72" s="91"/>
      <c r="I72" s="3">
        <v>0.5181</v>
      </c>
      <c r="J72" s="8" t="s">
        <v>111</v>
      </c>
      <c r="K72" s="3">
        <v>1.4E-3</v>
      </c>
      <c r="L72" s="57"/>
      <c r="M72" s="85" t="s">
        <v>139</v>
      </c>
      <c r="N72" s="37"/>
      <c r="O72" s="37"/>
      <c r="P72" s="37"/>
      <c r="Q72" s="37"/>
      <c r="S72" s="34"/>
      <c r="T72" s="35"/>
      <c r="U72" s="34"/>
      <c r="V72" s="34"/>
      <c r="W72" s="34"/>
      <c r="X72" s="34"/>
      <c r="Y72" s="31"/>
      <c r="AA72" s="32"/>
      <c r="AB72" s="32"/>
      <c r="AC72" s="32"/>
      <c r="AD72" s="32"/>
      <c r="AE72" s="32"/>
      <c r="AF72" s="32"/>
      <c r="AI72" s="1"/>
    </row>
    <row r="73" spans="1:35" ht="17">
      <c r="A73" s="3" t="s">
        <v>58</v>
      </c>
      <c r="B73" s="3">
        <v>258.05</v>
      </c>
      <c r="C73" s="109">
        <v>68.371255072463768</v>
      </c>
      <c r="D73" s="83">
        <v>5.5600000000000004E-2</v>
      </c>
      <c r="E73" s="3">
        <v>0.01</v>
      </c>
      <c r="F73" s="83">
        <v>0.29699999999999999</v>
      </c>
      <c r="G73" s="83"/>
      <c r="H73" s="96"/>
      <c r="I73" s="3">
        <v>0.51870000000000005</v>
      </c>
      <c r="J73" s="8" t="s">
        <v>111</v>
      </c>
      <c r="K73" s="3">
        <v>1.1000000000000001E-3</v>
      </c>
      <c r="L73" s="2"/>
      <c r="M73" s="85" t="s">
        <v>139</v>
      </c>
      <c r="N73" s="17"/>
      <c r="O73" s="17"/>
      <c r="P73" s="17"/>
      <c r="Q73" s="17"/>
      <c r="S73" s="16"/>
      <c r="T73" s="18"/>
      <c r="U73" s="18"/>
      <c r="V73" s="16"/>
      <c r="W73" s="16"/>
      <c r="X73" s="16"/>
      <c r="Y73" s="19"/>
      <c r="AA73" s="14"/>
      <c r="AB73" s="14"/>
      <c r="AC73" s="14"/>
      <c r="AD73" s="14"/>
      <c r="AE73" s="14"/>
      <c r="AF73" s="14"/>
    </row>
    <row r="74" spans="1:35" ht="17">
      <c r="A74" s="3" t="s">
        <v>59</v>
      </c>
      <c r="B74" s="3">
        <v>261.95999999999998</v>
      </c>
      <c r="C74" s="109">
        <v>68.619001739130425</v>
      </c>
      <c r="D74" s="83">
        <v>4.2200000000000001E-2</v>
      </c>
      <c r="E74" s="3">
        <v>8.0000000000000002E-3</v>
      </c>
      <c r="F74" s="83">
        <v>0.214</v>
      </c>
      <c r="G74" s="83"/>
      <c r="H74" s="96"/>
      <c r="I74" s="3">
        <v>0.53500000000000003</v>
      </c>
      <c r="J74" s="8" t="s">
        <v>111</v>
      </c>
      <c r="K74" s="3">
        <v>1.6999999999999999E-3</v>
      </c>
      <c r="L74" s="2"/>
      <c r="M74" s="85" t="s">
        <v>139</v>
      </c>
      <c r="N74" s="17"/>
      <c r="O74" s="17"/>
      <c r="P74" s="17"/>
      <c r="Q74" s="17"/>
      <c r="S74" s="16"/>
      <c r="T74" s="18"/>
      <c r="U74" s="18"/>
      <c r="V74" s="16"/>
      <c r="W74" s="16"/>
      <c r="X74" s="16"/>
      <c r="Y74" s="19"/>
      <c r="AA74" s="14"/>
      <c r="AB74" s="14"/>
      <c r="AC74" s="14"/>
      <c r="AD74" s="14"/>
      <c r="AE74" s="14"/>
      <c r="AF74" s="14"/>
    </row>
    <row r="75" spans="1:35" ht="17">
      <c r="A75" s="3" t="s">
        <v>60</v>
      </c>
      <c r="B75" s="3">
        <v>262.42</v>
      </c>
      <c r="C75" s="109">
        <v>68.648148405797102</v>
      </c>
      <c r="D75" s="83">
        <v>4.5999999999999999E-2</v>
      </c>
      <c r="E75" s="3">
        <v>8.0000000000000002E-3</v>
      </c>
      <c r="F75" s="83">
        <v>0.32800000000000001</v>
      </c>
      <c r="G75" s="83"/>
      <c r="H75" s="96"/>
      <c r="I75" s="3">
        <v>0.54469999999999996</v>
      </c>
      <c r="J75" s="8" t="s">
        <v>111</v>
      </c>
      <c r="K75" s="3">
        <v>2.0999999999999999E-3</v>
      </c>
      <c r="L75" s="2"/>
      <c r="M75" s="85" t="s">
        <v>139</v>
      </c>
      <c r="N75" s="17"/>
      <c r="O75" s="17"/>
      <c r="P75" s="17"/>
      <c r="Q75" s="17"/>
      <c r="S75" s="16"/>
      <c r="T75" s="18"/>
      <c r="U75" s="18"/>
      <c r="V75" s="16"/>
      <c r="W75" s="16"/>
      <c r="X75" s="16"/>
      <c r="Y75" s="19"/>
      <c r="AA75" s="14"/>
      <c r="AB75" s="14"/>
      <c r="AC75" s="14"/>
      <c r="AD75" s="14"/>
      <c r="AE75" s="14"/>
      <c r="AF75" s="14"/>
    </row>
    <row r="76" spans="1:35" ht="17">
      <c r="A76" s="3" t="s">
        <v>61</v>
      </c>
      <c r="B76" s="3">
        <v>262.8</v>
      </c>
      <c r="C76" s="109">
        <v>68.672226086956528</v>
      </c>
      <c r="D76" s="83">
        <v>3.9700000000000006E-2</v>
      </c>
      <c r="E76" s="3">
        <v>8.0000000000000002E-3</v>
      </c>
      <c r="F76" s="83">
        <v>0.22800000000000001</v>
      </c>
      <c r="G76" s="83"/>
      <c r="H76" s="96"/>
      <c r="I76" s="3">
        <v>0.54900000000000004</v>
      </c>
      <c r="J76" s="8" t="s">
        <v>111</v>
      </c>
      <c r="K76" s="3">
        <v>2.0999999999999999E-3</v>
      </c>
      <c r="L76" s="2"/>
      <c r="M76" s="85" t="s">
        <v>139</v>
      </c>
      <c r="N76" s="17"/>
      <c r="O76" s="17"/>
      <c r="P76" s="17"/>
      <c r="Q76" s="17"/>
      <c r="S76" s="16"/>
      <c r="T76" s="18"/>
      <c r="U76" s="18"/>
      <c r="V76" s="16"/>
      <c r="W76" s="16"/>
      <c r="X76" s="16"/>
      <c r="Y76" s="19"/>
      <c r="AA76" s="14"/>
      <c r="AB76" s="14"/>
      <c r="AC76" s="14"/>
      <c r="AD76" s="14"/>
      <c r="AE76" s="14"/>
      <c r="AF76" s="14"/>
    </row>
    <row r="77" spans="1:35">
      <c r="A77" s="3" t="s">
        <v>61</v>
      </c>
      <c r="B77" s="3">
        <v>262.8</v>
      </c>
      <c r="C77" s="109">
        <v>68.672226086956528</v>
      </c>
      <c r="D77" s="83"/>
      <c r="E77" s="2">
        <v>1.6E-2</v>
      </c>
      <c r="F77" s="83">
        <v>0.22500000000000001</v>
      </c>
      <c r="G77" s="83"/>
      <c r="H77" s="96"/>
      <c r="I77" s="2"/>
      <c r="J77" s="8"/>
      <c r="K77" s="2"/>
      <c r="L77" s="2"/>
      <c r="M77" s="85" t="s">
        <v>139</v>
      </c>
      <c r="N77" s="17"/>
      <c r="O77" s="17"/>
      <c r="P77" s="17"/>
      <c r="Q77" s="17"/>
      <c r="S77" s="16"/>
      <c r="T77" s="18"/>
      <c r="U77" s="18"/>
      <c r="V77" s="16"/>
      <c r="W77" s="16"/>
      <c r="X77" s="16"/>
      <c r="Y77" s="19"/>
      <c r="AA77" s="14"/>
      <c r="AB77" s="14"/>
      <c r="AC77" s="14"/>
      <c r="AD77" s="14"/>
      <c r="AE77" s="14"/>
      <c r="AF77" s="14"/>
    </row>
    <row r="78" spans="1:35" ht="17">
      <c r="A78" s="3" t="s">
        <v>62</v>
      </c>
      <c r="B78" s="3">
        <v>263.22000000000003</v>
      </c>
      <c r="C78" s="109">
        <v>68.698838260869564</v>
      </c>
      <c r="D78" s="83">
        <v>5.4299999999999994E-2</v>
      </c>
      <c r="E78" s="3">
        <v>8.9999999999999993E-3</v>
      </c>
      <c r="F78" s="83">
        <v>0.23200000000000001</v>
      </c>
      <c r="G78" s="83"/>
      <c r="H78" s="96"/>
      <c r="I78" s="3">
        <v>0.54039999999999999</v>
      </c>
      <c r="J78" s="8" t="s">
        <v>111</v>
      </c>
      <c r="K78" s="3">
        <v>5.1999999999999998E-3</v>
      </c>
      <c r="L78" s="2"/>
      <c r="M78" s="85" t="s">
        <v>139</v>
      </c>
      <c r="N78" s="17"/>
      <c r="O78" s="17"/>
      <c r="P78" s="17"/>
      <c r="Q78" s="17"/>
      <c r="S78" s="16"/>
      <c r="T78" s="18"/>
      <c r="U78" s="18"/>
      <c r="V78" s="16"/>
      <c r="W78" s="16"/>
      <c r="X78" s="16"/>
      <c r="Y78" s="19"/>
      <c r="AA78" s="14"/>
      <c r="AB78" s="14"/>
      <c r="AC78" s="14"/>
      <c r="AD78" s="14"/>
      <c r="AE78" s="14"/>
      <c r="AF78" s="14"/>
    </row>
    <row r="79" spans="1:35" ht="17">
      <c r="A79" s="3" t="s">
        <v>63</v>
      </c>
      <c r="B79" s="3">
        <v>263.45999999999998</v>
      </c>
      <c r="C79" s="109">
        <v>68.714045217391302</v>
      </c>
      <c r="D79" s="83">
        <v>6.1600000000000002E-2</v>
      </c>
      <c r="E79" s="3">
        <v>1.2E-2</v>
      </c>
      <c r="F79" s="83">
        <v>0.218</v>
      </c>
      <c r="G79" s="83"/>
      <c r="H79" s="96"/>
      <c r="I79" s="3">
        <v>0.52839999999999998</v>
      </c>
      <c r="J79" s="8" t="s">
        <v>111</v>
      </c>
      <c r="K79" s="3">
        <v>1.6000000000000001E-3</v>
      </c>
      <c r="L79" s="2"/>
      <c r="M79" s="85" t="s">
        <v>139</v>
      </c>
      <c r="N79" s="17"/>
      <c r="O79" s="17"/>
      <c r="P79" s="17"/>
      <c r="Q79" s="17"/>
      <c r="S79" s="16"/>
      <c r="T79" s="18"/>
      <c r="U79" s="18"/>
      <c r="V79" s="16"/>
      <c r="W79" s="16"/>
      <c r="X79" s="16"/>
      <c r="Y79" s="19"/>
      <c r="AA79" s="14"/>
      <c r="AB79" s="14"/>
      <c r="AC79" s="14"/>
      <c r="AD79" s="14"/>
      <c r="AE79" s="14"/>
      <c r="AF79" s="14"/>
    </row>
    <row r="80" spans="1:35" ht="17">
      <c r="A80" s="3" t="s">
        <v>63</v>
      </c>
      <c r="B80" s="3">
        <v>263.45999999999998</v>
      </c>
      <c r="C80" s="109">
        <v>68.714045217391302</v>
      </c>
      <c r="D80" s="83">
        <v>6.1499999999999999E-2</v>
      </c>
      <c r="E80" s="3">
        <v>1.0999999999999999E-2</v>
      </c>
      <c r="F80" s="83">
        <v>0.20399999999999999</v>
      </c>
      <c r="G80" s="83"/>
      <c r="H80" s="96"/>
      <c r="I80" s="3">
        <v>0.53090000000000004</v>
      </c>
      <c r="J80" s="8" t="s">
        <v>111</v>
      </c>
      <c r="K80" s="3">
        <v>3.3E-3</v>
      </c>
      <c r="L80" s="2"/>
      <c r="M80" s="85" t="s">
        <v>139</v>
      </c>
      <c r="N80" s="17"/>
      <c r="O80" s="17"/>
      <c r="P80" s="17"/>
      <c r="Q80" s="17"/>
      <c r="S80" s="16"/>
      <c r="T80" s="18"/>
      <c r="U80" s="18"/>
      <c r="V80" s="16"/>
      <c r="W80" s="16"/>
      <c r="X80" s="16"/>
      <c r="Y80" s="19"/>
      <c r="AA80" s="14"/>
      <c r="AB80" s="14"/>
      <c r="AC80" s="14"/>
      <c r="AD80" s="14"/>
      <c r="AE80" s="14"/>
      <c r="AF80" s="14"/>
    </row>
    <row r="81" spans="1:32" ht="17">
      <c r="A81" s="3" t="s">
        <v>64</v>
      </c>
      <c r="B81" s="3">
        <v>263.89999999999998</v>
      </c>
      <c r="C81" s="109">
        <v>68.741924637681151</v>
      </c>
      <c r="D81" s="83">
        <v>6.0499999999999998E-2</v>
      </c>
      <c r="E81" s="3">
        <v>1.0999999999999999E-2</v>
      </c>
      <c r="F81" s="83">
        <v>0.56299999999999994</v>
      </c>
      <c r="G81" s="83"/>
      <c r="H81" s="96"/>
      <c r="I81" s="3">
        <v>0.54039999999999999</v>
      </c>
      <c r="J81" s="8" t="s">
        <v>111</v>
      </c>
      <c r="K81" s="3">
        <v>1.4E-3</v>
      </c>
      <c r="L81" s="2"/>
      <c r="M81" s="85" t="s">
        <v>139</v>
      </c>
      <c r="N81" s="17"/>
      <c r="O81" s="17"/>
      <c r="P81" s="17"/>
      <c r="Q81" s="17"/>
      <c r="S81" s="16"/>
      <c r="T81" s="18"/>
      <c r="U81" s="16"/>
      <c r="V81" s="16"/>
      <c r="W81" s="16"/>
      <c r="X81" s="16"/>
      <c r="Y81" s="19"/>
      <c r="AA81" s="14"/>
      <c r="AB81" s="14"/>
      <c r="AC81" s="14"/>
      <c r="AD81" s="14"/>
      <c r="AE81" s="14"/>
      <c r="AF81" s="14"/>
    </row>
    <row r="82" spans="1:32" ht="17">
      <c r="A82" s="3" t="s">
        <v>65</v>
      </c>
      <c r="B82" s="3">
        <v>264.3</v>
      </c>
      <c r="C82" s="109">
        <v>68.76726956521739</v>
      </c>
      <c r="D82" s="83">
        <v>6.409999999999999E-2</v>
      </c>
      <c r="E82" s="3">
        <v>8.9999999999999993E-3</v>
      </c>
      <c r="F82" s="83">
        <v>0.249</v>
      </c>
      <c r="G82" s="83"/>
      <c r="H82" s="96"/>
      <c r="I82" s="3">
        <v>0.54300000000000004</v>
      </c>
      <c r="J82" s="8" t="s">
        <v>111</v>
      </c>
      <c r="K82" s="3">
        <v>1.5E-3</v>
      </c>
      <c r="L82" s="2"/>
      <c r="M82" s="85" t="s">
        <v>139</v>
      </c>
      <c r="N82" s="17"/>
      <c r="O82" s="17"/>
      <c r="P82" s="17"/>
      <c r="Q82" s="17"/>
      <c r="S82" s="16"/>
      <c r="T82" s="18"/>
      <c r="U82" s="18"/>
      <c r="V82" s="16"/>
      <c r="W82" s="16"/>
      <c r="X82" s="16"/>
      <c r="Y82" s="19"/>
      <c r="AA82" s="14"/>
      <c r="AB82" s="14"/>
      <c r="AC82" s="14"/>
      <c r="AD82" s="14"/>
      <c r="AE82" s="14"/>
      <c r="AF82" s="14"/>
    </row>
    <row r="83" spans="1:32">
      <c r="A83" s="99" t="s">
        <v>100</v>
      </c>
      <c r="B83" s="100">
        <v>272.25</v>
      </c>
      <c r="C83" s="101">
        <v>69.271000000000001</v>
      </c>
      <c r="D83" s="102"/>
      <c r="E83" s="102"/>
      <c r="F83" s="102"/>
      <c r="G83" s="102"/>
      <c r="H83" s="103"/>
      <c r="I83" s="104"/>
      <c r="J83" s="105"/>
      <c r="K83" s="104"/>
      <c r="L83" s="106"/>
      <c r="M83" s="107"/>
      <c r="N83" s="17"/>
      <c r="O83" s="17"/>
      <c r="P83" s="17"/>
      <c r="Q83" s="17"/>
      <c r="S83" s="16"/>
      <c r="T83" s="18"/>
      <c r="U83" s="18"/>
      <c r="V83" s="16"/>
      <c r="W83" s="16"/>
      <c r="X83" s="16"/>
      <c r="Y83" s="19"/>
      <c r="AA83" s="14"/>
      <c r="AB83" s="14"/>
      <c r="AC83" s="14"/>
      <c r="AD83" s="14"/>
      <c r="AE83" s="14"/>
      <c r="AF83" s="14"/>
    </row>
    <row r="84" spans="1:32">
      <c r="A84" s="2" t="s">
        <v>388</v>
      </c>
      <c r="B84" s="82"/>
      <c r="C84" s="2"/>
      <c r="D84" s="83"/>
      <c r="E84" s="83"/>
      <c r="F84" s="83"/>
      <c r="G84" s="83"/>
      <c r="H84" s="96"/>
      <c r="I84" s="97"/>
      <c r="J84" s="108"/>
      <c r="K84" s="97"/>
      <c r="L84" s="2"/>
      <c r="M84" s="85"/>
      <c r="N84" s="17"/>
      <c r="O84" s="17"/>
      <c r="P84" s="17"/>
      <c r="Q84" s="17"/>
      <c r="S84" s="18"/>
      <c r="T84" s="18"/>
      <c r="U84" s="40"/>
      <c r="V84" s="18"/>
      <c r="W84" s="18"/>
      <c r="X84" s="16"/>
      <c r="Y84" s="19"/>
      <c r="AA84" s="14"/>
      <c r="AB84" s="14"/>
      <c r="AC84" s="14"/>
      <c r="AD84" s="14"/>
      <c r="AE84" s="14"/>
      <c r="AF84" s="14"/>
    </row>
    <row r="85" spans="1:32">
      <c r="B85" s="19"/>
      <c r="D85" s="14"/>
      <c r="E85" s="14"/>
      <c r="F85" s="15"/>
      <c r="G85" s="14"/>
      <c r="H85" s="38"/>
      <c r="I85" s="17"/>
      <c r="J85" s="47"/>
      <c r="K85" s="17"/>
      <c r="M85" s="17"/>
      <c r="N85" s="17"/>
      <c r="O85" s="17"/>
      <c r="P85" s="17"/>
      <c r="Q85" s="17"/>
      <c r="S85" s="16"/>
      <c r="T85" s="18"/>
      <c r="U85" s="16"/>
      <c r="V85" s="16"/>
      <c r="W85" s="16"/>
      <c r="X85" s="16"/>
      <c r="Y85" s="19"/>
      <c r="AA85" s="14"/>
      <c r="AB85" s="14"/>
      <c r="AC85" s="14"/>
      <c r="AD85" s="14"/>
      <c r="AE85" s="14"/>
      <c r="AF85" s="14"/>
    </row>
    <row r="86" spans="1:32">
      <c r="A86" s="39"/>
      <c r="B86" s="20"/>
      <c r="D86" s="14"/>
      <c r="E86" s="14"/>
      <c r="F86" s="14"/>
      <c r="G86" s="14"/>
      <c r="H86" s="38"/>
      <c r="I86" s="17"/>
      <c r="J86" s="47"/>
      <c r="K86" s="17"/>
      <c r="M86" s="17"/>
      <c r="N86" s="17"/>
      <c r="O86" s="17"/>
      <c r="P86" s="17"/>
      <c r="Q86" s="17"/>
      <c r="S86" s="16"/>
      <c r="T86" s="18"/>
      <c r="U86" s="16"/>
      <c r="V86" s="16"/>
      <c r="W86" s="16"/>
      <c r="X86" s="16"/>
      <c r="Y86" s="19"/>
      <c r="AA86" s="14"/>
      <c r="AB86" s="14"/>
      <c r="AC86" s="14"/>
      <c r="AD86" s="14"/>
      <c r="AE86" s="14"/>
      <c r="AF86" s="14"/>
    </row>
    <row r="87" spans="1:32">
      <c r="A87" s="39"/>
      <c r="B87" s="20"/>
      <c r="M87" s="17"/>
      <c r="N87" s="17"/>
      <c r="O87" s="17"/>
      <c r="P87" s="17"/>
      <c r="Q87" s="17"/>
    </row>
    <row r="88" spans="1:32">
      <c r="A88" s="4"/>
      <c r="B88" s="4"/>
      <c r="E88" s="21"/>
      <c r="H88" s="16"/>
      <c r="I88" s="17"/>
      <c r="J88" s="47"/>
    </row>
    <row r="89" spans="1:32">
      <c r="A89" s="36"/>
      <c r="B89" s="4"/>
      <c r="E89" s="21"/>
      <c r="H89" s="16"/>
      <c r="I89" s="17"/>
      <c r="J89" s="47"/>
    </row>
    <row r="90" spans="1:32">
      <c r="E90" s="21"/>
      <c r="H90" s="16"/>
      <c r="I90" s="17"/>
      <c r="J90" s="47"/>
    </row>
    <row r="91" spans="1:32">
      <c r="D91" s="17"/>
      <c r="E91" s="17"/>
      <c r="F91" s="17"/>
      <c r="G91" s="17"/>
      <c r="H91" s="16"/>
      <c r="I91" s="41"/>
      <c r="J91" s="48"/>
      <c r="K91" s="41"/>
    </row>
    <row r="92" spans="1:32">
      <c r="D92" s="17"/>
      <c r="E92" s="17"/>
      <c r="F92" s="17"/>
      <c r="G92" s="17"/>
      <c r="H92" s="16"/>
      <c r="I92" s="41"/>
      <c r="J92" s="48"/>
      <c r="K92" s="41"/>
    </row>
    <row r="93" spans="1:32">
      <c r="D93" s="17"/>
      <c r="E93" s="17"/>
      <c r="F93" s="17"/>
      <c r="G93" s="17"/>
      <c r="H93" s="16"/>
      <c r="I93" s="41"/>
      <c r="J93" s="48"/>
      <c r="K93" s="41"/>
    </row>
    <row r="94" spans="1:32">
      <c r="D94" s="17"/>
      <c r="E94" s="17"/>
      <c r="F94" s="17"/>
      <c r="G94" s="17"/>
      <c r="H94" s="16"/>
      <c r="I94" s="41"/>
      <c r="J94" s="48"/>
      <c r="K94" s="41"/>
      <c r="M94" s="17"/>
      <c r="N94" s="17"/>
      <c r="O94" s="17"/>
      <c r="P94" s="17"/>
      <c r="Q94" s="17"/>
    </row>
    <row r="95" spans="1:32">
      <c r="D95" s="17"/>
      <c r="E95" s="17"/>
      <c r="F95" s="17"/>
      <c r="G95" s="17"/>
      <c r="H95" s="16"/>
      <c r="I95" s="41"/>
      <c r="J95" s="48"/>
      <c r="K95" s="41"/>
      <c r="M95" s="17"/>
      <c r="N95" s="17"/>
      <c r="O95" s="17"/>
      <c r="P95" s="17"/>
      <c r="Q95" s="17"/>
    </row>
    <row r="96" spans="1:32">
      <c r="D96" s="17"/>
      <c r="E96" s="17"/>
      <c r="F96" s="42"/>
      <c r="G96" s="17"/>
      <c r="H96" s="16"/>
      <c r="I96" s="41"/>
      <c r="J96" s="48"/>
      <c r="K96" s="41"/>
    </row>
    <row r="97" spans="1:32">
      <c r="D97" s="17"/>
      <c r="E97" s="17"/>
      <c r="F97" s="17"/>
      <c r="G97" s="17"/>
      <c r="H97" s="16"/>
      <c r="I97" s="41"/>
      <c r="J97" s="48"/>
      <c r="K97" s="41"/>
    </row>
    <row r="98" spans="1:32">
      <c r="D98" s="17"/>
      <c r="E98" s="17"/>
      <c r="F98" s="17"/>
      <c r="G98" s="17"/>
      <c r="H98" s="16"/>
      <c r="I98" s="41"/>
      <c r="J98" s="48"/>
      <c r="K98" s="41"/>
    </row>
    <row r="99" spans="1:32">
      <c r="D99" s="17"/>
      <c r="E99" s="17"/>
      <c r="F99" s="17"/>
      <c r="G99" s="17"/>
      <c r="H99" s="16"/>
      <c r="I99" s="41"/>
      <c r="J99" s="48"/>
      <c r="K99" s="41"/>
    </row>
    <row r="100" spans="1:32">
      <c r="D100" s="17"/>
      <c r="E100" s="17"/>
      <c r="F100" s="17"/>
      <c r="G100" s="17"/>
      <c r="H100" s="16"/>
      <c r="I100" s="41"/>
      <c r="J100" s="48"/>
      <c r="K100" s="41"/>
    </row>
    <row r="101" spans="1:32">
      <c r="D101" s="17"/>
      <c r="E101" s="17"/>
      <c r="F101" s="17"/>
      <c r="G101" s="17"/>
      <c r="H101" s="16"/>
      <c r="I101" s="41"/>
      <c r="J101" s="48"/>
      <c r="K101" s="41"/>
    </row>
    <row r="102" spans="1:32">
      <c r="D102" s="17"/>
      <c r="E102" s="17"/>
      <c r="F102" s="17"/>
      <c r="G102" s="17"/>
      <c r="H102" s="16"/>
      <c r="I102" s="41"/>
      <c r="J102" s="48"/>
      <c r="K102" s="41"/>
    </row>
    <row r="103" spans="1:32">
      <c r="D103" s="17"/>
      <c r="E103" s="17"/>
      <c r="F103" s="17"/>
      <c r="G103" s="17"/>
      <c r="H103" s="16"/>
      <c r="I103" s="41"/>
      <c r="J103" s="48"/>
      <c r="K103" s="41"/>
    </row>
    <row r="104" spans="1:32">
      <c r="A104" s="39"/>
      <c r="B104" s="39"/>
      <c r="C104" s="39"/>
      <c r="D104" s="28"/>
      <c r="E104" s="26"/>
      <c r="F104" s="27"/>
      <c r="G104" s="26"/>
      <c r="H104" s="39"/>
      <c r="I104" s="43"/>
      <c r="J104" s="49"/>
    </row>
    <row r="105" spans="1:32">
      <c r="A105" s="39"/>
      <c r="B105" s="39"/>
      <c r="C105" s="39"/>
      <c r="D105" s="28"/>
      <c r="E105" s="26"/>
      <c r="F105" s="27"/>
      <c r="G105" s="26"/>
      <c r="H105" s="26"/>
      <c r="I105" s="43"/>
      <c r="J105" s="49"/>
      <c r="K105" s="17"/>
      <c r="M105" s="17"/>
      <c r="N105" s="17"/>
      <c r="O105" s="17"/>
      <c r="P105" s="17"/>
      <c r="Q105" s="17"/>
    </row>
    <row r="106" spans="1:32">
      <c r="A106" s="39"/>
      <c r="B106" s="39"/>
      <c r="C106" s="39"/>
      <c r="D106" s="27"/>
      <c r="E106" s="27"/>
      <c r="F106" s="27"/>
      <c r="G106" s="27"/>
      <c r="H106" s="26"/>
      <c r="I106" s="27"/>
      <c r="J106" s="50"/>
      <c r="K106" s="17"/>
      <c r="M106" s="17"/>
      <c r="N106" s="17"/>
      <c r="O106" s="17"/>
      <c r="P106" s="17"/>
      <c r="Q106" s="17"/>
    </row>
    <row r="107" spans="1:32">
      <c r="M107" s="17"/>
      <c r="N107" s="17"/>
      <c r="O107" s="17"/>
      <c r="P107" s="17"/>
      <c r="Q107" s="17"/>
    </row>
    <row r="108" spans="1:32">
      <c r="D108" s="17"/>
      <c r="E108" s="14"/>
      <c r="F108" s="14"/>
      <c r="G108" s="14"/>
      <c r="H108" s="16"/>
      <c r="I108" s="14"/>
      <c r="J108" s="51"/>
      <c r="K108" s="14"/>
      <c r="M108" s="17"/>
      <c r="N108" s="17"/>
      <c r="O108" s="17"/>
      <c r="P108" s="17"/>
      <c r="Q108" s="17"/>
      <c r="S108" s="16"/>
      <c r="T108" s="16"/>
      <c r="U108" s="16"/>
      <c r="V108" s="16"/>
      <c r="W108" s="16"/>
      <c r="X108" s="16"/>
      <c r="AA108" s="14"/>
      <c r="AB108" s="14"/>
      <c r="AC108" s="14"/>
      <c r="AD108" s="14"/>
      <c r="AE108" s="14"/>
      <c r="AF108" s="14"/>
    </row>
    <row r="109" spans="1:32">
      <c r="D109" s="17"/>
      <c r="E109" s="14"/>
      <c r="F109" s="14"/>
      <c r="G109" s="14"/>
      <c r="H109" s="16"/>
      <c r="I109" s="14"/>
      <c r="J109" s="51"/>
      <c r="K109" s="14"/>
      <c r="M109" s="17"/>
      <c r="N109" s="17"/>
      <c r="O109" s="17"/>
      <c r="P109" s="17"/>
      <c r="Q109" s="17"/>
      <c r="S109" s="16"/>
      <c r="T109" s="16"/>
      <c r="U109" s="16"/>
      <c r="V109" s="16"/>
      <c r="W109" s="16"/>
      <c r="X109" s="16"/>
      <c r="AA109" s="14"/>
      <c r="AB109" s="14"/>
      <c r="AC109" s="14"/>
      <c r="AD109" s="14"/>
      <c r="AE109" s="14"/>
      <c r="AF109" s="14"/>
    </row>
    <row r="110" spans="1:32">
      <c r="D110" s="17"/>
      <c r="E110" s="14"/>
      <c r="F110" s="14"/>
      <c r="G110" s="14"/>
      <c r="H110" s="16"/>
      <c r="I110" s="14"/>
      <c r="J110" s="51"/>
      <c r="K110" s="14"/>
      <c r="M110" s="17"/>
      <c r="N110" s="17"/>
      <c r="O110" s="17"/>
      <c r="P110" s="17"/>
      <c r="Q110" s="17"/>
      <c r="S110" s="16"/>
      <c r="T110" s="16"/>
      <c r="U110" s="16"/>
      <c r="V110" s="16"/>
      <c r="W110" s="16"/>
      <c r="X110" s="16"/>
      <c r="AA110" s="14"/>
      <c r="AB110" s="14"/>
      <c r="AC110" s="14"/>
      <c r="AD110" s="14"/>
      <c r="AE110" s="14"/>
      <c r="AF110" s="14"/>
    </row>
    <row r="111" spans="1:32">
      <c r="D111" s="17"/>
      <c r="E111" s="14"/>
      <c r="F111" s="14"/>
      <c r="G111" s="14"/>
      <c r="H111" s="16"/>
      <c r="I111" s="14"/>
      <c r="J111" s="51"/>
      <c r="K111" s="14"/>
      <c r="M111" s="17"/>
      <c r="N111" s="17"/>
      <c r="O111" s="17"/>
      <c r="P111" s="17"/>
      <c r="Q111" s="17"/>
      <c r="S111" s="16"/>
      <c r="T111" s="16"/>
      <c r="U111" s="16"/>
      <c r="V111" s="16"/>
      <c r="W111" s="16"/>
      <c r="X111" s="16"/>
      <c r="AA111" s="14"/>
      <c r="AB111" s="14"/>
      <c r="AC111" s="14"/>
      <c r="AD111" s="14"/>
      <c r="AE111" s="14"/>
      <c r="AF111" s="14"/>
    </row>
    <row r="112" spans="1:32">
      <c r="A112" s="39"/>
      <c r="B112" s="39"/>
      <c r="C112" s="39"/>
      <c r="D112" s="44"/>
      <c r="E112" s="43"/>
      <c r="F112" s="43"/>
      <c r="G112" s="43"/>
      <c r="H112" s="26"/>
      <c r="I112" s="43"/>
      <c r="J112" s="49"/>
      <c r="K112" s="14"/>
      <c r="AA112" s="14"/>
      <c r="AB112" s="14"/>
      <c r="AC112" s="14"/>
      <c r="AD112" s="14"/>
      <c r="AE112" s="14"/>
      <c r="AF112" s="14"/>
    </row>
    <row r="113" spans="1:32">
      <c r="A113" s="39"/>
      <c r="B113" s="39"/>
      <c r="C113" s="39"/>
      <c r="D113" s="44"/>
      <c r="E113" s="43"/>
      <c r="F113" s="43"/>
      <c r="G113" s="43"/>
      <c r="H113" s="26"/>
      <c r="I113" s="44"/>
      <c r="J113" s="52"/>
    </row>
    <row r="114" spans="1:32">
      <c r="A114" s="39"/>
      <c r="B114" s="39"/>
      <c r="C114" s="39"/>
      <c r="D114" s="28"/>
      <c r="E114" s="26"/>
      <c r="F114" s="26"/>
      <c r="G114" s="26"/>
      <c r="H114" s="26"/>
      <c r="I114" s="26"/>
      <c r="J114" s="53"/>
    </row>
    <row r="115" spans="1:32">
      <c r="K115" s="14"/>
      <c r="L115" s="14"/>
      <c r="Y115" s="14"/>
      <c r="Z115" s="14"/>
      <c r="AA115" s="14"/>
      <c r="AB115" s="14"/>
      <c r="AC115" s="14"/>
      <c r="AD115" s="14"/>
    </row>
    <row r="116" spans="1:32">
      <c r="D116" s="14"/>
      <c r="E116" s="14"/>
      <c r="F116" s="15"/>
      <c r="G116" s="14"/>
      <c r="H116" s="19"/>
      <c r="I116" s="17"/>
      <c r="J116" s="47"/>
      <c r="K116" s="17"/>
      <c r="M116" s="14"/>
      <c r="N116" s="14"/>
      <c r="O116" s="19"/>
      <c r="P116" s="19"/>
      <c r="Q116" s="14"/>
      <c r="S116" s="19"/>
      <c r="T116" s="19"/>
      <c r="U116" s="19"/>
      <c r="V116" s="19"/>
      <c r="W116" s="19"/>
      <c r="X116" s="19"/>
      <c r="Y116" s="19"/>
      <c r="AA116" s="14"/>
      <c r="AB116" s="14"/>
      <c r="AC116" s="14"/>
      <c r="AD116" s="14"/>
      <c r="AE116" s="14"/>
      <c r="AF116" s="14"/>
    </row>
    <row r="117" spans="1:32">
      <c r="D117" s="14"/>
      <c r="E117" s="14"/>
      <c r="F117" s="15"/>
      <c r="G117" s="14"/>
      <c r="H117" s="19"/>
      <c r="I117" s="17"/>
      <c r="J117" s="47"/>
      <c r="K117" s="17"/>
      <c r="M117" s="14"/>
      <c r="N117" s="14"/>
      <c r="O117" s="19"/>
      <c r="P117" s="19"/>
      <c r="Q117" s="14"/>
      <c r="S117" s="19"/>
      <c r="T117" s="19"/>
      <c r="U117" s="19"/>
      <c r="V117" s="19"/>
      <c r="W117" s="19"/>
      <c r="X117" s="19"/>
      <c r="Y117" s="19"/>
      <c r="AA117" s="14"/>
      <c r="AB117" s="14"/>
      <c r="AC117" s="14"/>
      <c r="AD117" s="14"/>
      <c r="AE117" s="14"/>
      <c r="AF117" s="14"/>
    </row>
    <row r="118" spans="1:32">
      <c r="D118" s="14"/>
      <c r="E118" s="14"/>
      <c r="F118" s="15"/>
      <c r="G118" s="14"/>
      <c r="H118" s="19"/>
      <c r="I118" s="17"/>
      <c r="J118" s="47"/>
      <c r="K118" s="17"/>
      <c r="M118" s="14"/>
      <c r="N118" s="14"/>
      <c r="O118" s="19"/>
      <c r="P118" s="19"/>
      <c r="Q118" s="14"/>
      <c r="S118" s="19"/>
      <c r="T118" s="19"/>
      <c r="U118" s="19"/>
      <c r="V118" s="19"/>
      <c r="W118" s="19"/>
      <c r="X118" s="19"/>
      <c r="Y118" s="19"/>
      <c r="AA118" s="14"/>
      <c r="AB118" s="14"/>
      <c r="AC118" s="14"/>
      <c r="AD118" s="14"/>
      <c r="AE118" s="14"/>
      <c r="AF118" s="14"/>
    </row>
    <row r="119" spans="1:32">
      <c r="D119" s="14"/>
      <c r="E119" s="14"/>
      <c r="F119" s="15"/>
      <c r="G119" s="14"/>
      <c r="H119" s="19"/>
      <c r="I119" s="17"/>
      <c r="J119" s="47"/>
      <c r="K119" s="17"/>
      <c r="M119" s="14"/>
      <c r="N119" s="14"/>
      <c r="O119" s="19"/>
      <c r="P119" s="19"/>
      <c r="Q119" s="14"/>
      <c r="S119" s="19"/>
      <c r="T119" s="19"/>
      <c r="U119" s="19"/>
      <c r="V119" s="19"/>
      <c r="W119" s="19"/>
      <c r="X119" s="19"/>
      <c r="Y119" s="19"/>
      <c r="AA119" s="14"/>
      <c r="AB119" s="14"/>
      <c r="AC119" s="14"/>
      <c r="AD119" s="14"/>
      <c r="AE119" s="14"/>
      <c r="AF119" s="14"/>
    </row>
    <row r="120" spans="1:32">
      <c r="D120" s="14"/>
      <c r="E120" s="14"/>
      <c r="F120" s="15"/>
      <c r="G120" s="14"/>
      <c r="H120" s="19"/>
      <c r="I120" s="17"/>
      <c r="J120" s="47"/>
      <c r="K120" s="17"/>
      <c r="M120" s="14"/>
      <c r="N120" s="14"/>
      <c r="O120" s="19"/>
      <c r="P120" s="19"/>
      <c r="Q120" s="14"/>
      <c r="S120" s="19"/>
      <c r="T120" s="19"/>
      <c r="U120" s="19"/>
      <c r="V120" s="19"/>
      <c r="W120" s="19"/>
      <c r="X120" s="19"/>
      <c r="Y120" s="19"/>
      <c r="AA120" s="14"/>
      <c r="AB120" s="14"/>
      <c r="AC120" s="14"/>
      <c r="AD120" s="14"/>
      <c r="AE120" s="14"/>
      <c r="AF120" s="14"/>
    </row>
    <row r="121" spans="1:32">
      <c r="D121" s="14"/>
      <c r="E121" s="14"/>
      <c r="F121" s="15"/>
      <c r="G121" s="14"/>
      <c r="H121" s="19"/>
      <c r="I121" s="17"/>
      <c r="J121" s="47"/>
      <c r="K121" s="17"/>
      <c r="M121" s="14"/>
      <c r="N121" s="14"/>
      <c r="O121" s="19"/>
      <c r="P121" s="19"/>
      <c r="Q121" s="14"/>
      <c r="S121" s="19"/>
      <c r="T121" s="19"/>
      <c r="U121" s="19"/>
      <c r="V121" s="19"/>
      <c r="W121" s="19"/>
      <c r="X121" s="19"/>
      <c r="Y121" s="19"/>
      <c r="AB121" s="14"/>
      <c r="AC121" s="14"/>
      <c r="AD121" s="14"/>
      <c r="AE121" s="14"/>
      <c r="AF121" s="14"/>
    </row>
    <row r="122" spans="1:32">
      <c r="D122" s="14"/>
      <c r="E122" s="14"/>
      <c r="F122" s="15"/>
      <c r="G122" s="14"/>
      <c r="H122" s="19"/>
      <c r="I122" s="17"/>
      <c r="J122" s="47"/>
      <c r="K122" s="17"/>
      <c r="M122" s="14"/>
      <c r="N122" s="14"/>
      <c r="O122" s="19"/>
      <c r="P122" s="19"/>
      <c r="Q122" s="14"/>
      <c r="S122" s="19"/>
      <c r="T122" s="19"/>
      <c r="U122" s="19"/>
      <c r="V122" s="19"/>
      <c r="W122" s="19"/>
      <c r="X122" s="19"/>
      <c r="Y122" s="19"/>
      <c r="AB122" s="14"/>
      <c r="AC122" s="14"/>
      <c r="AD122" s="14"/>
      <c r="AE122" s="14"/>
      <c r="AF122" s="14"/>
    </row>
    <row r="123" spans="1:32">
      <c r="D123" s="14"/>
      <c r="E123" s="14"/>
      <c r="F123" s="15"/>
      <c r="G123" s="14"/>
      <c r="H123" s="19"/>
      <c r="I123" s="17"/>
      <c r="J123" s="47"/>
      <c r="K123" s="17"/>
      <c r="M123" s="14"/>
      <c r="N123" s="14"/>
      <c r="O123" s="19"/>
      <c r="P123" s="19"/>
      <c r="Q123" s="14"/>
      <c r="S123" s="19"/>
      <c r="T123" s="19"/>
      <c r="U123" s="19"/>
      <c r="V123" s="19"/>
      <c r="W123" s="19"/>
      <c r="X123" s="19"/>
      <c r="Y123" s="19"/>
      <c r="AA123" s="14"/>
      <c r="AB123" s="14"/>
      <c r="AC123" s="14"/>
      <c r="AD123" s="14"/>
      <c r="AE123" s="14"/>
      <c r="AF123" s="14"/>
    </row>
    <row r="124" spans="1:32">
      <c r="D124" s="14"/>
      <c r="E124" s="14"/>
      <c r="F124" s="15"/>
      <c r="G124" s="14"/>
      <c r="H124" s="19"/>
      <c r="I124" s="17"/>
      <c r="J124" s="47"/>
      <c r="K124" s="17"/>
      <c r="M124" s="14"/>
      <c r="N124" s="14"/>
      <c r="O124" s="19"/>
      <c r="P124" s="19"/>
      <c r="Q124" s="14"/>
      <c r="S124" s="19"/>
      <c r="T124" s="19"/>
      <c r="U124" s="19"/>
      <c r="V124" s="19"/>
      <c r="W124" s="19"/>
      <c r="X124" s="19"/>
      <c r="Y124" s="19"/>
      <c r="AA124" s="14"/>
      <c r="AB124" s="14"/>
      <c r="AC124" s="14"/>
      <c r="AD124" s="14"/>
      <c r="AE124" s="14"/>
      <c r="AF124" s="14"/>
    </row>
    <row r="125" spans="1:32">
      <c r="A125" s="39"/>
      <c r="B125" s="39"/>
      <c r="C125" s="39"/>
      <c r="D125" s="43"/>
      <c r="E125" s="43"/>
      <c r="F125" s="45"/>
      <c r="G125" s="43"/>
      <c r="H125" s="28"/>
      <c r="I125" s="44"/>
      <c r="J125" s="52"/>
    </row>
    <row r="126" spans="1:32">
      <c r="A126" s="39"/>
      <c r="B126" s="39"/>
      <c r="C126" s="39"/>
      <c r="D126" s="43"/>
      <c r="E126" s="43"/>
      <c r="F126" s="45"/>
      <c r="G126" s="43"/>
      <c r="H126" s="28"/>
      <c r="I126" s="44"/>
      <c r="J126" s="52"/>
    </row>
    <row r="127" spans="1:32">
      <c r="A127" s="39"/>
      <c r="B127" s="39"/>
      <c r="C127" s="39"/>
      <c r="D127" s="26"/>
      <c r="E127" s="26"/>
      <c r="F127" s="26"/>
      <c r="G127" s="26"/>
      <c r="H127" s="26"/>
      <c r="I127" s="26"/>
      <c r="J127" s="53"/>
    </row>
    <row r="129" spans="1:12">
      <c r="A129" s="39"/>
      <c r="B129" s="39"/>
      <c r="C129" s="39"/>
      <c r="D129" s="43"/>
      <c r="E129" s="43"/>
      <c r="F129" s="45"/>
      <c r="G129" s="43"/>
      <c r="H129" s="28"/>
      <c r="I129" s="44"/>
      <c r="J129" s="52"/>
    </row>
    <row r="130" spans="1:12">
      <c r="A130" s="39"/>
      <c r="B130" s="39"/>
      <c r="C130" s="39"/>
      <c r="D130" s="43"/>
      <c r="E130" s="43"/>
      <c r="F130" s="45"/>
      <c r="G130" s="43"/>
      <c r="H130" s="28"/>
      <c r="I130" s="44"/>
      <c r="J130" s="52"/>
    </row>
    <row r="131" spans="1:12">
      <c r="A131" s="39"/>
      <c r="B131" s="39"/>
      <c r="C131" s="39"/>
      <c r="D131" s="26"/>
      <c r="E131" s="26"/>
      <c r="F131" s="26"/>
      <c r="G131" s="26"/>
      <c r="H131" s="26"/>
      <c r="I131" s="26"/>
      <c r="J131" s="53"/>
    </row>
    <row r="133" spans="1:12">
      <c r="I133" s="17"/>
      <c r="J133" s="47"/>
      <c r="L133" s="17"/>
    </row>
    <row r="134" spans="1:12">
      <c r="I134" s="17"/>
      <c r="J134" s="47"/>
      <c r="L134" s="17"/>
    </row>
    <row r="135" spans="1:12">
      <c r="I135" s="17"/>
      <c r="J135" s="47"/>
      <c r="L135" s="17"/>
    </row>
    <row r="136" spans="1:12">
      <c r="I136" s="17"/>
      <c r="J136" s="47"/>
      <c r="L136" s="17"/>
    </row>
    <row r="137" spans="1:12">
      <c r="I137" s="17"/>
      <c r="J137" s="47"/>
      <c r="L137" s="17"/>
    </row>
    <row r="138" spans="1:12">
      <c r="I138" s="17"/>
      <c r="J138" s="47"/>
      <c r="L138" s="17"/>
    </row>
    <row r="139" spans="1:12">
      <c r="I139" s="17"/>
      <c r="J139" s="47"/>
      <c r="L139" s="17"/>
    </row>
    <row r="140" spans="1:12">
      <c r="I140" s="17"/>
      <c r="J140" s="47"/>
      <c r="L140" s="17"/>
    </row>
    <row r="141" spans="1:12">
      <c r="I141" s="17"/>
      <c r="J141" s="47"/>
      <c r="L141" s="17"/>
    </row>
    <row r="142" spans="1:12">
      <c r="I142" s="17"/>
      <c r="J142" s="47"/>
      <c r="L142" s="17"/>
    </row>
    <row r="143" spans="1:12">
      <c r="I143" s="17"/>
      <c r="J143" s="47"/>
      <c r="L143" s="17"/>
    </row>
    <row r="144" spans="1:12">
      <c r="I144" s="17"/>
      <c r="J144" s="47"/>
      <c r="L144" s="17"/>
    </row>
    <row r="145" spans="9:12">
      <c r="I145" s="17"/>
      <c r="J145" s="47"/>
      <c r="L145" s="17"/>
    </row>
    <row r="146" spans="9:12">
      <c r="I146" s="17"/>
      <c r="J146" s="47"/>
      <c r="L146" s="17"/>
    </row>
    <row r="147" spans="9:12">
      <c r="I147" s="17"/>
      <c r="J147" s="47"/>
      <c r="L147" s="17"/>
    </row>
    <row r="148" spans="9:12">
      <c r="I148" s="17"/>
      <c r="J148" s="47"/>
      <c r="L148" s="17"/>
    </row>
    <row r="149" spans="9:12">
      <c r="I149" s="17"/>
      <c r="J149" s="47"/>
      <c r="L149" s="17"/>
    </row>
    <row r="150" spans="9:12">
      <c r="I150" s="17"/>
      <c r="J150" s="47"/>
      <c r="L150" s="17"/>
    </row>
    <row r="151" spans="9:12">
      <c r="I151" s="17"/>
      <c r="J151" s="47"/>
      <c r="L151" s="17"/>
    </row>
    <row r="152" spans="9:12">
      <c r="I152" s="17"/>
      <c r="J152" s="47"/>
      <c r="L152" s="17"/>
    </row>
    <row r="153" spans="9:12">
      <c r="I153" s="17"/>
      <c r="J153" s="47"/>
      <c r="L153" s="17"/>
    </row>
    <row r="154" spans="9:12">
      <c r="I154" s="17"/>
      <c r="J154" s="47"/>
      <c r="L154" s="17"/>
    </row>
    <row r="155" spans="9:12">
      <c r="I155" s="17"/>
      <c r="J155" s="47"/>
      <c r="L155" s="17"/>
    </row>
    <row r="156" spans="9:12">
      <c r="I156" s="17"/>
      <c r="J156" s="47"/>
      <c r="L156" s="17"/>
    </row>
    <row r="157" spans="9:12">
      <c r="I157" s="17"/>
      <c r="J157" s="47"/>
      <c r="L157" s="17"/>
    </row>
    <row r="158" spans="9:12">
      <c r="I158" s="17"/>
      <c r="J158" s="47"/>
      <c r="L158" s="17"/>
    </row>
    <row r="159" spans="9:12">
      <c r="I159" s="17"/>
      <c r="J159" s="47"/>
      <c r="L159" s="17"/>
    </row>
    <row r="160" spans="9:12">
      <c r="I160" s="17"/>
      <c r="J160" s="47"/>
      <c r="L160" s="17"/>
    </row>
    <row r="161" spans="9:12">
      <c r="I161" s="17"/>
      <c r="J161" s="47"/>
      <c r="L161" s="17"/>
    </row>
    <row r="162" spans="9:12">
      <c r="I162" s="17"/>
      <c r="J162" s="47"/>
      <c r="L162" s="17"/>
    </row>
    <row r="163" spans="9:12">
      <c r="I163" s="17"/>
      <c r="J163" s="47"/>
      <c r="L163" s="17"/>
    </row>
    <row r="164" spans="9:12">
      <c r="I164" s="17"/>
      <c r="J164" s="47"/>
      <c r="L164" s="17"/>
    </row>
    <row r="165" spans="9:12">
      <c r="I165" s="17"/>
      <c r="J165" s="47"/>
      <c r="L165" s="17"/>
    </row>
    <row r="166" spans="9:12">
      <c r="I166" s="17"/>
      <c r="J166" s="47"/>
      <c r="L166" s="17"/>
    </row>
    <row r="167" spans="9:12">
      <c r="I167" s="17"/>
      <c r="J167" s="47"/>
      <c r="L167" s="17"/>
    </row>
    <row r="168" spans="9:12">
      <c r="I168" s="17"/>
      <c r="J168" s="47"/>
      <c r="L168" s="17"/>
    </row>
    <row r="169" spans="9:12">
      <c r="I169" s="17"/>
      <c r="J169" s="47"/>
      <c r="L169" s="17"/>
    </row>
    <row r="170" spans="9:12">
      <c r="I170" s="17"/>
      <c r="J170" s="47"/>
      <c r="L170" s="17"/>
    </row>
    <row r="171" spans="9:12">
      <c r="I171" s="17"/>
      <c r="J171" s="47"/>
      <c r="L171" s="17"/>
    </row>
    <row r="172" spans="9:12">
      <c r="I172" s="17"/>
      <c r="J172" s="47"/>
      <c r="L172" s="17"/>
    </row>
    <row r="173" spans="9:12">
      <c r="I173" s="17"/>
      <c r="J173" s="47"/>
      <c r="L173" s="17"/>
    </row>
    <row r="174" spans="9:12">
      <c r="I174" s="17"/>
      <c r="J174" s="47"/>
      <c r="L174" s="17"/>
    </row>
    <row r="175" spans="9:12">
      <c r="I175" s="17"/>
      <c r="J175" s="47"/>
      <c r="L175" s="17"/>
    </row>
    <row r="176" spans="9:12">
      <c r="I176" s="17"/>
      <c r="J176" s="47"/>
      <c r="L176" s="17"/>
    </row>
    <row r="177" spans="9:12">
      <c r="I177" s="17"/>
      <c r="J177" s="47"/>
      <c r="L177" s="17"/>
    </row>
    <row r="178" spans="9:12">
      <c r="I178" s="17"/>
      <c r="J178" s="47"/>
      <c r="L178" s="17"/>
    </row>
    <row r="179" spans="9:12">
      <c r="I179" s="17"/>
      <c r="J179" s="47"/>
      <c r="L179" s="17"/>
    </row>
    <row r="180" spans="9:12">
      <c r="I180" s="17"/>
      <c r="J180" s="47"/>
      <c r="L180" s="17"/>
    </row>
    <row r="181" spans="9:12">
      <c r="I181" s="17"/>
      <c r="J181" s="47"/>
      <c r="L181" s="17"/>
    </row>
    <row r="182" spans="9:12">
      <c r="I182" s="17"/>
      <c r="J182" s="47"/>
      <c r="L182" s="17"/>
    </row>
    <row r="183" spans="9:12">
      <c r="I183" s="17"/>
      <c r="J183" s="47"/>
      <c r="L183" s="17"/>
    </row>
    <row r="184" spans="9:12">
      <c r="I184" s="17"/>
      <c r="J184" s="47"/>
      <c r="L184" s="17"/>
    </row>
    <row r="185" spans="9:12">
      <c r="I185" s="17"/>
      <c r="J185" s="47"/>
      <c r="L185" s="17"/>
    </row>
    <row r="186" spans="9:12">
      <c r="I186" s="17"/>
      <c r="J186" s="47"/>
      <c r="L186" s="17"/>
    </row>
    <row r="187" spans="9:12">
      <c r="I187" s="17"/>
      <c r="J187" s="47"/>
      <c r="L187" s="17"/>
    </row>
    <row r="188" spans="9:12">
      <c r="I188" s="17"/>
      <c r="J188" s="47"/>
      <c r="L188" s="17"/>
    </row>
    <row r="189" spans="9:12">
      <c r="I189" s="17"/>
      <c r="J189" s="47"/>
      <c r="L189" s="17"/>
    </row>
    <row r="190" spans="9:12">
      <c r="I190" s="17"/>
      <c r="J190" s="47"/>
      <c r="L190" s="17"/>
    </row>
    <row r="191" spans="9:12">
      <c r="I191" s="17"/>
      <c r="J191" s="47"/>
      <c r="L191" s="17"/>
    </row>
    <row r="192" spans="9:12">
      <c r="I192" s="17"/>
      <c r="J192" s="47"/>
      <c r="L192" s="17"/>
    </row>
    <row r="193" spans="9:12">
      <c r="I193" s="17"/>
      <c r="J193" s="47"/>
      <c r="L193" s="17"/>
    </row>
    <row r="194" spans="9:12">
      <c r="I194" s="17"/>
      <c r="J194" s="47"/>
      <c r="L194" s="17"/>
    </row>
    <row r="195" spans="9:12">
      <c r="I195" s="17"/>
      <c r="J195" s="47"/>
      <c r="L195" s="17"/>
    </row>
    <row r="196" spans="9:12">
      <c r="I196" s="17"/>
      <c r="J196" s="47"/>
      <c r="L196" s="17"/>
    </row>
    <row r="197" spans="9:12">
      <c r="I197" s="17"/>
      <c r="J197" s="47"/>
      <c r="L197" s="17"/>
    </row>
    <row r="198" spans="9:12">
      <c r="I198" s="17"/>
      <c r="J198" s="47"/>
      <c r="L198" s="17"/>
    </row>
    <row r="199" spans="9:12">
      <c r="I199" s="17"/>
      <c r="J199" s="47"/>
      <c r="L199" s="17"/>
    </row>
    <row r="200" spans="9:12">
      <c r="I200" s="17"/>
      <c r="J200" s="47"/>
      <c r="L200" s="17"/>
    </row>
    <row r="201" spans="9:12">
      <c r="I201" s="17"/>
      <c r="J201" s="47"/>
      <c r="L201" s="17"/>
    </row>
    <row r="202" spans="9:12">
      <c r="I202" s="17"/>
      <c r="J202" s="47"/>
      <c r="L202" s="17"/>
    </row>
    <row r="203" spans="9:12">
      <c r="I203" s="17"/>
      <c r="J203" s="47"/>
      <c r="L203" s="17"/>
    </row>
    <row r="204" spans="9:12">
      <c r="I204" s="17"/>
      <c r="J204" s="47"/>
      <c r="L204" s="17"/>
    </row>
    <row r="205" spans="9:12">
      <c r="I205" s="17"/>
      <c r="J205" s="47"/>
      <c r="L205" s="17"/>
    </row>
    <row r="206" spans="9:12">
      <c r="I206" s="17"/>
      <c r="J206" s="47"/>
      <c r="L206" s="17"/>
    </row>
    <row r="207" spans="9:12">
      <c r="I207" s="17"/>
      <c r="J207" s="47"/>
    </row>
    <row r="208" spans="9:12">
      <c r="I208" s="17"/>
      <c r="J208" s="47"/>
    </row>
    <row r="209" spans="9:12">
      <c r="I209" s="17"/>
      <c r="J209" s="47"/>
    </row>
    <row r="210" spans="9:12">
      <c r="I210" s="17"/>
      <c r="J210" s="47"/>
    </row>
    <row r="211" spans="9:12">
      <c r="I211" s="17"/>
      <c r="J211" s="47"/>
    </row>
    <row r="212" spans="9:12">
      <c r="I212" s="17"/>
      <c r="J212" s="47"/>
    </row>
    <row r="213" spans="9:12">
      <c r="I213" s="17"/>
      <c r="J213" s="47"/>
      <c r="L213" s="17"/>
    </row>
    <row r="214" spans="9:12">
      <c r="I214" s="17"/>
      <c r="J214" s="47"/>
      <c r="L214" s="17"/>
    </row>
    <row r="215" spans="9:12">
      <c r="I215" s="17"/>
      <c r="J215" s="47"/>
    </row>
    <row r="216" spans="9:12">
      <c r="I216" s="17"/>
      <c r="J216" s="47"/>
    </row>
    <row r="217" spans="9:12">
      <c r="I217" s="17"/>
      <c r="J217" s="47"/>
    </row>
    <row r="218" spans="9:12">
      <c r="I218" s="17"/>
      <c r="J218" s="47"/>
    </row>
    <row r="219" spans="9:12">
      <c r="I219" s="17"/>
      <c r="J219" s="47"/>
    </row>
    <row r="220" spans="9:12">
      <c r="I220" s="17"/>
      <c r="J220" s="47"/>
    </row>
    <row r="221" spans="9:12">
      <c r="I221" s="17"/>
      <c r="J221" s="47"/>
    </row>
    <row r="222" spans="9:12">
      <c r="I222" s="17"/>
      <c r="J222" s="47"/>
    </row>
    <row r="223" spans="9:12">
      <c r="I223" s="17"/>
      <c r="J223" s="47"/>
    </row>
    <row r="224" spans="9:12">
      <c r="I224" s="17"/>
      <c r="J224" s="47"/>
      <c r="L224" s="17"/>
    </row>
    <row r="225" spans="9:12">
      <c r="I225" s="17"/>
      <c r="J225" s="47"/>
      <c r="L225" s="17"/>
    </row>
    <row r="226" spans="9:12">
      <c r="I226" s="17"/>
      <c r="J226" s="47"/>
      <c r="L226" s="17"/>
    </row>
    <row r="227" spans="9:12">
      <c r="I227" s="17"/>
      <c r="J227" s="47"/>
      <c r="L227" s="17"/>
    </row>
    <row r="228" spans="9:12">
      <c r="I228" s="17"/>
      <c r="J228" s="47"/>
      <c r="L228" s="17"/>
    </row>
    <row r="229" spans="9:12">
      <c r="I229" s="17"/>
      <c r="J229" s="47"/>
      <c r="L229" s="17"/>
    </row>
    <row r="230" spans="9:12">
      <c r="I230" s="17"/>
      <c r="J230" s="47"/>
      <c r="L230" s="17"/>
    </row>
    <row r="231" spans="9:12">
      <c r="I231" s="17"/>
      <c r="J231" s="47"/>
    </row>
    <row r="232" spans="9:12">
      <c r="I232" s="17"/>
      <c r="J232" s="47"/>
    </row>
    <row r="233" spans="9:12">
      <c r="I233" s="17"/>
      <c r="J233" s="47"/>
    </row>
    <row r="234" spans="9:12">
      <c r="I234" s="17"/>
      <c r="J234" s="47"/>
    </row>
    <row r="235" spans="9:12">
      <c r="I235" s="17"/>
      <c r="J235" s="47"/>
      <c r="L235" s="14"/>
    </row>
    <row r="236" spans="9:12">
      <c r="I236" s="17"/>
      <c r="J236" s="47"/>
      <c r="L236" s="14"/>
    </row>
    <row r="237" spans="9:12">
      <c r="I237" s="17"/>
      <c r="J237" s="47"/>
      <c r="L237" s="14"/>
    </row>
    <row r="238" spans="9:12">
      <c r="I238" s="17"/>
      <c r="J238" s="47"/>
      <c r="L238" s="14"/>
    </row>
    <row r="239" spans="9:12">
      <c r="I239" s="17"/>
      <c r="J239" s="47"/>
      <c r="L239" s="14"/>
    </row>
    <row r="240" spans="9:12">
      <c r="I240" s="17"/>
      <c r="J240" s="47"/>
      <c r="L240" s="14"/>
    </row>
    <row r="241" spans="9:12">
      <c r="I241" s="17"/>
      <c r="J241" s="47"/>
      <c r="L241" s="14"/>
    </row>
    <row r="242" spans="9:12">
      <c r="I242" s="17"/>
      <c r="J242" s="47"/>
      <c r="L242" s="14"/>
    </row>
    <row r="243" spans="9:12">
      <c r="I243" s="17"/>
      <c r="J243" s="47"/>
      <c r="L243" s="14"/>
    </row>
    <row r="244" spans="9:12">
      <c r="I244" s="17"/>
      <c r="J244" s="47"/>
    </row>
    <row r="245" spans="9:12">
      <c r="I245" s="17"/>
      <c r="J245" s="47"/>
    </row>
    <row r="246" spans="9:12">
      <c r="I246" s="17"/>
      <c r="J246" s="47"/>
    </row>
    <row r="247" spans="9:12">
      <c r="I247" s="17"/>
      <c r="J247" s="47"/>
    </row>
    <row r="248" spans="9:12">
      <c r="I248" s="17"/>
      <c r="J248" s="47"/>
    </row>
    <row r="249" spans="9:12">
      <c r="I249" s="17"/>
      <c r="J249" s="47"/>
    </row>
    <row r="250" spans="9:12">
      <c r="I250" s="17"/>
      <c r="J250" s="47"/>
    </row>
    <row r="251" spans="9:12">
      <c r="I251" s="17"/>
      <c r="J251" s="47"/>
    </row>
    <row r="252" spans="9:12">
      <c r="I252" s="17"/>
      <c r="J252" s="47"/>
    </row>
    <row r="253" spans="9:12">
      <c r="I253" s="17"/>
      <c r="J253" s="47"/>
    </row>
    <row r="254" spans="9:12">
      <c r="I254" s="17"/>
      <c r="J254" s="47"/>
    </row>
    <row r="255" spans="9:12">
      <c r="I255" s="17"/>
      <c r="J255" s="47"/>
    </row>
    <row r="256" spans="9:12">
      <c r="I256" s="17"/>
      <c r="J256" s="47"/>
    </row>
    <row r="257" spans="9:10">
      <c r="I257" s="17"/>
      <c r="J257" s="47"/>
    </row>
    <row r="258" spans="9:10">
      <c r="I258" s="17"/>
      <c r="J258" s="47"/>
    </row>
    <row r="259" spans="9:10">
      <c r="I259" s="17"/>
      <c r="J259" s="47"/>
    </row>
    <row r="260" spans="9:10">
      <c r="I260" s="17"/>
      <c r="J260" s="47"/>
    </row>
    <row r="261" spans="9:10">
      <c r="I261" s="17"/>
      <c r="J261" s="47"/>
    </row>
    <row r="262" spans="9:10">
      <c r="I262" s="17"/>
      <c r="J262" s="47"/>
    </row>
    <row r="263" spans="9:10">
      <c r="I263" s="17"/>
      <c r="J263" s="47"/>
    </row>
    <row r="264" spans="9:10">
      <c r="I264" s="17"/>
      <c r="J264" s="47"/>
    </row>
    <row r="265" spans="9:10">
      <c r="I265" s="17"/>
      <c r="J265" s="47"/>
    </row>
    <row r="266" spans="9:10">
      <c r="I266" s="17"/>
      <c r="J266" s="47"/>
    </row>
    <row r="267" spans="9:10">
      <c r="I267" s="17"/>
      <c r="J267" s="47"/>
    </row>
    <row r="268" spans="9:10">
      <c r="I268" s="17"/>
      <c r="J268" s="47"/>
    </row>
    <row r="269" spans="9:10">
      <c r="I269" s="17"/>
      <c r="J269" s="47"/>
    </row>
    <row r="270" spans="9:10">
      <c r="I270" s="17"/>
      <c r="J270" s="47"/>
    </row>
    <row r="271" spans="9:10">
      <c r="I271" s="17"/>
      <c r="J271" s="47"/>
    </row>
    <row r="272" spans="9:10">
      <c r="I272" s="17"/>
      <c r="J272" s="47"/>
    </row>
    <row r="273" spans="9:10">
      <c r="I273" s="17"/>
      <c r="J273" s="47"/>
    </row>
    <row r="274" spans="9:10">
      <c r="I274" s="17"/>
      <c r="J274" s="47"/>
    </row>
    <row r="275" spans="9:10">
      <c r="I275" s="17"/>
      <c r="J275" s="47"/>
    </row>
    <row r="276" spans="9:10">
      <c r="I276" s="17"/>
      <c r="J276" s="47"/>
    </row>
    <row r="277" spans="9:10">
      <c r="I277" s="17"/>
      <c r="J277" s="47"/>
    </row>
    <row r="278" spans="9:10">
      <c r="I278" s="17"/>
      <c r="J278" s="47"/>
    </row>
    <row r="279" spans="9:10">
      <c r="I279" s="17"/>
      <c r="J279" s="47"/>
    </row>
    <row r="280" spans="9:10">
      <c r="I280" s="17"/>
      <c r="J280" s="47"/>
    </row>
    <row r="281" spans="9:10">
      <c r="I281" s="17"/>
      <c r="J281" s="47"/>
    </row>
    <row r="282" spans="9:10">
      <c r="I282" s="17"/>
      <c r="J282" s="47"/>
    </row>
    <row r="283" spans="9:10">
      <c r="I283" s="17"/>
      <c r="J283" s="47"/>
    </row>
    <row r="284" spans="9:10">
      <c r="I284" s="17"/>
      <c r="J284" s="47"/>
    </row>
    <row r="285" spans="9:10">
      <c r="I285" s="17"/>
      <c r="J285" s="47"/>
    </row>
    <row r="286" spans="9:10">
      <c r="I286" s="17"/>
      <c r="J286" s="47"/>
    </row>
    <row r="287" spans="9:10">
      <c r="I287" s="17"/>
      <c r="J287" s="47"/>
    </row>
    <row r="288" spans="9:10">
      <c r="I288" s="17"/>
      <c r="J288" s="47"/>
    </row>
    <row r="289" spans="9:10">
      <c r="I289" s="17"/>
      <c r="J289" s="47"/>
    </row>
    <row r="290" spans="9:10">
      <c r="I290" s="17"/>
      <c r="J290" s="47"/>
    </row>
    <row r="291" spans="9:10">
      <c r="I291" s="17"/>
      <c r="J291" s="47"/>
    </row>
    <row r="292" spans="9:10">
      <c r="I292" s="17"/>
      <c r="J292" s="47"/>
    </row>
    <row r="293" spans="9:10">
      <c r="I293" s="17"/>
      <c r="J293" s="47"/>
    </row>
    <row r="294" spans="9:10">
      <c r="I294" s="17"/>
      <c r="J294" s="47"/>
    </row>
    <row r="295" spans="9:10">
      <c r="I295" s="17"/>
      <c r="J295" s="47"/>
    </row>
    <row r="296" spans="9:10">
      <c r="I296" s="17"/>
      <c r="J296" s="47"/>
    </row>
    <row r="297" spans="9:10">
      <c r="I297" s="17"/>
      <c r="J297" s="47"/>
    </row>
    <row r="298" spans="9:10">
      <c r="I298" s="17"/>
      <c r="J298" s="47"/>
    </row>
    <row r="299" spans="9:10">
      <c r="I299" s="17"/>
      <c r="J299" s="47"/>
    </row>
    <row r="300" spans="9:10">
      <c r="I300" s="17"/>
      <c r="J300" s="47"/>
    </row>
    <row r="301" spans="9:10">
      <c r="I301" s="17"/>
      <c r="J301" s="47"/>
    </row>
    <row r="302" spans="9:10">
      <c r="I302" s="17"/>
      <c r="J302" s="47"/>
    </row>
    <row r="303" spans="9:10">
      <c r="I303" s="17"/>
      <c r="J303" s="47"/>
    </row>
    <row r="304" spans="9:10">
      <c r="I304" s="17"/>
      <c r="J304" s="47"/>
    </row>
    <row r="305" spans="9:10">
      <c r="I305" s="17"/>
      <c r="J305" s="47"/>
    </row>
    <row r="306" spans="9:10">
      <c r="I306" s="17"/>
      <c r="J306" s="47"/>
    </row>
    <row r="307" spans="9:10">
      <c r="I307" s="17"/>
      <c r="J307" s="47"/>
    </row>
    <row r="308" spans="9:10">
      <c r="I308" s="17"/>
      <c r="J308" s="47"/>
    </row>
    <row r="309" spans="9:10">
      <c r="I309" s="17"/>
      <c r="J309" s="47"/>
    </row>
    <row r="310" spans="9:10">
      <c r="I310" s="17"/>
      <c r="J310" s="47"/>
    </row>
    <row r="311" spans="9:10">
      <c r="I311" s="17"/>
      <c r="J311" s="47"/>
    </row>
    <row r="312" spans="9:10">
      <c r="I312" s="17"/>
      <c r="J312" s="47"/>
    </row>
    <row r="313" spans="9:10">
      <c r="I313" s="17"/>
      <c r="J313" s="47"/>
    </row>
    <row r="314" spans="9:10">
      <c r="I314" s="17"/>
      <c r="J314" s="47"/>
    </row>
    <row r="315" spans="9:10">
      <c r="I315" s="17"/>
      <c r="J315" s="47"/>
    </row>
    <row r="316" spans="9:10">
      <c r="I316" s="17"/>
      <c r="J316" s="47"/>
    </row>
    <row r="317" spans="9:10">
      <c r="I317" s="17"/>
      <c r="J317" s="47"/>
    </row>
    <row r="318" spans="9:10">
      <c r="I318" s="17"/>
      <c r="J318" s="47"/>
    </row>
    <row r="319" spans="9:10">
      <c r="I319" s="17"/>
      <c r="J319" s="47"/>
    </row>
    <row r="320" spans="9:10">
      <c r="I320" s="17"/>
      <c r="J320" s="47"/>
    </row>
    <row r="321" spans="9:10">
      <c r="I321" s="17"/>
      <c r="J321" s="47"/>
    </row>
    <row r="322" spans="9:10">
      <c r="I322" s="17"/>
      <c r="J322" s="47"/>
    </row>
    <row r="323" spans="9:10">
      <c r="I323" s="17"/>
      <c r="J323" s="47"/>
    </row>
    <row r="324" spans="9:10">
      <c r="I324" s="17"/>
      <c r="J324" s="47"/>
    </row>
    <row r="325" spans="9:10">
      <c r="I325" s="17"/>
      <c r="J325" s="47"/>
    </row>
    <row r="326" spans="9:10">
      <c r="I326" s="17"/>
      <c r="J326" s="47"/>
    </row>
    <row r="327" spans="9:10">
      <c r="I327" s="17"/>
      <c r="J327" s="47"/>
    </row>
    <row r="328" spans="9:10">
      <c r="I328" s="17"/>
      <c r="J328" s="47"/>
    </row>
    <row r="329" spans="9:10">
      <c r="I329" s="17"/>
      <c r="J329" s="47"/>
    </row>
    <row r="330" spans="9:10">
      <c r="I330" s="17"/>
      <c r="J330" s="47"/>
    </row>
    <row r="331" spans="9:10">
      <c r="I331" s="17"/>
      <c r="J331" s="47"/>
    </row>
    <row r="332" spans="9:10">
      <c r="I332" s="17"/>
      <c r="J332" s="47"/>
    </row>
    <row r="333" spans="9:10">
      <c r="I333" s="17"/>
      <c r="J333" s="47"/>
    </row>
    <row r="334" spans="9:10">
      <c r="I334" s="17"/>
      <c r="J334" s="47"/>
    </row>
    <row r="335" spans="9:10">
      <c r="I335" s="17"/>
      <c r="J335" s="47"/>
    </row>
    <row r="336" spans="9:10">
      <c r="I336" s="17"/>
      <c r="J336" s="47"/>
    </row>
    <row r="337" spans="9:10">
      <c r="I337" s="17"/>
      <c r="J337" s="47"/>
    </row>
    <row r="338" spans="9:10">
      <c r="I338" s="17"/>
      <c r="J338" s="47"/>
    </row>
    <row r="339" spans="9:10">
      <c r="I339" s="17"/>
      <c r="J339" s="47"/>
    </row>
    <row r="340" spans="9:10">
      <c r="I340" s="17"/>
      <c r="J340" s="47"/>
    </row>
    <row r="341" spans="9:10">
      <c r="I341" s="17"/>
      <c r="J341" s="47"/>
    </row>
    <row r="342" spans="9:10">
      <c r="I342" s="17"/>
      <c r="J342" s="47"/>
    </row>
    <row r="343" spans="9:10">
      <c r="I343" s="17"/>
      <c r="J343" s="47"/>
    </row>
    <row r="344" spans="9:10">
      <c r="I344" s="17"/>
      <c r="J344" s="47"/>
    </row>
    <row r="345" spans="9:10">
      <c r="I345" s="17"/>
      <c r="J345" s="47"/>
    </row>
    <row r="346" spans="9:10">
      <c r="I346" s="17"/>
      <c r="J346" s="47"/>
    </row>
    <row r="347" spans="9:10">
      <c r="I347" s="17"/>
      <c r="J347" s="47"/>
    </row>
    <row r="348" spans="9:10">
      <c r="I348" s="17"/>
      <c r="J348" s="47"/>
    </row>
    <row r="349" spans="9:10">
      <c r="I349" s="17"/>
      <c r="J349" s="47"/>
    </row>
    <row r="350" spans="9:10">
      <c r="I350" s="17"/>
      <c r="J350" s="47"/>
    </row>
    <row r="351" spans="9:10">
      <c r="I351" s="17"/>
      <c r="J351" s="47"/>
    </row>
    <row r="352" spans="9:10">
      <c r="I352" s="17"/>
      <c r="J352" s="47"/>
    </row>
    <row r="353" spans="9:10">
      <c r="I353" s="17"/>
      <c r="J353" s="47"/>
    </row>
    <row r="354" spans="9:10">
      <c r="I354" s="17"/>
      <c r="J354" s="47"/>
    </row>
    <row r="355" spans="9:10">
      <c r="I355" s="17"/>
      <c r="J355" s="47"/>
    </row>
    <row r="356" spans="9:10">
      <c r="I356" s="17"/>
      <c r="J356" s="47"/>
    </row>
    <row r="357" spans="9:10">
      <c r="I357" s="17"/>
      <c r="J357" s="47"/>
    </row>
    <row r="358" spans="9:10">
      <c r="I358" s="17"/>
      <c r="J358" s="47"/>
    </row>
    <row r="359" spans="9:10">
      <c r="I359" s="17"/>
      <c r="J359" s="47"/>
    </row>
    <row r="360" spans="9:10">
      <c r="I360" s="17"/>
      <c r="J360" s="47"/>
    </row>
    <row r="361" spans="9:10">
      <c r="I361" s="17"/>
      <c r="J361" s="47"/>
    </row>
    <row r="362" spans="9:10">
      <c r="I362" s="17"/>
      <c r="J362" s="47"/>
    </row>
    <row r="363" spans="9:10">
      <c r="I363" s="17"/>
      <c r="J363" s="47"/>
    </row>
    <row r="364" spans="9:10">
      <c r="I364" s="17"/>
      <c r="J364" s="47"/>
    </row>
    <row r="365" spans="9:10">
      <c r="I365" s="17"/>
      <c r="J365" s="47"/>
    </row>
    <row r="366" spans="9:10">
      <c r="I366" s="17"/>
      <c r="J366" s="47"/>
    </row>
    <row r="367" spans="9:10">
      <c r="I367" s="17"/>
      <c r="J367" s="47"/>
    </row>
    <row r="368" spans="9:10">
      <c r="I368" s="17"/>
      <c r="J368" s="47"/>
    </row>
    <row r="369" spans="9:10">
      <c r="I369" s="17"/>
      <c r="J369" s="47"/>
    </row>
    <row r="370" spans="9:10">
      <c r="I370" s="17"/>
      <c r="J370" s="47"/>
    </row>
    <row r="371" spans="9:10">
      <c r="I371" s="17"/>
      <c r="J371" s="47"/>
    </row>
    <row r="372" spans="9:10">
      <c r="I372" s="17"/>
      <c r="J372" s="47"/>
    </row>
    <row r="373" spans="9:10">
      <c r="I373" s="17"/>
      <c r="J373" s="47"/>
    </row>
    <row r="374" spans="9:10">
      <c r="I374" s="17"/>
      <c r="J374" s="47"/>
    </row>
    <row r="375" spans="9:10">
      <c r="I375" s="17"/>
      <c r="J375" s="47"/>
    </row>
    <row r="376" spans="9:10">
      <c r="I376" s="17"/>
      <c r="J376" s="47"/>
    </row>
    <row r="377" spans="9:10">
      <c r="I377" s="17"/>
      <c r="J377" s="47"/>
    </row>
    <row r="378" spans="9:10">
      <c r="I378" s="17"/>
      <c r="J378" s="47"/>
    </row>
    <row r="379" spans="9:10">
      <c r="I379" s="17"/>
      <c r="J379" s="47"/>
    </row>
    <row r="380" spans="9:10">
      <c r="I380" s="17"/>
      <c r="J380" s="47"/>
    </row>
    <row r="381" spans="9:10">
      <c r="I381" s="17"/>
      <c r="J381" s="47"/>
    </row>
    <row r="382" spans="9:10">
      <c r="I382" s="17"/>
      <c r="J382" s="47"/>
    </row>
    <row r="383" spans="9:10">
      <c r="I383" s="17"/>
      <c r="J383" s="47"/>
    </row>
  </sheetData>
  <mergeCells count="1">
    <mergeCell ref="I2:K2"/>
  </mergeCells>
  <phoneticPr fontId="2"/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8BBF9-A601-1C46-87C6-CA27E834DB51}">
  <dimension ref="A1:J30"/>
  <sheetViews>
    <sheetView tabSelected="1" zoomScale="150" zoomScaleNormal="100" workbookViewId="0">
      <selection activeCell="B7" sqref="B7"/>
    </sheetView>
  </sheetViews>
  <sheetFormatPr baseColWidth="10" defaultColWidth="10.7109375" defaultRowHeight="16"/>
  <cols>
    <col min="1" max="1" width="12.42578125" style="3" bestFit="1" customWidth="1"/>
    <col min="2" max="2" width="51.85546875" style="3" bestFit="1" customWidth="1"/>
    <col min="3" max="3" width="9.42578125" style="3" customWidth="1"/>
    <col min="4" max="4" width="7.28515625" style="3" bestFit="1" customWidth="1"/>
    <col min="5" max="5" width="57.7109375" style="3" customWidth="1"/>
    <col min="6" max="7" width="10.7109375" style="3"/>
    <col min="8" max="8" width="11.140625" style="3" bestFit="1" customWidth="1"/>
    <col min="9" max="16384" width="10.7109375" style="3"/>
  </cols>
  <sheetData>
    <row r="1" spans="1:10">
      <c r="A1" s="281" t="s">
        <v>407</v>
      </c>
      <c r="B1" s="281"/>
      <c r="C1" s="281"/>
      <c r="D1" s="281"/>
      <c r="E1" s="281"/>
      <c r="F1" s="216"/>
      <c r="G1" s="216"/>
      <c r="H1" s="216"/>
      <c r="I1" s="216"/>
      <c r="J1" s="216"/>
    </row>
    <row r="2" spans="1:10">
      <c r="A2" s="282" t="s">
        <v>304</v>
      </c>
      <c r="B2" s="282" t="s">
        <v>305</v>
      </c>
      <c r="C2" s="282" t="s">
        <v>306</v>
      </c>
      <c r="D2" s="282" t="s">
        <v>307</v>
      </c>
      <c r="E2" s="282" t="s">
        <v>308</v>
      </c>
      <c r="F2" s="216"/>
      <c r="G2" s="216"/>
      <c r="H2" s="216"/>
      <c r="I2" s="216"/>
      <c r="J2" s="216"/>
    </row>
    <row r="3" spans="1:10">
      <c r="A3" s="283" t="s">
        <v>382</v>
      </c>
      <c r="B3" s="216"/>
      <c r="C3" s="216"/>
      <c r="D3" s="216"/>
      <c r="E3" s="216"/>
      <c r="F3" s="216"/>
      <c r="G3" s="216"/>
      <c r="H3" s="216"/>
      <c r="I3" s="216"/>
      <c r="J3" s="216"/>
    </row>
    <row r="4" spans="1:10" ht="19">
      <c r="A4" s="216" t="s">
        <v>334</v>
      </c>
      <c r="B4" s="216" t="s">
        <v>309</v>
      </c>
      <c r="C4" s="220">
        <v>1.449E+21</v>
      </c>
      <c r="D4" s="284" t="s">
        <v>310</v>
      </c>
      <c r="E4" s="285" t="s">
        <v>335</v>
      </c>
      <c r="F4" s="216"/>
      <c r="G4" s="216"/>
      <c r="H4" s="216"/>
      <c r="I4" s="216"/>
      <c r="J4" s="216"/>
    </row>
    <row r="5" spans="1:10" ht="18">
      <c r="A5" s="216" t="s">
        <v>397</v>
      </c>
      <c r="B5" s="216" t="s">
        <v>311</v>
      </c>
      <c r="C5" s="220">
        <f>0.178550439962717*10^9</f>
        <v>178550439.962717</v>
      </c>
      <c r="D5" s="284" t="s">
        <v>312</v>
      </c>
      <c r="E5" s="216" t="s">
        <v>396</v>
      </c>
      <c r="F5" s="216"/>
      <c r="G5" s="223"/>
      <c r="H5" s="216"/>
      <c r="I5" s="216"/>
      <c r="J5" s="216"/>
    </row>
    <row r="6" spans="1:10" ht="36">
      <c r="A6" s="216" t="s">
        <v>336</v>
      </c>
      <c r="B6" s="216" t="s">
        <v>313</v>
      </c>
      <c r="C6" s="218">
        <f>1.8*0.6/10^6*10^9</f>
        <v>1080</v>
      </c>
      <c r="D6" s="284" t="s">
        <v>393</v>
      </c>
      <c r="E6" s="285" t="s">
        <v>394</v>
      </c>
      <c r="F6" s="216"/>
      <c r="G6" s="216"/>
      <c r="H6" s="216"/>
      <c r="I6" s="216"/>
      <c r="J6" s="216"/>
    </row>
    <row r="7" spans="1:10" ht="34">
      <c r="A7" s="216" t="s">
        <v>375</v>
      </c>
      <c r="B7" s="216" t="s">
        <v>376</v>
      </c>
      <c r="C7" s="216">
        <v>3304</v>
      </c>
      <c r="D7" s="284" t="s">
        <v>393</v>
      </c>
      <c r="E7" s="285" t="s">
        <v>395</v>
      </c>
      <c r="F7" s="216"/>
      <c r="G7" s="216"/>
      <c r="H7" s="216"/>
      <c r="I7" s="216"/>
      <c r="J7" s="216"/>
    </row>
    <row r="8" spans="1:10" ht="18">
      <c r="A8" s="216" t="s">
        <v>337</v>
      </c>
      <c r="B8" s="216" t="s">
        <v>314</v>
      </c>
      <c r="C8" s="216">
        <v>80</v>
      </c>
      <c r="D8" s="284" t="s">
        <v>393</v>
      </c>
      <c r="E8" s="216" t="s">
        <v>315</v>
      </c>
      <c r="F8" s="216"/>
      <c r="G8" s="216"/>
      <c r="H8" s="216"/>
      <c r="I8" s="216"/>
      <c r="J8" s="216"/>
    </row>
    <row r="9" spans="1:10" ht="18">
      <c r="A9" s="216" t="s">
        <v>338</v>
      </c>
      <c r="B9" s="216" t="s">
        <v>316</v>
      </c>
      <c r="C9" s="218">
        <f>C6+C7+C8</f>
        <v>4464</v>
      </c>
      <c r="D9" s="284" t="s">
        <v>393</v>
      </c>
      <c r="E9" s="216" t="s">
        <v>329</v>
      </c>
      <c r="F9" s="216"/>
      <c r="G9" s="216"/>
      <c r="H9" s="216"/>
      <c r="I9" s="216"/>
      <c r="J9" s="216"/>
    </row>
    <row r="10" spans="1:10" ht="18">
      <c r="A10" s="216" t="s">
        <v>339</v>
      </c>
      <c r="B10" s="216" t="s">
        <v>377</v>
      </c>
      <c r="C10" s="220">
        <f>80000000000/190.23</f>
        <v>420543552.54166013</v>
      </c>
      <c r="D10" s="284" t="s">
        <v>312</v>
      </c>
      <c r="E10" s="216" t="s">
        <v>317</v>
      </c>
      <c r="F10" s="216"/>
      <c r="G10" s="220"/>
      <c r="H10" s="216"/>
      <c r="I10" s="216"/>
      <c r="J10" s="216"/>
    </row>
    <row r="11" spans="1:10" ht="18">
      <c r="A11" s="216" t="s">
        <v>340</v>
      </c>
      <c r="B11" s="216" t="s">
        <v>341</v>
      </c>
      <c r="C11" s="221">
        <v>1.4</v>
      </c>
      <c r="D11" s="216"/>
      <c r="E11" s="216" t="s">
        <v>315</v>
      </c>
      <c r="F11" s="216"/>
      <c r="G11" s="218"/>
      <c r="H11" s="216"/>
      <c r="I11" s="216"/>
      <c r="J11" s="216"/>
    </row>
    <row r="12" spans="1:10" ht="18">
      <c r="A12" s="216" t="s">
        <v>378</v>
      </c>
      <c r="B12" s="216" t="s">
        <v>379</v>
      </c>
      <c r="C12" s="216">
        <v>0.127</v>
      </c>
      <c r="D12" s="216"/>
      <c r="E12" s="216" t="s">
        <v>315</v>
      </c>
      <c r="F12" s="216"/>
      <c r="G12" s="216"/>
      <c r="H12" s="216"/>
      <c r="I12" s="216"/>
      <c r="J12" s="216"/>
    </row>
    <row r="13" spans="1:10" ht="18">
      <c r="A13" s="216" t="s">
        <v>380</v>
      </c>
      <c r="B13" s="286" t="s">
        <v>381</v>
      </c>
      <c r="C13" s="216">
        <v>0.127</v>
      </c>
      <c r="D13" s="216"/>
      <c r="E13" s="216" t="s">
        <v>315</v>
      </c>
      <c r="F13" s="216"/>
      <c r="G13" s="216"/>
      <c r="H13" s="216"/>
      <c r="I13" s="216"/>
      <c r="J13" s="216"/>
    </row>
    <row r="14" spans="1:10" ht="18">
      <c r="A14" s="216" t="s">
        <v>342</v>
      </c>
      <c r="B14" s="286" t="s">
        <v>343</v>
      </c>
      <c r="C14" s="216">
        <v>0.127</v>
      </c>
      <c r="D14" s="216"/>
      <c r="E14" s="216" t="s">
        <v>317</v>
      </c>
      <c r="F14" s="216"/>
      <c r="G14" s="216"/>
      <c r="H14" s="216"/>
      <c r="I14" s="216"/>
      <c r="J14" s="216"/>
    </row>
    <row r="15" spans="1:10" ht="18">
      <c r="A15" s="216" t="s">
        <v>327</v>
      </c>
      <c r="B15" s="286" t="s">
        <v>328</v>
      </c>
      <c r="C15" s="219">
        <v>0.4</v>
      </c>
      <c r="D15" s="216"/>
      <c r="E15" s="216" t="s">
        <v>318</v>
      </c>
      <c r="F15" s="216"/>
      <c r="G15" s="216"/>
      <c r="H15" s="216"/>
      <c r="I15" s="216"/>
      <c r="J15" s="216"/>
    </row>
    <row r="16" spans="1:10">
      <c r="A16" s="283" t="s">
        <v>319</v>
      </c>
      <c r="B16" s="216"/>
      <c r="C16" s="217"/>
      <c r="D16" s="216"/>
      <c r="E16" s="216"/>
      <c r="F16" s="216"/>
      <c r="G16" s="216"/>
      <c r="H16" s="216"/>
      <c r="I16" s="216"/>
      <c r="J16" s="216"/>
    </row>
    <row r="17" spans="1:10" ht="18">
      <c r="A17" s="216" t="s">
        <v>344</v>
      </c>
      <c r="B17" s="216" t="s">
        <v>320</v>
      </c>
      <c r="C17" s="220">
        <f>2400000000000000*1.035*10^3</f>
        <v>2.484E+18</v>
      </c>
      <c r="D17" s="216" t="s">
        <v>310</v>
      </c>
      <c r="E17" s="216" t="s">
        <v>345</v>
      </c>
      <c r="F17" s="216"/>
      <c r="G17" s="220"/>
      <c r="H17" s="216"/>
      <c r="I17" s="216"/>
      <c r="J17" s="216"/>
    </row>
    <row r="18" spans="1:10" ht="18">
      <c r="A18" s="216" t="s">
        <v>398</v>
      </c>
      <c r="B18" s="216" t="s">
        <v>399</v>
      </c>
      <c r="C18" s="220">
        <f>0.00029565806574145*10^9</f>
        <v>295658.06574145</v>
      </c>
      <c r="D18" s="216" t="s">
        <v>312</v>
      </c>
      <c r="E18" s="216" t="s">
        <v>396</v>
      </c>
      <c r="F18" s="216"/>
      <c r="G18" s="220"/>
      <c r="H18" s="216"/>
      <c r="I18" s="216"/>
      <c r="J18" s="216"/>
    </row>
    <row r="19" spans="1:10" s="216" customFormat="1" ht="18">
      <c r="A19" s="216" t="s">
        <v>346</v>
      </c>
      <c r="B19" s="216" t="s">
        <v>347</v>
      </c>
      <c r="C19" s="216">
        <f>C6*0.0005</f>
        <v>0.54</v>
      </c>
      <c r="D19" s="284" t="s">
        <v>393</v>
      </c>
      <c r="E19" s="216" t="s">
        <v>348</v>
      </c>
    </row>
    <row r="20" spans="1:10" s="216" customFormat="1" ht="18">
      <c r="A20" s="216" t="s">
        <v>349</v>
      </c>
      <c r="B20" s="285" t="s">
        <v>350</v>
      </c>
      <c r="C20" s="287" t="s">
        <v>351</v>
      </c>
      <c r="D20" s="284" t="s">
        <v>393</v>
      </c>
      <c r="E20" s="216" t="s">
        <v>352</v>
      </c>
      <c r="F20" s="222"/>
      <c r="G20" s="217"/>
      <c r="H20" s="218"/>
    </row>
    <row r="21" spans="1:10" ht="18">
      <c r="A21" s="216" t="s">
        <v>353</v>
      </c>
      <c r="B21" s="216" t="s">
        <v>321</v>
      </c>
      <c r="C21" s="287" t="s">
        <v>354</v>
      </c>
      <c r="D21" s="284" t="s">
        <v>393</v>
      </c>
      <c r="E21" s="216" t="s">
        <v>322</v>
      </c>
      <c r="F21" s="216"/>
      <c r="G21" s="216"/>
      <c r="H21" s="216"/>
      <c r="I21" s="216"/>
      <c r="J21" s="216"/>
    </row>
    <row r="22" spans="1:10" ht="18">
      <c r="A22" s="216" t="s">
        <v>355</v>
      </c>
      <c r="B22" s="216" t="s">
        <v>323</v>
      </c>
      <c r="C22" s="287" t="s">
        <v>356</v>
      </c>
      <c r="D22" s="284" t="s">
        <v>393</v>
      </c>
      <c r="E22" s="216" t="s">
        <v>324</v>
      </c>
      <c r="F22" s="216"/>
      <c r="G22" s="216"/>
      <c r="H22" s="216"/>
      <c r="I22" s="216"/>
      <c r="J22" s="216"/>
    </row>
    <row r="23" spans="1:10" ht="18">
      <c r="A23" s="216" t="s">
        <v>357</v>
      </c>
      <c r="B23" s="216" t="s">
        <v>325</v>
      </c>
      <c r="C23" s="288" t="s">
        <v>358</v>
      </c>
      <c r="D23" s="284" t="s">
        <v>393</v>
      </c>
      <c r="E23" s="216" t="s">
        <v>326</v>
      </c>
      <c r="F23" s="216"/>
      <c r="G23" s="216"/>
      <c r="H23" s="216"/>
      <c r="I23" s="216"/>
      <c r="J23" s="216"/>
    </row>
    <row r="24" spans="1:10" ht="18">
      <c r="A24" s="216" t="s">
        <v>359</v>
      </c>
      <c r="B24" s="216" t="s">
        <v>360</v>
      </c>
      <c r="C24" s="221">
        <v>1.4</v>
      </c>
      <c r="D24" s="216"/>
      <c r="E24" s="216" t="s">
        <v>361</v>
      </c>
      <c r="F24" s="216"/>
      <c r="G24" s="216"/>
      <c r="H24" s="216"/>
      <c r="I24" s="216"/>
      <c r="J24" s="216"/>
    </row>
    <row r="25" spans="1:10" ht="18">
      <c r="A25" s="216" t="s">
        <v>362</v>
      </c>
      <c r="B25" s="216" t="s">
        <v>363</v>
      </c>
      <c r="C25" s="216">
        <v>0.127</v>
      </c>
      <c r="D25" s="216"/>
      <c r="E25" s="216" t="s">
        <v>364</v>
      </c>
      <c r="F25" s="216"/>
      <c r="G25" s="216"/>
      <c r="H25" s="216"/>
      <c r="I25" s="216"/>
      <c r="J25" s="216"/>
    </row>
    <row r="26" spans="1:10" ht="18">
      <c r="A26" s="216" t="s">
        <v>365</v>
      </c>
      <c r="B26" s="286" t="s">
        <v>366</v>
      </c>
      <c r="C26" s="289" t="s">
        <v>367</v>
      </c>
      <c r="D26" s="216"/>
      <c r="E26" s="216" t="s">
        <v>368</v>
      </c>
      <c r="F26" s="216"/>
      <c r="G26" s="216"/>
      <c r="H26" s="216"/>
      <c r="I26" s="216"/>
      <c r="J26" s="216"/>
    </row>
    <row r="27" spans="1:10" ht="18">
      <c r="A27" s="216" t="s">
        <v>369</v>
      </c>
      <c r="B27" s="286" t="s">
        <v>370</v>
      </c>
      <c r="C27" s="216"/>
      <c r="D27" s="216"/>
      <c r="E27" s="216" t="s">
        <v>371</v>
      </c>
      <c r="F27" s="216"/>
      <c r="G27" s="216"/>
      <c r="H27" s="216"/>
      <c r="I27" s="216"/>
      <c r="J27" s="216"/>
    </row>
    <row r="28" spans="1:10" ht="18">
      <c r="A28" s="281" t="s">
        <v>372</v>
      </c>
      <c r="B28" s="290" t="s">
        <v>373</v>
      </c>
      <c r="C28" s="281"/>
      <c r="D28" s="281"/>
      <c r="E28" s="281" t="s">
        <v>374</v>
      </c>
      <c r="F28" s="216"/>
      <c r="G28" s="216"/>
      <c r="H28" s="216"/>
      <c r="I28" s="216"/>
      <c r="J28" s="216"/>
    </row>
    <row r="29" spans="1:10">
      <c r="A29" s="280"/>
    </row>
    <row r="30" spans="1:10">
      <c r="A30" s="224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Data 1</vt:lpstr>
      <vt:lpstr>Data 2</vt:lpstr>
      <vt:lpstr>Data 3</vt:lpstr>
      <vt:lpstr>Data 4</vt:lpstr>
      <vt:lpstr>Data 5</vt:lpstr>
      <vt:lpstr>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Honami Sato</dc:creator>
  <cp:lastModifiedBy>Honami Sato</cp:lastModifiedBy>
  <dcterms:created xsi:type="dcterms:W3CDTF">2021-09-13T10:14:01Z</dcterms:created>
  <dcterms:modified xsi:type="dcterms:W3CDTF">2025-02-18T09:27:31Z</dcterms:modified>
</cp:coreProperties>
</file>