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fbsaca\Downloads\"/>
    </mc:Choice>
  </mc:AlternateContent>
  <xr:revisionPtr revIDLastSave="0" documentId="13_ncr:1_{6FEE4FA4-B4EA-454E-9B90-3D45FC901881}" xr6:coauthVersionLast="47" xr6:coauthVersionMax="47" xr10:uidLastSave="{00000000-0000-0000-0000-000000000000}"/>
  <bookViews>
    <workbookView xWindow="4095" yWindow="1620" windowWidth="38700" windowHeight="18690" firstSheet="8" activeTab="8" xr2:uid="{62EC9C70-4B4E-EA46-8BF2-9062964DC77B}"/>
  </bookViews>
  <sheets>
    <sheet name="Figure 1" sheetId="5" r:id="rId1"/>
    <sheet name="Figure 2" sheetId="4" r:id="rId2"/>
    <sheet name="Figure 4" sheetId="7" r:id="rId3"/>
    <sheet name="Figure 5" sheetId="6" r:id="rId4"/>
    <sheet name="Supp.Table 1 " sheetId="2" r:id="rId5"/>
    <sheet name="Supp. Table 2" sheetId="1" r:id="rId6"/>
    <sheet name="Supp.Table 3" sheetId="3" r:id="rId7"/>
    <sheet name="Supp. Fig 1" sheetId="8" r:id="rId8"/>
    <sheet name="Supp. Fig 7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1" i="5" l="1"/>
  <c r="E212" i="5"/>
  <c r="E213" i="5"/>
  <c r="E218" i="5"/>
  <c r="E219" i="5"/>
  <c r="E220" i="5"/>
  <c r="F220" i="5" s="1"/>
  <c r="J220" i="5" s="1"/>
  <c r="E221" i="5"/>
  <c r="F221" i="5" s="1"/>
  <c r="J221" i="5" s="1"/>
  <c r="E222" i="5"/>
  <c r="F222" i="5" s="1"/>
  <c r="J222" i="5" s="1"/>
  <c r="H17" i="2"/>
  <c r="W17" i="2" s="1"/>
  <c r="G17" i="2"/>
  <c r="F17" i="2"/>
  <c r="U17" i="2" s="1"/>
  <c r="R17" i="2"/>
  <c r="X17" i="2" s="1"/>
  <c r="Q17" i="2"/>
  <c r="P17" i="2"/>
  <c r="V17" i="2" s="1"/>
  <c r="B15" i="1"/>
  <c r="D82" i="4"/>
  <c r="R9" i="2"/>
  <c r="R8" i="2"/>
  <c r="R7" i="2"/>
  <c r="X7" i="2" s="1"/>
  <c r="Q7" i="2"/>
  <c r="P7" i="2"/>
  <c r="V7" i="2" s="1"/>
  <c r="H7" i="2"/>
  <c r="W7" i="2" s="1"/>
  <c r="G7" i="2"/>
  <c r="G8" i="2"/>
  <c r="F7" i="2"/>
  <c r="U7" i="2" s="1"/>
  <c r="F218" i="5" l="1"/>
  <c r="J218" i="5" s="1"/>
  <c r="F219" i="5"/>
  <c r="J219" i="5" s="1"/>
  <c r="M218" i="5" s="1"/>
  <c r="N218" i="5" s="1"/>
  <c r="E141" i="8"/>
  <c r="E140" i="8"/>
  <c r="E139" i="8"/>
  <c r="K64" i="9"/>
  <c r="G64" i="9"/>
  <c r="I64" i="9" s="1"/>
  <c r="D64" i="9"/>
  <c r="J64" i="9" s="1"/>
  <c r="L63" i="9"/>
  <c r="H63" i="9"/>
  <c r="G63" i="9"/>
  <c r="D63" i="9"/>
  <c r="K63" i="9" s="1"/>
  <c r="M63" i="9" s="1"/>
  <c r="N63" i="9" s="1"/>
  <c r="K62" i="9"/>
  <c r="I62" i="9"/>
  <c r="G62" i="9"/>
  <c r="D62" i="9"/>
  <c r="L62" i="9" s="1"/>
  <c r="M62" i="9" s="1"/>
  <c r="N62" i="9" s="1"/>
  <c r="J61" i="9"/>
  <c r="G61" i="9"/>
  <c r="D61" i="9"/>
  <c r="I61" i="9" s="1"/>
  <c r="G60" i="9"/>
  <c r="I60" i="9" s="1"/>
  <c r="D60" i="9"/>
  <c r="J60" i="9" s="1"/>
  <c r="L59" i="9"/>
  <c r="I59" i="9"/>
  <c r="H59" i="9"/>
  <c r="G59" i="9"/>
  <c r="D59" i="9"/>
  <c r="K59" i="9" s="1"/>
  <c r="M59" i="9" s="1"/>
  <c r="N59" i="9" s="1"/>
  <c r="I58" i="9"/>
  <c r="G58" i="9"/>
  <c r="D58" i="9"/>
  <c r="L58" i="9" s="1"/>
  <c r="G57" i="9"/>
  <c r="D57" i="9"/>
  <c r="I57" i="9" s="1"/>
  <c r="G56" i="9"/>
  <c r="I56" i="9" s="1"/>
  <c r="D56" i="9"/>
  <c r="J56" i="9" s="1"/>
  <c r="L55" i="9"/>
  <c r="I55" i="9"/>
  <c r="H55" i="9"/>
  <c r="G55" i="9"/>
  <c r="D55" i="9"/>
  <c r="K55" i="9" s="1"/>
  <c r="M55" i="9" s="1"/>
  <c r="N55" i="9" s="1"/>
  <c r="M54" i="9"/>
  <c r="N54" i="9" s="1"/>
  <c r="L54" i="9"/>
  <c r="K54" i="9"/>
  <c r="J54" i="9"/>
  <c r="I54" i="9"/>
  <c r="H54" i="9"/>
  <c r="G49" i="9"/>
  <c r="H49" i="9" s="1"/>
  <c r="D49" i="9"/>
  <c r="J49" i="9" s="1"/>
  <c r="L48" i="9"/>
  <c r="I48" i="9"/>
  <c r="H48" i="9"/>
  <c r="G48" i="9"/>
  <c r="K48" i="9" s="1"/>
  <c r="M48" i="9" s="1"/>
  <c r="N48" i="9" s="1"/>
  <c r="D48" i="9"/>
  <c r="J48" i="9" s="1"/>
  <c r="I47" i="9"/>
  <c r="G47" i="9"/>
  <c r="D47" i="9"/>
  <c r="L47" i="9" s="1"/>
  <c r="G46" i="9"/>
  <c r="D46" i="9"/>
  <c r="I46" i="9" s="1"/>
  <c r="G45" i="9"/>
  <c r="L45" i="9" s="1"/>
  <c r="D45" i="9"/>
  <c r="J45" i="9" s="1"/>
  <c r="L44" i="9"/>
  <c r="I44" i="9"/>
  <c r="H44" i="9"/>
  <c r="G44" i="9"/>
  <c r="K44" i="9" s="1"/>
  <c r="M44" i="9" s="1"/>
  <c r="N44" i="9" s="1"/>
  <c r="D44" i="9"/>
  <c r="J44" i="9" s="1"/>
  <c r="I43" i="9"/>
  <c r="G43" i="9"/>
  <c r="D43" i="9"/>
  <c r="L43" i="9" s="1"/>
  <c r="G42" i="9"/>
  <c r="D42" i="9"/>
  <c r="I42" i="9" s="1"/>
  <c r="K41" i="9"/>
  <c r="G41" i="9"/>
  <c r="L41" i="9" s="1"/>
  <c r="D41" i="9"/>
  <c r="J41" i="9" s="1"/>
  <c r="L40" i="9"/>
  <c r="I40" i="9"/>
  <c r="H40" i="9"/>
  <c r="G40" i="9"/>
  <c r="K40" i="9" s="1"/>
  <c r="M40" i="9" s="1"/>
  <c r="N40" i="9" s="1"/>
  <c r="D40" i="9"/>
  <c r="J40" i="9" s="1"/>
  <c r="M39" i="9"/>
  <c r="N39" i="9" s="1"/>
  <c r="L39" i="9"/>
  <c r="K39" i="9"/>
  <c r="J39" i="9"/>
  <c r="I39" i="9"/>
  <c r="H39" i="9"/>
  <c r="G34" i="9"/>
  <c r="H34" i="9" s="1"/>
  <c r="D34" i="9"/>
  <c r="J34" i="9" s="1"/>
  <c r="L33" i="9"/>
  <c r="I33" i="9"/>
  <c r="H33" i="9"/>
  <c r="G33" i="9"/>
  <c r="K33" i="9" s="1"/>
  <c r="M33" i="9" s="1"/>
  <c r="N33" i="9" s="1"/>
  <c r="D33" i="9"/>
  <c r="J33" i="9" s="1"/>
  <c r="I32" i="9"/>
  <c r="G32" i="9"/>
  <c r="D32" i="9"/>
  <c r="L32" i="9" s="1"/>
  <c r="G31" i="9"/>
  <c r="D31" i="9"/>
  <c r="I31" i="9" s="1"/>
  <c r="G30" i="9"/>
  <c r="L30" i="9" s="1"/>
  <c r="D30" i="9"/>
  <c r="J30" i="9" s="1"/>
  <c r="L29" i="9"/>
  <c r="I29" i="9"/>
  <c r="H29" i="9"/>
  <c r="G29" i="9"/>
  <c r="D29" i="9"/>
  <c r="K29" i="9" s="1"/>
  <c r="M29" i="9" s="1"/>
  <c r="N29" i="9" s="1"/>
  <c r="I28" i="9"/>
  <c r="G28" i="9"/>
  <c r="D28" i="9"/>
  <c r="L28" i="9" s="1"/>
  <c r="G27" i="9"/>
  <c r="D27" i="9"/>
  <c r="I27" i="9" s="1"/>
  <c r="G26" i="9"/>
  <c r="H26" i="9" s="1"/>
  <c r="D26" i="9"/>
  <c r="J26" i="9" s="1"/>
  <c r="L25" i="9"/>
  <c r="I25" i="9"/>
  <c r="H25" i="9"/>
  <c r="G25" i="9"/>
  <c r="D25" i="9"/>
  <c r="K25" i="9" s="1"/>
  <c r="M25" i="9" s="1"/>
  <c r="N25" i="9" s="1"/>
  <c r="M24" i="9"/>
  <c r="N24" i="9" s="1"/>
  <c r="L24" i="9"/>
  <c r="K24" i="9"/>
  <c r="J24" i="9"/>
  <c r="I24" i="9"/>
  <c r="H24" i="9"/>
  <c r="H9" i="9"/>
  <c r="I9" i="9"/>
  <c r="J9" i="9"/>
  <c r="K9" i="9"/>
  <c r="M9" i="9" s="1"/>
  <c r="N9" i="9" s="1"/>
  <c r="L9" i="9"/>
  <c r="D10" i="9"/>
  <c r="K10" i="9" s="1"/>
  <c r="G10" i="9"/>
  <c r="J10" i="9"/>
  <c r="D11" i="9"/>
  <c r="G11" i="9"/>
  <c r="H11" i="9"/>
  <c r="I11" i="9"/>
  <c r="J11" i="9"/>
  <c r="K11" i="9"/>
  <c r="L11" i="9"/>
  <c r="M11" i="9"/>
  <c r="N11" i="9" s="1"/>
  <c r="D12" i="9"/>
  <c r="G12" i="9"/>
  <c r="J12" i="9" s="1"/>
  <c r="H12" i="9"/>
  <c r="I12" i="9"/>
  <c r="K12" i="9"/>
  <c r="L12" i="9"/>
  <c r="M12" i="9" s="1"/>
  <c r="N12" i="9" s="1"/>
  <c r="D13" i="9"/>
  <c r="I13" i="9" s="1"/>
  <c r="G13" i="9"/>
  <c r="H13" i="9" s="1"/>
  <c r="K13" i="9"/>
  <c r="D14" i="9"/>
  <c r="K14" i="9" s="1"/>
  <c r="G14" i="9"/>
  <c r="J14" i="9"/>
  <c r="D15" i="9"/>
  <c r="K15" i="9" s="1"/>
  <c r="G15" i="9"/>
  <c r="I15" i="9"/>
  <c r="J15" i="9"/>
  <c r="D16" i="9"/>
  <c r="G16" i="9"/>
  <c r="H16" i="9"/>
  <c r="I16" i="9"/>
  <c r="J16" i="9"/>
  <c r="K16" i="9"/>
  <c r="L16" i="9"/>
  <c r="M16" i="9" s="1"/>
  <c r="N16" i="9" s="1"/>
  <c r="D17" i="9"/>
  <c r="G17" i="9"/>
  <c r="H17" i="9" s="1"/>
  <c r="K17" i="9"/>
  <c r="D18" i="9"/>
  <c r="K18" i="9" s="1"/>
  <c r="G18" i="9"/>
  <c r="J18" i="9"/>
  <c r="G19" i="9"/>
  <c r="H19" i="9" s="1"/>
  <c r="D19" i="9"/>
  <c r="J19" i="9" s="1"/>
  <c r="L218" i="5" l="1"/>
  <c r="K56" i="9"/>
  <c r="H56" i="9"/>
  <c r="L56" i="9"/>
  <c r="K57" i="9"/>
  <c r="J58" i="9"/>
  <c r="H60" i="9"/>
  <c r="L60" i="9"/>
  <c r="K61" i="9"/>
  <c r="J62" i="9"/>
  <c r="I63" i="9"/>
  <c r="H64" i="9"/>
  <c r="L64" i="9"/>
  <c r="M64" i="9" s="1"/>
  <c r="N64" i="9" s="1"/>
  <c r="J57" i="9"/>
  <c r="H57" i="9"/>
  <c r="J59" i="9"/>
  <c r="H61" i="9"/>
  <c r="L61" i="9"/>
  <c r="J63" i="9"/>
  <c r="K60" i="9"/>
  <c r="M60" i="9" s="1"/>
  <c r="N60" i="9" s="1"/>
  <c r="J55" i="9"/>
  <c r="L57" i="9"/>
  <c r="K58" i="9"/>
  <c r="M58" i="9" s="1"/>
  <c r="N58" i="9" s="1"/>
  <c r="H58" i="9"/>
  <c r="H62" i="9"/>
  <c r="M41" i="9"/>
  <c r="N41" i="9" s="1"/>
  <c r="K45" i="9"/>
  <c r="M45" i="9" s="1"/>
  <c r="N45" i="9" s="1"/>
  <c r="J46" i="9"/>
  <c r="K49" i="9"/>
  <c r="M49" i="9" s="1"/>
  <c r="N49" i="9" s="1"/>
  <c r="K42" i="9"/>
  <c r="L49" i="9"/>
  <c r="H41" i="9"/>
  <c r="H45" i="9"/>
  <c r="I41" i="9"/>
  <c r="H42" i="9"/>
  <c r="L42" i="9"/>
  <c r="K43" i="9"/>
  <c r="M43" i="9" s="1"/>
  <c r="N43" i="9" s="1"/>
  <c r="I45" i="9"/>
  <c r="H46" i="9"/>
  <c r="L46" i="9"/>
  <c r="K47" i="9"/>
  <c r="M47" i="9" s="1"/>
  <c r="N47" i="9" s="1"/>
  <c r="I49" i="9"/>
  <c r="J42" i="9"/>
  <c r="J43" i="9"/>
  <c r="K46" i="9"/>
  <c r="M46" i="9" s="1"/>
  <c r="N46" i="9" s="1"/>
  <c r="J47" i="9"/>
  <c r="H43" i="9"/>
  <c r="H47" i="9"/>
  <c r="K26" i="9"/>
  <c r="K30" i="9"/>
  <c r="M30" i="9" s="1"/>
  <c r="N30" i="9" s="1"/>
  <c r="J31" i="9"/>
  <c r="K34" i="9"/>
  <c r="L26" i="9"/>
  <c r="L34" i="9"/>
  <c r="J27" i="9"/>
  <c r="H30" i="9"/>
  <c r="J25" i="9"/>
  <c r="I26" i="9"/>
  <c r="H27" i="9"/>
  <c r="L27" i="9"/>
  <c r="K28" i="9"/>
  <c r="M28" i="9" s="1"/>
  <c r="N28" i="9" s="1"/>
  <c r="J29" i="9"/>
  <c r="I30" i="9"/>
  <c r="H31" i="9"/>
  <c r="L31" i="9"/>
  <c r="K32" i="9"/>
  <c r="M32" i="9" s="1"/>
  <c r="N32" i="9" s="1"/>
  <c r="I34" i="9"/>
  <c r="K27" i="9"/>
  <c r="M27" i="9" s="1"/>
  <c r="N27" i="9" s="1"/>
  <c r="J28" i="9"/>
  <c r="K31" i="9"/>
  <c r="M31" i="9" s="1"/>
  <c r="N31" i="9" s="1"/>
  <c r="J32" i="9"/>
  <c r="H28" i="9"/>
  <c r="H32" i="9"/>
  <c r="M18" i="9"/>
  <c r="N18" i="9" s="1"/>
  <c r="M14" i="9"/>
  <c r="N14" i="9" s="1"/>
  <c r="I18" i="9"/>
  <c r="J17" i="9"/>
  <c r="L15" i="9"/>
  <c r="M15" i="9" s="1"/>
  <c r="N15" i="9" s="1"/>
  <c r="H15" i="9"/>
  <c r="I14" i="9"/>
  <c r="J13" i="9"/>
  <c r="I10" i="9"/>
  <c r="L18" i="9"/>
  <c r="H18" i="9"/>
  <c r="I17" i="9"/>
  <c r="L14" i="9"/>
  <c r="H14" i="9"/>
  <c r="L10" i="9"/>
  <c r="M10" i="9" s="1"/>
  <c r="N10" i="9" s="1"/>
  <c r="H10" i="9"/>
  <c r="L17" i="9"/>
  <c r="M17" i="9" s="1"/>
  <c r="N17" i="9" s="1"/>
  <c r="L13" i="9"/>
  <c r="M13" i="9" s="1"/>
  <c r="N13" i="9" s="1"/>
  <c r="K19" i="9"/>
  <c r="L19" i="9"/>
  <c r="I19" i="9"/>
  <c r="M56" i="9" l="1"/>
  <c r="N56" i="9" s="1"/>
  <c r="M61" i="9"/>
  <c r="N61" i="9" s="1"/>
  <c r="M57" i="9"/>
  <c r="N57" i="9" s="1"/>
  <c r="M42" i="9"/>
  <c r="N42" i="9" s="1"/>
  <c r="M34" i="9"/>
  <c r="N34" i="9" s="1"/>
  <c r="M26" i="9"/>
  <c r="N26" i="9" s="1"/>
  <c r="M19" i="9"/>
  <c r="N19" i="9" s="1"/>
  <c r="E134" i="8"/>
  <c r="E133" i="8"/>
  <c r="E132" i="8"/>
  <c r="E124" i="8"/>
  <c r="E123" i="8"/>
  <c r="E122" i="8"/>
  <c r="E117" i="8"/>
  <c r="G49" i="6"/>
  <c r="D49" i="6"/>
  <c r="J49" i="6" s="1"/>
  <c r="G48" i="6"/>
  <c r="K48" i="6" s="1"/>
  <c r="D48" i="6"/>
  <c r="G47" i="6"/>
  <c r="H47" i="6" s="1"/>
  <c r="D47" i="6"/>
  <c r="G46" i="6"/>
  <c r="D46" i="6"/>
  <c r="G45" i="6"/>
  <c r="D45" i="6"/>
  <c r="G44" i="6"/>
  <c r="H44" i="6" s="1"/>
  <c r="D44" i="6"/>
  <c r="G43" i="6"/>
  <c r="D43" i="6"/>
  <c r="J43" i="6" s="1"/>
  <c r="G42" i="6"/>
  <c r="D42" i="6"/>
  <c r="G41" i="6"/>
  <c r="D41" i="6"/>
  <c r="J41" i="6" s="1"/>
  <c r="G40" i="6"/>
  <c r="D40" i="6"/>
  <c r="L39" i="6"/>
  <c r="K39" i="6"/>
  <c r="M39" i="6" s="1"/>
  <c r="N39" i="6" s="1"/>
  <c r="J39" i="6"/>
  <c r="I39" i="6"/>
  <c r="H39" i="6"/>
  <c r="G79" i="6"/>
  <c r="D79" i="6"/>
  <c r="G78" i="6"/>
  <c r="D78" i="6"/>
  <c r="G77" i="6"/>
  <c r="D77" i="6"/>
  <c r="G76" i="6"/>
  <c r="D76" i="6"/>
  <c r="G75" i="6"/>
  <c r="D75" i="6"/>
  <c r="G74" i="6"/>
  <c r="D74" i="6"/>
  <c r="H74" i="6" s="1"/>
  <c r="G73" i="6"/>
  <c r="D73" i="6"/>
  <c r="G72" i="6"/>
  <c r="D72" i="6"/>
  <c r="G71" i="6"/>
  <c r="D71" i="6"/>
  <c r="G70" i="6"/>
  <c r="D70" i="6"/>
  <c r="L69" i="6"/>
  <c r="K69" i="6"/>
  <c r="J69" i="6"/>
  <c r="I69" i="6"/>
  <c r="H69" i="6"/>
  <c r="G64" i="6"/>
  <c r="D64" i="6"/>
  <c r="G63" i="6"/>
  <c r="D63" i="6"/>
  <c r="G62" i="6"/>
  <c r="D62" i="6"/>
  <c r="G61" i="6"/>
  <c r="D61" i="6"/>
  <c r="G60" i="6"/>
  <c r="D60" i="6"/>
  <c r="G59" i="6"/>
  <c r="D59" i="6"/>
  <c r="G58" i="6"/>
  <c r="D58" i="6"/>
  <c r="G57" i="6"/>
  <c r="D57" i="6"/>
  <c r="G56" i="6"/>
  <c r="D56" i="6"/>
  <c r="G55" i="6"/>
  <c r="D55" i="6"/>
  <c r="L54" i="6"/>
  <c r="K54" i="6"/>
  <c r="M54" i="6" s="1"/>
  <c r="N54" i="6" s="1"/>
  <c r="J54" i="6"/>
  <c r="I54" i="6"/>
  <c r="H54" i="6"/>
  <c r="G34" i="6"/>
  <c r="D34" i="6"/>
  <c r="J34" i="6" s="1"/>
  <c r="G33" i="6"/>
  <c r="D33" i="6"/>
  <c r="G32" i="6"/>
  <c r="D32" i="6"/>
  <c r="L32" i="6" s="1"/>
  <c r="G31" i="6"/>
  <c r="D31" i="6"/>
  <c r="G30" i="6"/>
  <c r="D30" i="6"/>
  <c r="G29" i="6"/>
  <c r="D29" i="6"/>
  <c r="K29" i="6" s="1"/>
  <c r="G28" i="6"/>
  <c r="D28" i="6"/>
  <c r="G27" i="6"/>
  <c r="D27" i="6"/>
  <c r="G26" i="6"/>
  <c r="D26" i="6"/>
  <c r="G25" i="6"/>
  <c r="D25" i="6"/>
  <c r="K25" i="6" s="1"/>
  <c r="L24" i="6"/>
  <c r="K24" i="6"/>
  <c r="M24" i="6" s="1"/>
  <c r="N24" i="6" s="1"/>
  <c r="J24" i="6"/>
  <c r="I24" i="6"/>
  <c r="H24" i="6"/>
  <c r="G19" i="6"/>
  <c r="D19" i="6"/>
  <c r="G18" i="6"/>
  <c r="D18" i="6"/>
  <c r="I18" i="6" s="1"/>
  <c r="G17" i="6"/>
  <c r="I17" i="6" s="1"/>
  <c r="D17" i="6"/>
  <c r="G16" i="6"/>
  <c r="D16" i="6"/>
  <c r="I16" i="6" s="1"/>
  <c r="G15" i="6"/>
  <c r="D15" i="6"/>
  <c r="G14" i="6"/>
  <c r="D14" i="6"/>
  <c r="I14" i="6" s="1"/>
  <c r="G13" i="6"/>
  <c r="D13" i="6"/>
  <c r="G12" i="6"/>
  <c r="D12" i="6"/>
  <c r="G11" i="6"/>
  <c r="D11" i="6"/>
  <c r="G10" i="6"/>
  <c r="D10" i="6"/>
  <c r="L9" i="6"/>
  <c r="K9" i="6"/>
  <c r="J9" i="6"/>
  <c r="I9" i="6"/>
  <c r="H9" i="6"/>
  <c r="F124" i="8" l="1"/>
  <c r="F139" i="8"/>
  <c r="J139" i="8" s="1"/>
  <c r="F141" i="8"/>
  <c r="J141" i="8" s="1"/>
  <c r="F140" i="8"/>
  <c r="J140" i="8" s="1"/>
  <c r="F123" i="8"/>
  <c r="J123" i="8" s="1"/>
  <c r="F134" i="8"/>
  <c r="F132" i="8"/>
  <c r="J132" i="8" s="1"/>
  <c r="J134" i="8"/>
  <c r="J124" i="8"/>
  <c r="F122" i="8"/>
  <c r="J122" i="8" s="1"/>
  <c r="F133" i="8"/>
  <c r="J133" i="8" s="1"/>
  <c r="K70" i="6"/>
  <c r="H48" i="6"/>
  <c r="I10" i="6"/>
  <c r="K60" i="6"/>
  <c r="K64" i="6"/>
  <c r="K76" i="6"/>
  <c r="K78" i="6"/>
  <c r="L44" i="6"/>
  <c r="I47" i="6"/>
  <c r="J11" i="6"/>
  <c r="H55" i="6"/>
  <c r="H59" i="6"/>
  <c r="H63" i="6"/>
  <c r="L75" i="6"/>
  <c r="L77" i="6"/>
  <c r="J79" i="6"/>
  <c r="J40" i="6"/>
  <c r="J44" i="6"/>
  <c r="J45" i="6"/>
  <c r="J47" i="6"/>
  <c r="M69" i="6"/>
  <c r="N69" i="6" s="1"/>
  <c r="J71" i="6"/>
  <c r="L73" i="6"/>
  <c r="L40" i="6"/>
  <c r="I43" i="6"/>
  <c r="I46" i="6"/>
  <c r="I28" i="6"/>
  <c r="L43" i="6"/>
  <c r="L26" i="6"/>
  <c r="M9" i="6"/>
  <c r="N9" i="6" s="1"/>
  <c r="L13" i="6"/>
  <c r="I55" i="6"/>
  <c r="K40" i="6"/>
  <c r="K41" i="6"/>
  <c r="K43" i="6"/>
  <c r="L47" i="6"/>
  <c r="J19" i="6"/>
  <c r="I58" i="6"/>
  <c r="K74" i="6"/>
  <c r="H40" i="6"/>
  <c r="I42" i="6"/>
  <c r="H43" i="6"/>
  <c r="K44" i="6"/>
  <c r="K45" i="6"/>
  <c r="K47" i="6"/>
  <c r="J48" i="6"/>
  <c r="H30" i="6"/>
  <c r="J42" i="6"/>
  <c r="J46" i="6"/>
  <c r="L48" i="6"/>
  <c r="M48" i="6" s="1"/>
  <c r="N48" i="6" s="1"/>
  <c r="K49" i="6"/>
  <c r="H25" i="6"/>
  <c r="I32" i="6"/>
  <c r="H34" i="6"/>
  <c r="I56" i="6"/>
  <c r="I40" i="6"/>
  <c r="H41" i="6"/>
  <c r="L41" i="6"/>
  <c r="M41" i="6" s="1"/>
  <c r="N41" i="6" s="1"/>
  <c r="K42" i="6"/>
  <c r="I44" i="6"/>
  <c r="H45" i="6"/>
  <c r="L45" i="6"/>
  <c r="K46" i="6"/>
  <c r="I48" i="6"/>
  <c r="H49" i="6"/>
  <c r="L49" i="6"/>
  <c r="I12" i="6"/>
  <c r="I13" i="6"/>
  <c r="J15" i="6"/>
  <c r="L17" i="6"/>
  <c r="H29" i="6"/>
  <c r="J33" i="6"/>
  <c r="I57" i="6"/>
  <c r="I70" i="6"/>
  <c r="K75" i="6"/>
  <c r="M75" i="6" s="1"/>
  <c r="N75" i="6" s="1"/>
  <c r="I41" i="6"/>
  <c r="H42" i="6"/>
  <c r="L42" i="6"/>
  <c r="I45" i="6"/>
  <c r="H46" i="6"/>
  <c r="L46" i="6"/>
  <c r="I49" i="6"/>
  <c r="I78" i="6"/>
  <c r="H33" i="6"/>
  <c r="J56" i="6"/>
  <c r="L58" i="6"/>
  <c r="K59" i="6"/>
  <c r="L59" i="6"/>
  <c r="K63" i="6"/>
  <c r="L63" i="6"/>
  <c r="I72" i="6"/>
  <c r="J74" i="6"/>
  <c r="L74" i="6"/>
  <c r="K10" i="6"/>
  <c r="L10" i="6"/>
  <c r="K14" i="6"/>
  <c r="L14" i="6"/>
  <c r="K18" i="6"/>
  <c r="L18" i="6"/>
  <c r="I25" i="6"/>
  <c r="I27" i="6"/>
  <c r="I29" i="6"/>
  <c r="I31" i="6"/>
  <c r="I33" i="6"/>
  <c r="J60" i="6"/>
  <c r="L62" i="6"/>
  <c r="J64" i="6"/>
  <c r="J70" i="6"/>
  <c r="L70" i="6"/>
  <c r="M70" i="6" s="1"/>
  <c r="N70" i="6" s="1"/>
  <c r="J75" i="6"/>
  <c r="I76" i="6"/>
  <c r="J78" i="6"/>
  <c r="L78" i="6"/>
  <c r="L25" i="6"/>
  <c r="M25" i="6" s="1"/>
  <c r="N25" i="6" s="1"/>
  <c r="L29" i="6"/>
  <c r="M29" i="6" s="1"/>
  <c r="N29" i="6" s="1"/>
  <c r="L33" i="6"/>
  <c r="M78" i="6"/>
  <c r="N78" i="6" s="1"/>
  <c r="H10" i="6"/>
  <c r="I11" i="6"/>
  <c r="H14" i="6"/>
  <c r="I15" i="6"/>
  <c r="H18" i="6"/>
  <c r="I19" i="6"/>
  <c r="J26" i="6"/>
  <c r="L28" i="6"/>
  <c r="J30" i="6"/>
  <c r="K33" i="6"/>
  <c r="M33" i="6" s="1"/>
  <c r="N33" i="6" s="1"/>
  <c r="K55" i="6"/>
  <c r="L55" i="6"/>
  <c r="J58" i="6"/>
  <c r="I59" i="6"/>
  <c r="I61" i="6"/>
  <c r="I62" i="6"/>
  <c r="I63" i="6"/>
  <c r="H70" i="6"/>
  <c r="H71" i="6"/>
  <c r="I74" i="6"/>
  <c r="H75" i="6"/>
  <c r="H78" i="6"/>
  <c r="L79" i="6"/>
  <c r="K71" i="6"/>
  <c r="J72" i="6"/>
  <c r="I73" i="6"/>
  <c r="J76" i="6"/>
  <c r="I77" i="6"/>
  <c r="K79" i="6"/>
  <c r="J77" i="6"/>
  <c r="H79" i="6"/>
  <c r="L71" i="6"/>
  <c r="J73" i="6"/>
  <c r="I71" i="6"/>
  <c r="H72" i="6"/>
  <c r="L72" i="6"/>
  <c r="K73" i="6"/>
  <c r="I75" i="6"/>
  <c r="H76" i="6"/>
  <c r="L76" i="6"/>
  <c r="M76" i="6" s="1"/>
  <c r="N76" i="6" s="1"/>
  <c r="K77" i="6"/>
  <c r="M77" i="6" s="1"/>
  <c r="N77" i="6" s="1"/>
  <c r="I79" i="6"/>
  <c r="K72" i="6"/>
  <c r="H73" i="6"/>
  <c r="H77" i="6"/>
  <c r="J57" i="6"/>
  <c r="J61" i="6"/>
  <c r="L56" i="6"/>
  <c r="K57" i="6"/>
  <c r="H60" i="6"/>
  <c r="L60" i="6"/>
  <c r="K61" i="6"/>
  <c r="J62" i="6"/>
  <c r="H64" i="6"/>
  <c r="L64" i="6"/>
  <c r="M64" i="6" s="1"/>
  <c r="N64" i="6" s="1"/>
  <c r="H56" i="6"/>
  <c r="I60" i="6"/>
  <c r="L61" i="6"/>
  <c r="K62" i="6"/>
  <c r="M62" i="6" s="1"/>
  <c r="N62" i="6" s="1"/>
  <c r="J63" i="6"/>
  <c r="I64" i="6"/>
  <c r="K56" i="6"/>
  <c r="J55" i="6"/>
  <c r="H57" i="6"/>
  <c r="L57" i="6"/>
  <c r="K58" i="6"/>
  <c r="J59" i="6"/>
  <c r="H61" i="6"/>
  <c r="H58" i="6"/>
  <c r="H62" i="6"/>
  <c r="K30" i="6"/>
  <c r="J31" i="6"/>
  <c r="K34" i="6"/>
  <c r="L34" i="6"/>
  <c r="J27" i="6"/>
  <c r="H26" i="6"/>
  <c r="K27" i="6"/>
  <c r="J28" i="6"/>
  <c r="L30" i="6"/>
  <c r="K31" i="6"/>
  <c r="J32" i="6"/>
  <c r="J25" i="6"/>
  <c r="I26" i="6"/>
  <c r="H27" i="6"/>
  <c r="L27" i="6"/>
  <c r="K28" i="6"/>
  <c r="J29" i="6"/>
  <c r="I30" i="6"/>
  <c r="H31" i="6"/>
  <c r="L31" i="6"/>
  <c r="K32" i="6"/>
  <c r="M32" i="6" s="1"/>
  <c r="N32" i="6" s="1"/>
  <c r="I34" i="6"/>
  <c r="K26" i="6"/>
  <c r="M26" i="6" s="1"/>
  <c r="N26" i="6" s="1"/>
  <c r="H28" i="6"/>
  <c r="H32" i="6"/>
  <c r="K11" i="6"/>
  <c r="J12" i="6"/>
  <c r="K15" i="6"/>
  <c r="J16" i="6"/>
  <c r="K19" i="6"/>
  <c r="H11" i="6"/>
  <c r="L11" i="6"/>
  <c r="K12" i="6"/>
  <c r="J13" i="6"/>
  <c r="H15" i="6"/>
  <c r="L15" i="6"/>
  <c r="K16" i="6"/>
  <c r="J17" i="6"/>
  <c r="H19" i="6"/>
  <c r="L19" i="6"/>
  <c r="J10" i="6"/>
  <c r="H12" i="6"/>
  <c r="L12" i="6"/>
  <c r="K13" i="6"/>
  <c r="J14" i="6"/>
  <c r="H16" i="6"/>
  <c r="L16" i="6"/>
  <c r="K17" i="6"/>
  <c r="J18" i="6"/>
  <c r="H13" i="6"/>
  <c r="H17" i="6"/>
  <c r="M139" i="8" l="1"/>
  <c r="N139" i="8" s="1"/>
  <c r="L139" i="8"/>
  <c r="M132" i="8"/>
  <c r="N132" i="8" s="1"/>
  <c r="L132" i="8"/>
  <c r="L122" i="8"/>
  <c r="M122" i="8"/>
  <c r="N122" i="8" s="1"/>
  <c r="M44" i="6"/>
  <c r="N44" i="6" s="1"/>
  <c r="M60" i="6"/>
  <c r="N60" i="6" s="1"/>
  <c r="M43" i="6"/>
  <c r="N43" i="6" s="1"/>
  <c r="M17" i="6"/>
  <c r="N17" i="6" s="1"/>
  <c r="M58" i="6"/>
  <c r="N58" i="6" s="1"/>
  <c r="M74" i="6"/>
  <c r="N74" i="6" s="1"/>
  <c r="M63" i="6"/>
  <c r="N63" i="6" s="1"/>
  <c r="M45" i="6"/>
  <c r="N45" i="6" s="1"/>
  <c r="M13" i="6"/>
  <c r="N13" i="6" s="1"/>
  <c r="M73" i="6"/>
  <c r="N73" i="6" s="1"/>
  <c r="M47" i="6"/>
  <c r="N47" i="6" s="1"/>
  <c r="M40" i="6"/>
  <c r="N40" i="6" s="1"/>
  <c r="M55" i="6"/>
  <c r="N55" i="6" s="1"/>
  <c r="M59" i="6"/>
  <c r="N59" i="6" s="1"/>
  <c r="M46" i="6"/>
  <c r="N46" i="6" s="1"/>
  <c r="M42" i="6"/>
  <c r="N42" i="6" s="1"/>
  <c r="M49" i="6"/>
  <c r="N49" i="6" s="1"/>
  <c r="M28" i="6"/>
  <c r="N28" i="6" s="1"/>
  <c r="M56" i="6"/>
  <c r="N56" i="6" s="1"/>
  <c r="M79" i="6"/>
  <c r="N79" i="6" s="1"/>
  <c r="M18" i="6"/>
  <c r="N18" i="6" s="1"/>
  <c r="M10" i="6"/>
  <c r="N10" i="6" s="1"/>
  <c r="M14" i="6"/>
  <c r="N14" i="6" s="1"/>
  <c r="M71" i="6"/>
  <c r="N71" i="6" s="1"/>
  <c r="M72" i="6"/>
  <c r="N72" i="6" s="1"/>
  <c r="M57" i="6"/>
  <c r="N57" i="6" s="1"/>
  <c r="M61" i="6"/>
  <c r="N61" i="6" s="1"/>
  <c r="M27" i="6"/>
  <c r="N27" i="6" s="1"/>
  <c r="M34" i="6"/>
  <c r="N34" i="6" s="1"/>
  <c r="M31" i="6"/>
  <c r="N31" i="6" s="1"/>
  <c r="M30" i="6"/>
  <c r="N30" i="6" s="1"/>
  <c r="M12" i="6"/>
  <c r="N12" i="6" s="1"/>
  <c r="M16" i="6"/>
  <c r="N16" i="6" s="1"/>
  <c r="M15" i="6"/>
  <c r="N15" i="6" s="1"/>
  <c r="M19" i="6"/>
  <c r="N19" i="6" s="1"/>
  <c r="M11" i="6"/>
  <c r="N11" i="6" s="1"/>
  <c r="E136" i="7" l="1"/>
  <c r="E135" i="7"/>
  <c r="E134" i="7"/>
  <c r="E133" i="7"/>
  <c r="E132" i="7"/>
  <c r="D71" i="7"/>
  <c r="D72" i="7"/>
  <c r="C82" i="7"/>
  <c r="B82" i="7"/>
  <c r="C81" i="7"/>
  <c r="B81" i="7"/>
  <c r="E126" i="7"/>
  <c r="E125" i="7"/>
  <c r="E124" i="7"/>
  <c r="E123" i="7"/>
  <c r="E122" i="7"/>
  <c r="E115" i="7"/>
  <c r="E114" i="7"/>
  <c r="E113" i="7"/>
  <c r="E112" i="7"/>
  <c r="E111" i="7"/>
  <c r="E103" i="7"/>
  <c r="E102" i="7"/>
  <c r="F102" i="7" s="1"/>
  <c r="J102" i="7" s="1"/>
  <c r="E101" i="7"/>
  <c r="E100" i="7"/>
  <c r="E99" i="7"/>
  <c r="E94" i="7"/>
  <c r="E93" i="7"/>
  <c r="E92" i="7"/>
  <c r="E72" i="7"/>
  <c r="C72" i="7"/>
  <c r="B72" i="7"/>
  <c r="E71" i="7"/>
  <c r="C71" i="7"/>
  <c r="B71" i="7"/>
  <c r="E62" i="7"/>
  <c r="D62" i="7"/>
  <c r="C62" i="7"/>
  <c r="B62" i="7"/>
  <c r="E61" i="7"/>
  <c r="D61" i="7"/>
  <c r="C61" i="7"/>
  <c r="B61" i="7"/>
  <c r="C52" i="7"/>
  <c r="B52" i="7"/>
  <c r="C51" i="7"/>
  <c r="B51" i="7"/>
  <c r="E245" i="5"/>
  <c r="E234" i="5"/>
  <c r="E243" i="5"/>
  <c r="E244" i="5"/>
  <c r="E232" i="5"/>
  <c r="E233" i="5"/>
  <c r="E242" i="5"/>
  <c r="E241" i="5"/>
  <c r="E230" i="5"/>
  <c r="E231" i="5"/>
  <c r="E72" i="5"/>
  <c r="C72" i="5"/>
  <c r="B72" i="5"/>
  <c r="E71" i="5"/>
  <c r="C71" i="5"/>
  <c r="B71" i="5"/>
  <c r="D61" i="5"/>
  <c r="E61" i="5"/>
  <c r="D62" i="5"/>
  <c r="E62" i="5"/>
  <c r="C62" i="5"/>
  <c r="B62" i="5"/>
  <c r="C61" i="5"/>
  <c r="B61" i="5"/>
  <c r="C51" i="5"/>
  <c r="C52" i="5"/>
  <c r="B52" i="5"/>
  <c r="B51" i="5"/>
  <c r="F123" i="7" l="1"/>
  <c r="F122" i="7"/>
  <c r="F99" i="7"/>
  <c r="F115" i="7"/>
  <c r="J115" i="7" s="1"/>
  <c r="F103" i="7"/>
  <c r="J103" i="7" s="1"/>
  <c r="F124" i="7"/>
  <c r="F125" i="7"/>
  <c r="J125" i="7" s="1"/>
  <c r="F132" i="7"/>
  <c r="J132" i="7" s="1"/>
  <c r="F133" i="7"/>
  <c r="J133" i="7" s="1"/>
  <c r="F134" i="7"/>
  <c r="J134" i="7" s="1"/>
  <c r="F135" i="7"/>
  <c r="J135" i="7" s="1"/>
  <c r="F136" i="7"/>
  <c r="J136" i="7" s="1"/>
  <c r="F112" i="7"/>
  <c r="J112" i="7" s="1"/>
  <c r="J99" i="7"/>
  <c r="J122" i="7"/>
  <c r="F126" i="7"/>
  <c r="J126" i="7" s="1"/>
  <c r="F100" i="7"/>
  <c r="J100" i="7" s="1"/>
  <c r="F114" i="7"/>
  <c r="J114" i="7" s="1"/>
  <c r="J123" i="7"/>
  <c r="F113" i="7"/>
  <c r="J113" i="7" s="1"/>
  <c r="F111" i="7"/>
  <c r="J111" i="7" s="1"/>
  <c r="F101" i="7"/>
  <c r="J101" i="7" s="1"/>
  <c r="J124" i="7"/>
  <c r="F242" i="5"/>
  <c r="J242" i="5" s="1"/>
  <c r="F244" i="5"/>
  <c r="J244" i="5" s="1"/>
  <c r="F231" i="5"/>
  <c r="J231" i="5" s="1"/>
  <c r="F230" i="5"/>
  <c r="J230" i="5" s="1"/>
  <c r="F234" i="5"/>
  <c r="J234" i="5" s="1"/>
  <c r="F241" i="5"/>
  <c r="J241" i="5" s="1"/>
  <c r="F243" i="5"/>
  <c r="J243" i="5" s="1"/>
  <c r="F245" i="5"/>
  <c r="J245" i="5" s="1"/>
  <c r="F233" i="5"/>
  <c r="J233" i="5" s="1"/>
  <c r="F232" i="5"/>
  <c r="J232" i="5" s="1"/>
  <c r="L99" i="7" l="1"/>
  <c r="L132" i="7"/>
  <c r="M132" i="7"/>
  <c r="N132" i="7" s="1"/>
  <c r="M99" i="7"/>
  <c r="N99" i="7" s="1"/>
  <c r="L111" i="7"/>
  <c r="L122" i="7"/>
  <c r="M122" i="7"/>
  <c r="N122" i="7" s="1"/>
  <c r="M111" i="7"/>
  <c r="N111" i="7" s="1"/>
  <c r="L241" i="5"/>
  <c r="M241" i="5"/>
  <c r="N241" i="5" s="1"/>
  <c r="M230" i="5"/>
  <c r="N230" i="5" s="1"/>
  <c r="L230" i="5"/>
  <c r="H97" i="4" l="1"/>
  <c r="I89" i="4"/>
  <c r="H89" i="4"/>
  <c r="D97" i="4"/>
  <c r="J97" i="4" s="1"/>
  <c r="G96" i="4"/>
  <c r="K96" i="4" s="1"/>
  <c r="D96" i="4"/>
  <c r="J96" i="4" s="1"/>
  <c r="L95" i="4"/>
  <c r="H95" i="4"/>
  <c r="G95" i="4"/>
  <c r="K95" i="4" s="1"/>
  <c r="M95" i="4" s="1"/>
  <c r="N95" i="4" s="1"/>
  <c r="D95" i="4"/>
  <c r="J95" i="4" s="1"/>
  <c r="L94" i="4"/>
  <c r="I94" i="4"/>
  <c r="H94" i="4"/>
  <c r="G94" i="4"/>
  <c r="K94" i="4" s="1"/>
  <c r="M94" i="4" s="1"/>
  <c r="N94" i="4" s="1"/>
  <c r="D94" i="4"/>
  <c r="J94" i="4" s="1"/>
  <c r="J93" i="4"/>
  <c r="G93" i="4"/>
  <c r="D93" i="4"/>
  <c r="I93" i="4" s="1"/>
  <c r="G92" i="4"/>
  <c r="K92" i="4" s="1"/>
  <c r="D92" i="4"/>
  <c r="J92" i="4" s="1"/>
  <c r="L91" i="4"/>
  <c r="H91" i="4"/>
  <c r="G91" i="4"/>
  <c r="K91" i="4" s="1"/>
  <c r="M91" i="4" s="1"/>
  <c r="N91" i="4" s="1"/>
  <c r="D91" i="4"/>
  <c r="J91" i="4" s="1"/>
  <c r="L90" i="4"/>
  <c r="I90" i="4"/>
  <c r="H90" i="4"/>
  <c r="G90" i="4"/>
  <c r="K90" i="4" s="1"/>
  <c r="M90" i="4" s="1"/>
  <c r="N90" i="4" s="1"/>
  <c r="D90" i="4"/>
  <c r="J90" i="4" s="1"/>
  <c r="G89" i="4"/>
  <c r="D89" i="4"/>
  <c r="G88" i="4"/>
  <c r="K88" i="4" s="1"/>
  <c r="D88" i="4"/>
  <c r="J88" i="4" s="1"/>
  <c r="L87" i="4"/>
  <c r="K87" i="4"/>
  <c r="M87" i="4" s="1"/>
  <c r="N87" i="4" s="1"/>
  <c r="J87" i="4"/>
  <c r="I87" i="4"/>
  <c r="H87" i="4"/>
  <c r="H75" i="4"/>
  <c r="G82" i="4"/>
  <c r="K82" i="4" s="1"/>
  <c r="J82" i="4"/>
  <c r="L81" i="4"/>
  <c r="I81" i="4"/>
  <c r="H81" i="4"/>
  <c r="G81" i="4"/>
  <c r="K81" i="4" s="1"/>
  <c r="M81" i="4" s="1"/>
  <c r="N81" i="4" s="1"/>
  <c r="D81" i="4"/>
  <c r="J81" i="4" s="1"/>
  <c r="I80" i="4"/>
  <c r="G80" i="4"/>
  <c r="D80" i="4"/>
  <c r="L80" i="4" s="1"/>
  <c r="G79" i="4"/>
  <c r="D79" i="4"/>
  <c r="I79" i="4" s="1"/>
  <c r="G78" i="4"/>
  <c r="L78" i="4" s="1"/>
  <c r="D78" i="4"/>
  <c r="J78" i="4" s="1"/>
  <c r="L77" i="4"/>
  <c r="I77" i="4"/>
  <c r="H77" i="4"/>
  <c r="G77" i="4"/>
  <c r="K77" i="4" s="1"/>
  <c r="M77" i="4" s="1"/>
  <c r="N77" i="4" s="1"/>
  <c r="D77" i="4"/>
  <c r="J77" i="4" s="1"/>
  <c r="I76" i="4"/>
  <c r="G76" i="4"/>
  <c r="D76" i="4"/>
  <c r="L76" i="4" s="1"/>
  <c r="G75" i="4"/>
  <c r="D75" i="4"/>
  <c r="I75" i="4" s="1"/>
  <c r="G74" i="4"/>
  <c r="K74" i="4" s="1"/>
  <c r="D74" i="4"/>
  <c r="J74" i="4" s="1"/>
  <c r="L73" i="4"/>
  <c r="I73" i="4"/>
  <c r="H73" i="4"/>
  <c r="G73" i="4"/>
  <c r="K73" i="4" s="1"/>
  <c r="M73" i="4" s="1"/>
  <c r="N73" i="4" s="1"/>
  <c r="D73" i="4"/>
  <c r="J73" i="4" s="1"/>
  <c r="M72" i="4"/>
  <c r="N72" i="4" s="1"/>
  <c r="L72" i="4"/>
  <c r="K72" i="4"/>
  <c r="J72" i="4"/>
  <c r="I72" i="4"/>
  <c r="H72" i="4"/>
  <c r="Z58" i="4"/>
  <c r="Y58" i="4"/>
  <c r="X58" i="4"/>
  <c r="W58" i="4"/>
  <c r="V67" i="4"/>
  <c r="S67" i="4"/>
  <c r="P67" i="4"/>
  <c r="M67" i="4"/>
  <c r="J67" i="4"/>
  <c r="G67" i="4"/>
  <c r="D67" i="4"/>
  <c r="W67" i="4" s="1"/>
  <c r="V66" i="4"/>
  <c r="S66" i="4"/>
  <c r="P66" i="4"/>
  <c r="M66" i="4"/>
  <c r="J66" i="4"/>
  <c r="G66" i="4"/>
  <c r="D66" i="4"/>
  <c r="W66" i="4" s="1"/>
  <c r="V65" i="4"/>
  <c r="S65" i="4"/>
  <c r="P65" i="4"/>
  <c r="M65" i="4"/>
  <c r="J65" i="4"/>
  <c r="G65" i="4"/>
  <c r="D65" i="4"/>
  <c r="W65" i="4" s="1"/>
  <c r="V64" i="4"/>
  <c r="S64" i="4"/>
  <c r="P64" i="4"/>
  <c r="M64" i="4"/>
  <c r="J64" i="4"/>
  <c r="G64" i="4"/>
  <c r="D64" i="4"/>
  <c r="W64" i="4" s="1"/>
  <c r="V63" i="4"/>
  <c r="S63" i="4"/>
  <c r="P63" i="4"/>
  <c r="M63" i="4"/>
  <c r="J63" i="4"/>
  <c r="G63" i="4"/>
  <c r="D63" i="4"/>
  <c r="W63" i="4" s="1"/>
  <c r="V62" i="4"/>
  <c r="S62" i="4"/>
  <c r="P62" i="4"/>
  <c r="M62" i="4"/>
  <c r="J62" i="4"/>
  <c r="G62" i="4"/>
  <c r="D62" i="4"/>
  <c r="W62" i="4" s="1"/>
  <c r="V61" i="4"/>
  <c r="S61" i="4"/>
  <c r="P61" i="4"/>
  <c r="M61" i="4"/>
  <c r="J61" i="4"/>
  <c r="G61" i="4"/>
  <c r="D61" i="4"/>
  <c r="W61" i="4" s="1"/>
  <c r="V60" i="4"/>
  <c r="S60" i="4"/>
  <c r="P60" i="4"/>
  <c r="M60" i="4"/>
  <c r="J60" i="4"/>
  <c r="G60" i="4"/>
  <c r="D60" i="4"/>
  <c r="W60" i="4" s="1"/>
  <c r="V59" i="4"/>
  <c r="S59" i="4"/>
  <c r="P59" i="4"/>
  <c r="M59" i="4"/>
  <c r="J59" i="4"/>
  <c r="G59" i="4"/>
  <c r="D59" i="4"/>
  <c r="W59" i="4" s="1"/>
  <c r="V58" i="4"/>
  <c r="S58" i="4"/>
  <c r="P58" i="4"/>
  <c r="M58" i="4"/>
  <c r="J58" i="4"/>
  <c r="G58" i="4"/>
  <c r="D58" i="4"/>
  <c r="Z57" i="4"/>
  <c r="AA57" i="4" s="1"/>
  <c r="Y57" i="4"/>
  <c r="X57" i="4"/>
  <c r="W57" i="4"/>
  <c r="J89" i="4" l="1"/>
  <c r="H88" i="4"/>
  <c r="L88" i="4"/>
  <c r="M88" i="4" s="1"/>
  <c r="N88" i="4" s="1"/>
  <c r="K89" i="4"/>
  <c r="I91" i="4"/>
  <c r="H92" i="4"/>
  <c r="L92" i="4"/>
  <c r="M92" i="4" s="1"/>
  <c r="N92" i="4" s="1"/>
  <c r="K93" i="4"/>
  <c r="I95" i="4"/>
  <c r="H96" i="4"/>
  <c r="L96" i="4"/>
  <c r="M96" i="4" s="1"/>
  <c r="N96" i="4" s="1"/>
  <c r="L97" i="4"/>
  <c r="K97" i="4"/>
  <c r="I88" i="4"/>
  <c r="L89" i="4"/>
  <c r="I92" i="4"/>
  <c r="H93" i="4"/>
  <c r="L93" i="4"/>
  <c r="I96" i="4"/>
  <c r="I97" i="4"/>
  <c r="M82" i="4"/>
  <c r="N82" i="4" s="1"/>
  <c r="K78" i="4"/>
  <c r="M78" i="4" s="1"/>
  <c r="N78" i="4" s="1"/>
  <c r="J79" i="4"/>
  <c r="H74" i="4"/>
  <c r="L74" i="4"/>
  <c r="M74" i="4" s="1"/>
  <c r="N74" i="4" s="1"/>
  <c r="K75" i="4"/>
  <c r="J76" i="4"/>
  <c r="H78" i="4"/>
  <c r="K79" i="4"/>
  <c r="J80" i="4"/>
  <c r="H82" i="4"/>
  <c r="L82" i="4"/>
  <c r="I74" i="4"/>
  <c r="L75" i="4"/>
  <c r="K76" i="4"/>
  <c r="M76" i="4" s="1"/>
  <c r="N76" i="4" s="1"/>
  <c r="I78" i="4"/>
  <c r="H79" i="4"/>
  <c r="L79" i="4"/>
  <c r="K80" i="4"/>
  <c r="M80" i="4" s="1"/>
  <c r="N80" i="4" s="1"/>
  <c r="I82" i="4"/>
  <c r="J75" i="4"/>
  <c r="H76" i="4"/>
  <c r="H80" i="4"/>
  <c r="X59" i="4"/>
  <c r="X60" i="4"/>
  <c r="X61" i="4"/>
  <c r="X62" i="4"/>
  <c r="X63" i="4"/>
  <c r="Y65" i="4"/>
  <c r="AA58" i="4"/>
  <c r="Z60" i="4"/>
  <c r="AA60" i="4" s="1"/>
  <c r="Z67" i="4"/>
  <c r="AA67" i="4" s="1"/>
  <c r="X64" i="4"/>
  <c r="X65" i="4"/>
  <c r="X66" i="4"/>
  <c r="X67" i="4"/>
  <c r="Y59" i="4"/>
  <c r="Y60" i="4"/>
  <c r="Y61" i="4"/>
  <c r="Y62" i="4"/>
  <c r="Y63" i="4"/>
  <c r="Y64" i="4"/>
  <c r="Y66" i="4"/>
  <c r="Y67" i="4"/>
  <c r="Z59" i="4"/>
  <c r="AA59" i="4" s="1"/>
  <c r="Z61" i="4"/>
  <c r="AA61" i="4" s="1"/>
  <c r="Z62" i="4"/>
  <c r="AA62" i="4" s="1"/>
  <c r="Z63" i="4"/>
  <c r="AA63" i="4" s="1"/>
  <c r="Z64" i="4"/>
  <c r="AA64" i="4" s="1"/>
  <c r="Z65" i="4"/>
  <c r="AA65" i="4" s="1"/>
  <c r="Z66" i="4"/>
  <c r="AA66" i="4" s="1"/>
  <c r="M93" i="4" l="1"/>
  <c r="N93" i="4" s="1"/>
  <c r="M89" i="4"/>
  <c r="N89" i="4" s="1"/>
  <c r="M97" i="4"/>
  <c r="N97" i="4" s="1"/>
  <c r="M75" i="4"/>
  <c r="N75" i="4" s="1"/>
  <c r="M79" i="4"/>
  <c r="N79" i="4" s="1"/>
  <c r="G49" i="4" l="1"/>
  <c r="D49" i="4"/>
  <c r="J49" i="4" s="1"/>
  <c r="G48" i="4"/>
  <c r="K48" i="4" s="1"/>
  <c r="D48" i="4"/>
  <c r="G47" i="4"/>
  <c r="D47" i="4"/>
  <c r="L47" i="4" s="1"/>
  <c r="K46" i="4"/>
  <c r="G46" i="4"/>
  <c r="D46" i="4"/>
  <c r="G45" i="4"/>
  <c r="D45" i="4"/>
  <c r="J45" i="4" s="1"/>
  <c r="G44" i="4"/>
  <c r="H44" i="4" s="1"/>
  <c r="D44" i="4"/>
  <c r="G43" i="4"/>
  <c r="D43" i="4"/>
  <c r="L43" i="4" s="1"/>
  <c r="G42" i="4"/>
  <c r="D42" i="4"/>
  <c r="G41" i="4"/>
  <c r="D41" i="4"/>
  <c r="J41" i="4" s="1"/>
  <c r="G40" i="4"/>
  <c r="H40" i="4" s="1"/>
  <c r="D40" i="4"/>
  <c r="L39" i="4"/>
  <c r="K39" i="4"/>
  <c r="M39" i="4" s="1"/>
  <c r="N39" i="4" s="1"/>
  <c r="J39" i="4"/>
  <c r="I39" i="4"/>
  <c r="H39" i="4"/>
  <c r="G34" i="4"/>
  <c r="D34" i="4"/>
  <c r="G33" i="4"/>
  <c r="D33" i="4"/>
  <c r="I33" i="4" s="1"/>
  <c r="G32" i="4"/>
  <c r="D32" i="4"/>
  <c r="J32" i="4" s="1"/>
  <c r="G31" i="4"/>
  <c r="D31" i="4"/>
  <c r="G30" i="4"/>
  <c r="D30" i="4"/>
  <c r="I29" i="4"/>
  <c r="G29" i="4"/>
  <c r="D29" i="4"/>
  <c r="H29" i="4" s="1"/>
  <c r="I28" i="4"/>
  <c r="G28" i="4"/>
  <c r="D28" i="4"/>
  <c r="G27" i="4"/>
  <c r="D27" i="4"/>
  <c r="I27" i="4" s="1"/>
  <c r="G26" i="4"/>
  <c r="D26" i="4"/>
  <c r="I26" i="4" s="1"/>
  <c r="I25" i="4"/>
  <c r="H25" i="4"/>
  <c r="G25" i="4"/>
  <c r="D25" i="4"/>
  <c r="L24" i="4"/>
  <c r="M24" i="4" s="1"/>
  <c r="N24" i="4" s="1"/>
  <c r="K24" i="4"/>
  <c r="J24" i="4"/>
  <c r="I24" i="4"/>
  <c r="H24" i="4"/>
  <c r="R11" i="4"/>
  <c r="R12" i="4"/>
  <c r="R13" i="4"/>
  <c r="R14" i="4"/>
  <c r="R15" i="4"/>
  <c r="R16" i="4"/>
  <c r="R17" i="4"/>
  <c r="R18" i="4"/>
  <c r="R19" i="4"/>
  <c r="R10" i="4"/>
  <c r="Q11" i="4"/>
  <c r="S11" i="4" s="1"/>
  <c r="T11" i="4" s="1"/>
  <c r="Q12" i="4"/>
  <c r="S12" i="4" s="1"/>
  <c r="T12" i="4" s="1"/>
  <c r="Q13" i="4"/>
  <c r="Q14" i="4"/>
  <c r="Q15" i="4"/>
  <c r="S15" i="4" s="1"/>
  <c r="T15" i="4" s="1"/>
  <c r="Q16" i="4"/>
  <c r="Q17" i="4"/>
  <c r="Q18" i="4"/>
  <c r="Q19" i="4"/>
  <c r="S19" i="4" s="1"/>
  <c r="T19" i="4" s="1"/>
  <c r="Q10" i="4"/>
  <c r="S10" i="4" s="1"/>
  <c r="T10" i="4" s="1"/>
  <c r="O11" i="4"/>
  <c r="P11" i="4" s="1"/>
  <c r="O12" i="4"/>
  <c r="P12" i="4" s="1"/>
  <c r="O13" i="4"/>
  <c r="P13" i="4" s="1"/>
  <c r="O14" i="4"/>
  <c r="P14" i="4" s="1"/>
  <c r="O15" i="4"/>
  <c r="P15" i="4" s="1"/>
  <c r="O16" i="4"/>
  <c r="P16" i="4" s="1"/>
  <c r="O17" i="4"/>
  <c r="P17" i="4" s="1"/>
  <c r="O18" i="4"/>
  <c r="P18" i="4" s="1"/>
  <c r="O19" i="4"/>
  <c r="P19" i="4" s="1"/>
  <c r="O10" i="4"/>
  <c r="P10" i="4" s="1"/>
  <c r="N11" i="4"/>
  <c r="N12" i="4"/>
  <c r="N13" i="4"/>
  <c r="N14" i="4"/>
  <c r="N15" i="4"/>
  <c r="N16" i="4"/>
  <c r="N17" i="4"/>
  <c r="N18" i="4"/>
  <c r="N19" i="4"/>
  <c r="N10" i="4"/>
  <c r="M10" i="3"/>
  <c r="M11" i="3"/>
  <c r="M12" i="3"/>
  <c r="M13" i="3"/>
  <c r="M9" i="3"/>
  <c r="N9" i="3"/>
  <c r="P9" i="3"/>
  <c r="P10" i="3"/>
  <c r="Q10" i="3"/>
  <c r="P11" i="3"/>
  <c r="I9" i="3"/>
  <c r="J9" i="3"/>
  <c r="K9" i="3"/>
  <c r="I10" i="3"/>
  <c r="O10" i="3" s="1"/>
  <c r="J10" i="3"/>
  <c r="K10" i="3"/>
  <c r="I11" i="3"/>
  <c r="O11" i="3" s="1"/>
  <c r="J11" i="3"/>
  <c r="K11" i="3"/>
  <c r="Q11" i="3" s="1"/>
  <c r="D9" i="3"/>
  <c r="E9" i="3"/>
  <c r="F9" i="3"/>
  <c r="D10" i="3"/>
  <c r="N10" i="3" s="1"/>
  <c r="E10" i="3"/>
  <c r="F10" i="3"/>
  <c r="D11" i="3"/>
  <c r="N11" i="3" s="1"/>
  <c r="E11" i="3"/>
  <c r="F11" i="3"/>
  <c r="K13" i="3"/>
  <c r="Q13" i="3" s="1"/>
  <c r="J13" i="3"/>
  <c r="I13" i="3"/>
  <c r="O13" i="3" s="1"/>
  <c r="F13" i="3"/>
  <c r="P13" i="3" s="1"/>
  <c r="E13" i="3"/>
  <c r="D13" i="3"/>
  <c r="N13" i="3" s="1"/>
  <c r="K12" i="3"/>
  <c r="Q12" i="3" s="1"/>
  <c r="J12" i="3"/>
  <c r="I12" i="3"/>
  <c r="O12" i="3" s="1"/>
  <c r="F12" i="3"/>
  <c r="P12" i="3" s="1"/>
  <c r="E12" i="3"/>
  <c r="D12" i="3"/>
  <c r="N12" i="3" s="1"/>
  <c r="R18" i="2"/>
  <c r="X18" i="2" s="1"/>
  <c r="R19" i="2"/>
  <c r="X19" i="2" s="1"/>
  <c r="Q19" i="2"/>
  <c r="P19" i="2"/>
  <c r="V19" i="2" s="1"/>
  <c r="H19" i="2"/>
  <c r="W19" i="2" s="1"/>
  <c r="G19" i="2"/>
  <c r="F19" i="2"/>
  <c r="U19" i="2" s="1"/>
  <c r="Q18" i="2"/>
  <c r="P18" i="2"/>
  <c r="V18" i="2" s="1"/>
  <c r="H18" i="2"/>
  <c r="W18" i="2" s="1"/>
  <c r="G18" i="2"/>
  <c r="F18" i="2"/>
  <c r="U18" i="2" s="1"/>
  <c r="P9" i="2"/>
  <c r="V9" i="2" s="1"/>
  <c r="Q9" i="2"/>
  <c r="X9" i="2"/>
  <c r="X8" i="2"/>
  <c r="Q8" i="2"/>
  <c r="P8" i="2"/>
  <c r="V8" i="2" s="1"/>
  <c r="H8" i="2"/>
  <c r="W8" i="2" s="1"/>
  <c r="H9" i="2"/>
  <c r="W9" i="2" s="1"/>
  <c r="G9" i="2"/>
  <c r="F9" i="2"/>
  <c r="U9" i="2" s="1"/>
  <c r="F8" i="2"/>
  <c r="U8" i="2" s="1"/>
  <c r="C52" i="1"/>
  <c r="B56" i="1"/>
  <c r="C41" i="1"/>
  <c r="B41" i="1"/>
  <c r="B52" i="1" s="1"/>
  <c r="D46" i="1"/>
  <c r="C46" i="1"/>
  <c r="B46" i="1"/>
  <c r="D44" i="1"/>
  <c r="C44" i="1"/>
  <c r="B44" i="1"/>
  <c r="D43" i="1"/>
  <c r="C43" i="1"/>
  <c r="B43" i="1"/>
  <c r="D42" i="1"/>
  <c r="C42" i="1"/>
  <c r="B42" i="1"/>
  <c r="D41" i="1"/>
  <c r="C16" i="1"/>
  <c r="D16" i="1"/>
  <c r="B16" i="1"/>
  <c r="C14" i="1"/>
  <c r="D14" i="1"/>
  <c r="B14" i="1"/>
  <c r="C13" i="1"/>
  <c r="D13" i="1"/>
  <c r="B13" i="1"/>
  <c r="C12" i="1"/>
  <c r="D12" i="1"/>
  <c r="B12" i="1"/>
  <c r="C11" i="1"/>
  <c r="D11" i="1"/>
  <c r="B11" i="1"/>
  <c r="K40" i="4" l="1"/>
  <c r="L40" i="4"/>
  <c r="K44" i="4"/>
  <c r="L44" i="4"/>
  <c r="J48" i="4"/>
  <c r="L48" i="4"/>
  <c r="M48" i="4" s="1"/>
  <c r="N48" i="4" s="1"/>
  <c r="K29" i="4"/>
  <c r="L30" i="4"/>
  <c r="H33" i="4"/>
  <c r="H41" i="4"/>
  <c r="L45" i="4"/>
  <c r="H48" i="4"/>
  <c r="L49" i="4"/>
  <c r="C58" i="1"/>
  <c r="S16" i="4"/>
  <c r="T16" i="4" s="1"/>
  <c r="B55" i="1"/>
  <c r="D51" i="1"/>
  <c r="K33" i="4"/>
  <c r="M33" i="4" s="1"/>
  <c r="N33" i="4" s="1"/>
  <c r="C51" i="1"/>
  <c r="S18" i="4"/>
  <c r="T18" i="4" s="1"/>
  <c r="S14" i="4"/>
  <c r="T14" i="4" s="1"/>
  <c r="B57" i="1"/>
  <c r="D52" i="1"/>
  <c r="S17" i="4"/>
  <c r="T17" i="4" s="1"/>
  <c r="S13" i="4"/>
  <c r="T13" i="4" s="1"/>
  <c r="L26" i="4"/>
  <c r="I31" i="4"/>
  <c r="I40" i="4"/>
  <c r="I42" i="4"/>
  <c r="I43" i="4"/>
  <c r="I44" i="4"/>
  <c r="I46" i="4"/>
  <c r="I48" i="4"/>
  <c r="L41" i="4"/>
  <c r="K41" i="4"/>
  <c r="J42" i="4"/>
  <c r="K45" i="4"/>
  <c r="M45" i="4" s="1"/>
  <c r="N45" i="4" s="1"/>
  <c r="J46" i="4"/>
  <c r="I47" i="4"/>
  <c r="K49" i="4"/>
  <c r="M49" i="4" s="1"/>
  <c r="N49" i="4" s="1"/>
  <c r="J43" i="4"/>
  <c r="H45" i="4"/>
  <c r="J47" i="4"/>
  <c r="H49" i="4"/>
  <c r="K42" i="4"/>
  <c r="J40" i="4"/>
  <c r="I41" i="4"/>
  <c r="H42" i="4"/>
  <c r="L42" i="4"/>
  <c r="K43" i="4"/>
  <c r="M43" i="4" s="1"/>
  <c r="N43" i="4" s="1"/>
  <c r="J44" i="4"/>
  <c r="I45" i="4"/>
  <c r="H46" i="4"/>
  <c r="L46" i="4"/>
  <c r="M46" i="4" s="1"/>
  <c r="N46" i="4" s="1"/>
  <c r="K47" i="4"/>
  <c r="M47" i="4" s="1"/>
  <c r="N47" i="4" s="1"/>
  <c r="I49" i="4"/>
  <c r="H43" i="4"/>
  <c r="H47" i="4"/>
  <c r="H26" i="4"/>
  <c r="K25" i="4"/>
  <c r="L25" i="4"/>
  <c r="J29" i="4"/>
  <c r="L29" i="4"/>
  <c r="M29" i="4" s="1"/>
  <c r="N29" i="4" s="1"/>
  <c r="J33" i="4"/>
  <c r="L33" i="4"/>
  <c r="J26" i="4"/>
  <c r="L28" i="4"/>
  <c r="J30" i="4"/>
  <c r="L32" i="4"/>
  <c r="J34" i="4"/>
  <c r="L34" i="4"/>
  <c r="K26" i="4"/>
  <c r="M26" i="4" s="1"/>
  <c r="N26" i="4" s="1"/>
  <c r="J27" i="4"/>
  <c r="K30" i="4"/>
  <c r="M30" i="4" s="1"/>
  <c r="N30" i="4" s="1"/>
  <c r="J31" i="4"/>
  <c r="I32" i="4"/>
  <c r="K34" i="4"/>
  <c r="K27" i="4"/>
  <c r="H30" i="4"/>
  <c r="K31" i="4"/>
  <c r="H34" i="4"/>
  <c r="J25" i="4"/>
  <c r="H27" i="4"/>
  <c r="L27" i="4"/>
  <c r="K28" i="4"/>
  <c r="I30" i="4"/>
  <c r="H31" i="4"/>
  <c r="L31" i="4"/>
  <c r="K32" i="4"/>
  <c r="I34" i="4"/>
  <c r="J28" i="4"/>
  <c r="H28" i="4"/>
  <c r="H32" i="4"/>
  <c r="B51" i="1"/>
  <c r="B54" i="1"/>
  <c r="D45" i="1"/>
  <c r="B53" i="1"/>
  <c r="C45" i="1"/>
  <c r="B45" i="1"/>
  <c r="D15" i="1"/>
  <c r="B21" i="1"/>
  <c r="C15" i="1"/>
  <c r="B24" i="1"/>
  <c r="D22" i="1"/>
  <c r="C22" i="1"/>
  <c r="B23" i="1"/>
  <c r="D21" i="1"/>
  <c r="C21" i="1"/>
  <c r="B22" i="1"/>
  <c r="M25" i="4" l="1"/>
  <c r="N25" i="4" s="1"/>
  <c r="M40" i="4"/>
  <c r="N40" i="4" s="1"/>
  <c r="B58" i="1"/>
  <c r="M27" i="4"/>
  <c r="N27" i="4" s="1"/>
  <c r="D58" i="1"/>
  <c r="M32" i="4"/>
  <c r="N32" i="4" s="1"/>
  <c r="M28" i="4"/>
  <c r="N28" i="4" s="1"/>
  <c r="M34" i="4"/>
  <c r="N34" i="4" s="1"/>
  <c r="M44" i="4"/>
  <c r="N44" i="4" s="1"/>
  <c r="M41" i="4"/>
  <c r="N41" i="4" s="1"/>
  <c r="M42" i="4"/>
  <c r="N42" i="4" s="1"/>
  <c r="M31" i="4"/>
  <c r="N31" i="4" s="1"/>
  <c r="C25" i="1"/>
  <c r="B25" i="1"/>
  <c r="D25" i="1"/>
</calcChain>
</file>

<file path=xl/sharedStrings.xml><?xml version="1.0" encoding="utf-8"?>
<sst xmlns="http://schemas.openxmlformats.org/spreadsheetml/2006/main" count="1351" uniqueCount="273">
  <si>
    <t>Figure 1b- Uncrop images of spot test assays</t>
  </si>
  <si>
    <t>LB medium plate incubated at 37°C</t>
  </si>
  <si>
    <t>shown</t>
  </si>
  <si>
    <t>Lane 1</t>
  </si>
  <si>
    <t>NCAs580 (CAG45114 bamA::kan with pBamA)</t>
  </si>
  <si>
    <t>Lane 2</t>
  </si>
  <si>
    <t>NCAs597 (CAG45114 bamA::kan with pBamALVPR)</t>
  </si>
  <si>
    <t>Lane 3</t>
  </si>
  <si>
    <t>NCAs595 (CAG45114 bamA::kan with pBamAGSGS)</t>
  </si>
  <si>
    <t>Lane 4</t>
  </si>
  <si>
    <t>NCAs596 (CAG45114 bamA::kan with pBamALVPR*)</t>
  </si>
  <si>
    <t>Lane 5</t>
  </si>
  <si>
    <t>NCAs584 (CAG45114 bamA::kan with pBamAT434A)</t>
  </si>
  <si>
    <t xml:space="preserve">MacConkey plate incubated at 37°C </t>
  </si>
  <si>
    <t>Figure 1b- Sensidisk experiment</t>
  </si>
  <si>
    <t xml:space="preserve">Below is shown the diameter of inhibition of growth of each strain to the various antibiotic tested. </t>
  </si>
  <si>
    <t>For pBamA_WT</t>
  </si>
  <si>
    <t>Sample</t>
  </si>
  <si>
    <t>Vancomycin</t>
  </si>
  <si>
    <t>Rifampin</t>
  </si>
  <si>
    <t>Novobiocin</t>
  </si>
  <si>
    <t>Bacitracin</t>
  </si>
  <si>
    <t>ND</t>
  </si>
  <si>
    <t xml:space="preserve">Mean </t>
  </si>
  <si>
    <t>plotted</t>
  </si>
  <si>
    <t>SD</t>
  </si>
  <si>
    <t>For pBamA_LVPR</t>
  </si>
  <si>
    <t>For pBamA_GSGS</t>
  </si>
  <si>
    <t>Figure 1c- Western blot analysis of trichloroacetic acid precipitates of annotated cells.</t>
  </si>
  <si>
    <t>Below are shown the overlay images of chemiluminescence + the marker and the chemiluminescence alone</t>
  </si>
  <si>
    <t>anti-BamA</t>
  </si>
  <si>
    <t>kDa marker (140-115-80-65)</t>
  </si>
  <si>
    <t>Lane 6</t>
  </si>
  <si>
    <t>Lane 7</t>
  </si>
  <si>
    <t>Lane 8</t>
  </si>
  <si>
    <t>Lane 9</t>
  </si>
  <si>
    <t>Lane 10</t>
  </si>
  <si>
    <t>Lane 11</t>
  </si>
  <si>
    <t>Lane 12</t>
  </si>
  <si>
    <t>Lane 13</t>
  </si>
  <si>
    <t>anti-LptD</t>
  </si>
  <si>
    <t xml:space="preserve">Lane 7 </t>
  </si>
  <si>
    <t>empty</t>
  </si>
  <si>
    <t>Lane 14</t>
  </si>
  <si>
    <t>Lane 15</t>
  </si>
  <si>
    <t>Lane 16</t>
  </si>
  <si>
    <t>Lane 17</t>
  </si>
  <si>
    <t>Lane 18</t>
  </si>
  <si>
    <t>Lane 19</t>
  </si>
  <si>
    <t>anti-OmpA</t>
  </si>
  <si>
    <t>kDa marker (50-40-30-25-15-10)</t>
  </si>
  <si>
    <t>anti-OmpC</t>
  </si>
  <si>
    <t>Figure 1e- SigmaE activity measured by beta-galactosidase assay of cells grown in LB medium at 30°C.</t>
  </si>
  <si>
    <t>Below is shown the raw optical density values measured at 420nm with the BioTeK Synergy 1 plate reader.</t>
  </si>
  <si>
    <t>Each measurment was done in three technical replicates</t>
  </si>
  <si>
    <t>Value of the blank calculated for each experiment</t>
  </si>
  <si>
    <t>Experiment</t>
  </si>
  <si>
    <t>Blank-1</t>
  </si>
  <si>
    <t>Blank-2</t>
  </si>
  <si>
    <t>Blank-3</t>
  </si>
  <si>
    <t>Mean</t>
  </si>
  <si>
    <t>BamA_WT</t>
  </si>
  <si>
    <t>Value -1</t>
  </si>
  <si>
    <t>Value-2</t>
  </si>
  <si>
    <t>Value-3</t>
  </si>
  <si>
    <t>Mean-Blank</t>
  </si>
  <si>
    <t>OD</t>
  </si>
  <si>
    <t>Volume (ml)</t>
  </si>
  <si>
    <t>time</t>
  </si>
  <si>
    <t>Miller unit</t>
  </si>
  <si>
    <t>SEM</t>
  </si>
  <si>
    <t>BamA_LVPR</t>
  </si>
  <si>
    <t>BamA_GSGS</t>
  </si>
  <si>
    <t>Figure 2a- tOmpA folding kinetics</t>
  </si>
  <si>
    <t>Below is shown the raw densiometry (obtained using the FIJI distrubiton of ImageJ) and calculated fraction folded</t>
  </si>
  <si>
    <r>
      <t>Raw gels underlying densitometry are shown.</t>
    </r>
    <r>
      <rPr>
        <b/>
        <sz val="12"/>
        <color rgb="FFFF0000"/>
        <rFont val="Aptos Narrow (Corps)"/>
      </rPr>
      <t xml:space="preserve"> </t>
    </r>
  </si>
  <si>
    <t>Key for all gels</t>
  </si>
  <si>
    <t>WT BAM</t>
  </si>
  <si>
    <t>Lane 1 - kDa Marker (250, 150, 100, 75, 50, 37, 25, 20, 15, 10, 5, 2)</t>
  </si>
  <si>
    <t>Gel filename</t>
  </si>
  <si>
    <t>BAM tOmpA folding</t>
  </si>
  <si>
    <t>BAM tOmpA folding repeat</t>
  </si>
  <si>
    <t>Charlotte BAM WT tOmpA 071119</t>
  </si>
  <si>
    <t>Charlotte BAM WT tOmpA 2 221119</t>
  </si>
  <si>
    <t>Lane 2 - 120 seconds</t>
  </si>
  <si>
    <t>Time (s)</t>
  </si>
  <si>
    <t>Unfolded</t>
  </si>
  <si>
    <t>Folded</t>
  </si>
  <si>
    <t>Fraction folded</t>
  </si>
  <si>
    <t>AVG</t>
  </si>
  <si>
    <t>STDEV</t>
  </si>
  <si>
    <t>STERR</t>
  </si>
  <si>
    <t>MAX</t>
  </si>
  <si>
    <t>MIN</t>
  </si>
  <si>
    <t>RANGE</t>
  </si>
  <si>
    <t>RANGE/2</t>
  </si>
  <si>
    <t>Lane 3 - 300 seconds</t>
  </si>
  <si>
    <t>Lane 4 - 600 seconds</t>
  </si>
  <si>
    <t>Lane 5 - 1200 seconds</t>
  </si>
  <si>
    <t>Lane 6 - 1800 seconds</t>
  </si>
  <si>
    <t>Lane 7 - 2700 seconds</t>
  </si>
  <si>
    <t>Lane 8 - 5400 seconds</t>
  </si>
  <si>
    <t>Lane 9 - 7200 seconds</t>
  </si>
  <si>
    <t>Lane 10 - 10800 seconds</t>
  </si>
  <si>
    <t>Lane 11 - 10800 seconds, boiled</t>
  </si>
  <si>
    <t>BAM LVPR</t>
  </si>
  <si>
    <t>Hinge_A_tOmpA_25</t>
  </si>
  <si>
    <t>Hinge_B_tOmpA_25</t>
  </si>
  <si>
    <t>BAM GSGS</t>
  </si>
  <si>
    <t>FlexiHinge_A_tOmpA_25</t>
  </si>
  <si>
    <t>FlexiHinge_B_tOmpA_25</t>
  </si>
  <si>
    <t>Figure 2b- OmpX folding kinetics</t>
  </si>
  <si>
    <t>191126_WT_OmpX_FOLDING</t>
  </si>
  <si>
    <t>191127_WT-OmpX_FOLD</t>
  </si>
  <si>
    <t>191128_WT_OmpX_FOLDING</t>
  </si>
  <si>
    <t>Charlotte BAM WT OmpX 2 211119</t>
  </si>
  <si>
    <t>Charlotte BAM WT OmpX 141119</t>
  </si>
  <si>
    <t>OmpX bandshift BAM new cleaved SurA_2</t>
  </si>
  <si>
    <t>OmpX bandshift BAM</t>
  </si>
  <si>
    <t>U</t>
  </si>
  <si>
    <t>F</t>
  </si>
  <si>
    <t>Range</t>
  </si>
  <si>
    <t>Range/2</t>
  </si>
  <si>
    <t>Hinge_A_OmpX_25</t>
  </si>
  <si>
    <t>Hinge_B_OmpX_25</t>
  </si>
  <si>
    <t>FlexiHinge_A_OmpX_25</t>
  </si>
  <si>
    <t>FlexiHinge_B_OmpX_25</t>
  </si>
  <si>
    <t>Figure 4b- Uncrop images of spot test assays</t>
  </si>
  <si>
    <t>Figure 4b- Sensidisk experiment</t>
  </si>
  <si>
    <t>For pBamA_LVPR*</t>
  </si>
  <si>
    <t>For pBamA_T434A</t>
  </si>
  <si>
    <t>Figure 4c- SigmaE activity measured by beta-galactosidase assay of cells grown in LB medium at 30°C.</t>
  </si>
  <si>
    <t>BamA_LVPR + T434A</t>
  </si>
  <si>
    <t>BamA_T434A</t>
  </si>
  <si>
    <t xml:space="preserve">Figure 5a- The effect of darobactin on tOmpA folding kinetics </t>
  </si>
  <si>
    <t>Raw gels underlying densitometry are shown.</t>
  </si>
  <si>
    <t>BAM_WT</t>
  </si>
  <si>
    <t>Key</t>
  </si>
  <si>
    <t>WT_tOmpA_Sam SurA</t>
  </si>
  <si>
    <t>WT_tOmpA_ Sam SurA</t>
  </si>
  <si>
    <t>BAM_WT + DMSO</t>
  </si>
  <si>
    <t>WT_tOmpA_Sam SurA + DMSO</t>
  </si>
  <si>
    <t>WT_tOmpA_ Sam SurA + DMSO</t>
  </si>
  <si>
    <t>BAM_WT + Darobactin</t>
  </si>
  <si>
    <t>WT_tOmpA_Sam SurA + DarB</t>
  </si>
  <si>
    <t>WT_tOmpA_ Sam SurA + DarB</t>
  </si>
  <si>
    <t>BAM_T434A</t>
  </si>
  <si>
    <t>T434A_tOmpA_Sam_SurA_R1</t>
  </si>
  <si>
    <t>T434A_tOmpA_Izzie_SurA_R1</t>
  </si>
  <si>
    <t xml:space="preserve">BAM_T434 + Darobactin </t>
  </si>
  <si>
    <t>T434A_tOmpA_Sam SurA</t>
  </si>
  <si>
    <t>T434A_tOmpA_ Sam SurA +DarB</t>
  </si>
  <si>
    <t>Figure 5b- Uncrop images</t>
  </si>
  <si>
    <t>SDS 0.5% plate with a gradient of EDTA (0-0.4 mM) and incubated at 37°C</t>
  </si>
  <si>
    <t>Deoxycholate 1% plate incubate at 30°C</t>
  </si>
  <si>
    <t>Figure 5c- Uncrop images</t>
  </si>
  <si>
    <t>LB plate incubate at 15°C</t>
  </si>
  <si>
    <t>3 and 24 hour folding yield</t>
  </si>
  <si>
    <t>Below is shown the calculated fraction folded for the 3 hour and 24 hour folding yield gels. Raw gels for 3 hour timepoint are shown in Sheet for Figure 2. Raw gels for 24 hour timepoint are shown below.</t>
  </si>
  <si>
    <t>3 hour time point</t>
  </si>
  <si>
    <t>Reported</t>
  </si>
  <si>
    <t>Variant</t>
  </si>
  <si>
    <t>tOmpA #1</t>
  </si>
  <si>
    <t>tOmpA #2</t>
  </si>
  <si>
    <t>tOmpA #3</t>
  </si>
  <si>
    <t>tOmpA #4</t>
  </si>
  <si>
    <t>Error</t>
  </si>
  <si>
    <t>OmpX #1</t>
  </si>
  <si>
    <t>OmpX #2</t>
  </si>
  <si>
    <t>OmpX #3</t>
  </si>
  <si>
    <t>OmpX #4</t>
  </si>
  <si>
    <t>OmpX #5</t>
  </si>
  <si>
    <t>OmpX #6</t>
  </si>
  <si>
    <t>OmpX #7</t>
  </si>
  <si>
    <t>tOmpA folding yield after 3h (%)</t>
  </si>
  <si>
    <t>OmpX folding yield after 3h (%)</t>
  </si>
  <si>
    <t>Range tOmpA (%)</t>
  </si>
  <si>
    <t>Range OmpX (%)</t>
  </si>
  <si>
    <t>WT</t>
  </si>
  <si>
    <t>LVPR</t>
  </si>
  <si>
    <t>GSGS</t>
  </si>
  <si>
    <t>24 hour time point</t>
  </si>
  <si>
    <t>tOmpA folding yield after 24h (%)</t>
  </si>
  <si>
    <t>OmpX folding yield after 24h (%)</t>
  </si>
  <si>
    <t>Exp</t>
  </si>
  <si>
    <t>OmpX LVPR+GSGS ON</t>
  </si>
  <si>
    <t>Lane</t>
  </si>
  <si>
    <t>Ladder</t>
  </si>
  <si>
    <t>LVPR 24h R1</t>
  </si>
  <si>
    <t>LVPR 24h R1 boiled</t>
  </si>
  <si>
    <t>LVPR 24h R2</t>
  </si>
  <si>
    <t>LVPR 24h R2 boiled</t>
  </si>
  <si>
    <t>GSGS 24h R1</t>
  </si>
  <si>
    <t>GSGS 24h R1 boiled</t>
  </si>
  <si>
    <t>GSGS 24h R2</t>
  </si>
  <si>
    <t>GSGS 24h R2 boiled</t>
  </si>
  <si>
    <t>tOmpA LVPR 25+37 ON</t>
  </si>
  <si>
    <t>LVPR 24h R1 25C</t>
  </si>
  <si>
    <t>LVPR 24h R1 boiled 25C</t>
  </si>
  <si>
    <t>LVPR 24h R2 25C</t>
  </si>
  <si>
    <t>LVPR 24h R2 boiled 25C</t>
  </si>
  <si>
    <t>LVPR 24h R1 37C</t>
  </si>
  <si>
    <t>LVPR 24h R1 boiled 37C</t>
  </si>
  <si>
    <t>LVPR 24h R2 37C</t>
  </si>
  <si>
    <t>LVPR 24h R2 boiled 37C</t>
  </si>
  <si>
    <t>tOmpA GSGS 25+37 ON</t>
  </si>
  <si>
    <t>GSGS 24h R1 25C</t>
  </si>
  <si>
    <t>GSGS 24h R1 boiled 25C</t>
  </si>
  <si>
    <t>GSGS 24h R2 25C</t>
  </si>
  <si>
    <t>GSGS 24h R2 boiled 25C</t>
  </si>
  <si>
    <t>GSGS 24h R1 37C</t>
  </si>
  <si>
    <t>GSGS 24h R1 boiled 37C</t>
  </si>
  <si>
    <t>GSGS 24h R2 37C</t>
  </si>
  <si>
    <t>GSGS 24h R2 boiled 37C</t>
  </si>
  <si>
    <t>tOmpA inital rates</t>
  </si>
  <si>
    <t>Initial rates</t>
  </si>
  <si>
    <t>repeat</t>
  </si>
  <si>
    <t>mean</t>
  </si>
  <si>
    <t>error</t>
  </si>
  <si>
    <t>n</t>
  </si>
  <si>
    <t>StDev</t>
  </si>
  <si>
    <t>Normalised initial Folding Rate (% of WT BAM mean)</t>
  </si>
  <si>
    <t>Repeat</t>
  </si>
  <si>
    <t>OmpX inital rates</t>
  </si>
  <si>
    <t>24 hour folding yield for darobactin experiment</t>
  </si>
  <si>
    <t>Below is shown the calculated fraction folded for the 24 hour folding yield gels. Raw gels can be found below.</t>
  </si>
  <si>
    <t>WT + DMSO</t>
  </si>
  <si>
    <t>-</t>
  </si>
  <si>
    <t>WT + DarB</t>
  </si>
  <si>
    <t>T434A</t>
  </si>
  <si>
    <t>T434A + DarB</t>
  </si>
  <si>
    <t>WT+DarB+tOmpA/OmpX_WT-DMSO+tOmpA ON</t>
  </si>
  <si>
    <t>WT+DarB+tOmpA 24h R1</t>
  </si>
  <si>
    <t>WT+DarB+tOmpA 24h R1 boiled</t>
  </si>
  <si>
    <t>WT+DarB+tOmpA 24h R2</t>
  </si>
  <si>
    <t>WT+DarB+tOmpA 24h R2 boiled</t>
  </si>
  <si>
    <t>WT+DarB+OmpX 24h R1</t>
  </si>
  <si>
    <t>WT+DarB+OmpX 24h R1 boiled</t>
  </si>
  <si>
    <t>WT+DarB+OmpX 24h R2</t>
  </si>
  <si>
    <t>WT+DarB+OmpX 24h R2 boiled</t>
  </si>
  <si>
    <t>WT+DMSO+tOmpA 24h R1</t>
  </si>
  <si>
    <t>WT+DMSO+tOmpA 24h R1 boiled</t>
  </si>
  <si>
    <t>WT+DMSO+tOmpA 24h R2</t>
  </si>
  <si>
    <t>WT+DMSO+tOmpA 24h R2 boiled</t>
  </si>
  <si>
    <t>T434A+DarB+tOmpA/OmpX ON</t>
  </si>
  <si>
    <t>T434A+DarB+tOmpA 24h R1</t>
  </si>
  <si>
    <t>T434A+DarB+tOmpA 24h R1 boiled</t>
  </si>
  <si>
    <t>T434A+DarB+tOmpA 24h R2</t>
  </si>
  <si>
    <t>T434A+DarB+tOmpA 24h R2 boiled</t>
  </si>
  <si>
    <t>T434A+DarB+OmpX 24h R1</t>
  </si>
  <si>
    <t>T434A+DarB+OmpX 24h R1 boiled</t>
  </si>
  <si>
    <t>T434A+DarB+OmpX 24h R2</t>
  </si>
  <si>
    <t>T434A+DarB+OmpX 24h R2 boiled</t>
  </si>
  <si>
    <t>WT/T434A+tOmpA/OmpX ON</t>
  </si>
  <si>
    <t>WT+tOmpA 24h R1</t>
  </si>
  <si>
    <t>WT+tOmpA 24h R2</t>
  </si>
  <si>
    <t>WT+OmpX 24h R1</t>
  </si>
  <si>
    <t>WT+OmpX 24h R2</t>
  </si>
  <si>
    <t>T434A+tOmpA 24h R1</t>
  </si>
  <si>
    <t>T434A+tOmpA 24h R2</t>
  </si>
  <si>
    <t>T434A+OmpX 24h R1</t>
  </si>
  <si>
    <t>T434A+OmpX 24h R2</t>
  </si>
  <si>
    <t>SurA+tOmpA boil</t>
  </si>
  <si>
    <t>T434A+OmpX 15 min</t>
  </si>
  <si>
    <t>T434A+OmpX 30 min</t>
  </si>
  <si>
    <t>Supplementary Figure 1a- Western blot analysis of trichloroacetic acid precipitates of annotated cells.</t>
  </si>
  <si>
    <t>Cells were grown in M9 at 30°C</t>
  </si>
  <si>
    <t>Supplementary Figure 1b- SigmaE activity measured by beta-galactosidase assay of cells grown in M9 minimum medium at 30°C.</t>
  </si>
  <si>
    <t xml:space="preserve">Supplementary Figure 7- The effect of darobactin on OmpX folding kinetics </t>
  </si>
  <si>
    <t>OmpX_WT_Sam_SurA_R1</t>
  </si>
  <si>
    <t>OmpX_WT_Sam_SurA_R2</t>
  </si>
  <si>
    <t>OmpX_T434A_Sam_SurA_R1</t>
  </si>
  <si>
    <t>BAM_T434A + Darobactin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</si>
</sst>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"/>
    <numFmt numFmtId="166" formatCode="0.0"/>
  </numFmts>
  <fonts count="19">
    <font>
      <sz val="12"/>
      <color theme="1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ptos Narrow (Corps)"/>
    </font>
    <font>
      <sz val="12"/>
      <color theme="1"/>
      <name val="Aptos Narrow"/>
      <scheme val="minor"/>
    </font>
    <font>
      <b/>
      <sz val="12"/>
      <color rgb="FFFF0000"/>
      <name val="Aptos Narrow (Corps)"/>
    </font>
    <font>
      <b/>
      <sz val="12"/>
      <color rgb="FF000000"/>
      <name val="Aptos Narrow"/>
      <family val="2"/>
      <scheme val="minor"/>
    </font>
    <font>
      <b/>
      <i/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414141"/>
      <name val="Aptos Narrow"/>
      <family val="2"/>
      <scheme val="minor"/>
    </font>
    <font>
      <sz val="10"/>
      <color rgb="FF000000"/>
      <name val="Arial"/>
      <family val="2"/>
    </font>
    <font>
      <sz val="12"/>
      <color rgb="FF000000"/>
      <name val="Aptos Narrow"/>
      <scheme val="minor"/>
    </font>
    <font>
      <sz val="8"/>
      <name val="Aptos Narrow"/>
      <family val="2"/>
      <scheme val="minor"/>
    </font>
    <font>
      <sz val="12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3" borderId="1" applyNumberFormat="0" applyAlignment="0" applyProtection="0"/>
    <xf numFmtId="0" fontId="17" fillId="0" borderId="0"/>
  </cellStyleXfs>
  <cellXfs count="9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0" fillId="0" borderId="7" xfId="0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1" fontId="0" fillId="0" borderId="10" xfId="0" applyNumberFormat="1" applyBorder="1" applyAlignment="1">
      <alignment horizontal="center"/>
    </xf>
    <xf numFmtId="11" fontId="0" fillId="0" borderId="11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11" fontId="0" fillId="0" borderId="7" xfId="0" applyNumberFormat="1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0" fillId="0" borderId="4" xfId="0" applyBorder="1"/>
    <xf numFmtId="0" fontId="4" fillId="0" borderId="3" xfId="0" applyFont="1" applyBorder="1"/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0" fillId="0" borderId="12" xfId="0" applyBorder="1"/>
    <xf numFmtId="164" fontId="0" fillId="0" borderId="0" xfId="0" applyNumberFormat="1"/>
    <xf numFmtId="0" fontId="3" fillId="3" borderId="1" xfId="3"/>
    <xf numFmtId="1" fontId="0" fillId="0" borderId="0" xfId="0" applyNumberFormat="1"/>
    <xf numFmtId="0" fontId="0" fillId="0" borderId="0" xfId="0" quotePrefix="1"/>
    <xf numFmtId="1" fontId="0" fillId="0" borderId="0" xfId="0" quotePrefix="1" applyNumberFormat="1"/>
    <xf numFmtId="0" fontId="9" fillId="0" borderId="0" xfId="0" applyFont="1"/>
    <xf numFmtId="0" fontId="10" fillId="4" borderId="0" xfId="0" applyFont="1" applyFill="1" applyAlignment="1">
      <alignment horizontal="center"/>
    </xf>
    <xf numFmtId="0" fontId="9" fillId="0" borderId="13" xfId="0" applyFont="1" applyBorder="1"/>
    <xf numFmtId="0" fontId="1" fillId="5" borderId="1" xfId="0" applyFont="1" applyFill="1" applyBorder="1"/>
    <xf numFmtId="0" fontId="11" fillId="0" borderId="0" xfId="0" applyFont="1"/>
    <xf numFmtId="0" fontId="3" fillId="6" borderId="1" xfId="0" applyFont="1" applyFill="1" applyBorder="1"/>
    <xf numFmtId="0" fontId="2" fillId="6" borderId="2" xfId="0" applyFont="1" applyFill="1" applyBorder="1"/>
    <xf numFmtId="0" fontId="2" fillId="6" borderId="14" xfId="0" applyFont="1" applyFill="1" applyBorder="1"/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1" fillId="5" borderId="17" xfId="0" applyFont="1" applyFill="1" applyBorder="1"/>
    <xf numFmtId="0" fontId="3" fillId="6" borderId="17" xfId="0" applyFont="1" applyFill="1" applyBorder="1"/>
    <xf numFmtId="0" fontId="2" fillId="6" borderId="18" xfId="0" applyFont="1" applyFill="1" applyBorder="1"/>
    <xf numFmtId="0" fontId="2" fillId="6" borderId="19" xfId="0" applyFont="1" applyFill="1" applyBorder="1"/>
    <xf numFmtId="0" fontId="2" fillId="6" borderId="21" xfId="0" applyFont="1" applyFill="1" applyBorder="1" applyAlignment="1">
      <alignment horizontal="center"/>
    </xf>
    <xf numFmtId="0" fontId="12" fillId="6" borderId="20" xfId="0" applyFont="1" applyFill="1" applyBorder="1"/>
    <xf numFmtId="0" fontId="12" fillId="6" borderId="21" xfId="0" applyFont="1" applyFill="1" applyBorder="1"/>
    <xf numFmtId="0" fontId="4" fillId="0" borderId="0" xfId="0" applyFont="1" applyAlignment="1">
      <alignment horizontal="center"/>
    </xf>
    <xf numFmtId="0" fontId="1" fillId="2" borderId="1" xfId="1"/>
    <xf numFmtId="0" fontId="2" fillId="3" borderId="2" xfId="2"/>
    <xf numFmtId="0" fontId="2" fillId="7" borderId="15" xfId="2" applyFill="1" applyBorder="1" applyAlignment="1">
      <alignment horizontal="center"/>
    </xf>
    <xf numFmtId="0" fontId="4" fillId="7" borderId="15" xfId="0" applyFont="1" applyFill="1" applyBorder="1"/>
    <xf numFmtId="0" fontId="2" fillId="3" borderId="22" xfId="2" applyBorder="1"/>
    <xf numFmtId="0" fontId="2" fillId="3" borderId="15" xfId="2" applyBorder="1"/>
    <xf numFmtId="0" fontId="0" fillId="0" borderId="15" xfId="0" applyBorder="1"/>
    <xf numFmtId="0" fontId="5" fillId="0" borderId="15" xfId="0" applyFont="1" applyBorder="1"/>
    <xf numFmtId="165" fontId="0" fillId="0" borderId="0" xfId="0" applyNumberFormat="1"/>
    <xf numFmtId="166" fontId="0" fillId="0" borderId="0" xfId="0" applyNumberFormat="1"/>
    <xf numFmtId="0" fontId="0" fillId="0" borderId="13" xfId="0" applyBorder="1"/>
    <xf numFmtId="0" fontId="13" fillId="8" borderId="2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2" fontId="11" fillId="0" borderId="0" xfId="0" applyNumberFormat="1" applyFont="1"/>
    <xf numFmtId="0" fontId="13" fillId="8" borderId="24" xfId="0" applyFont="1" applyFill="1" applyBorder="1" applyAlignment="1">
      <alignment horizontal="center" vertical="center" wrapText="1"/>
    </xf>
    <xf numFmtId="165" fontId="11" fillId="0" borderId="0" xfId="0" applyNumberFormat="1" applyFont="1"/>
    <xf numFmtId="2" fontId="0" fillId="0" borderId="15" xfId="0" applyNumberFormat="1" applyBorder="1"/>
    <xf numFmtId="0" fontId="1" fillId="0" borderId="0" xfId="1" applyFill="1" applyBorder="1"/>
    <xf numFmtId="0" fontId="3" fillId="0" borderId="0" xfId="3" applyFill="1" applyBorder="1"/>
    <xf numFmtId="0" fontId="2" fillId="0" borderId="0" xfId="2" applyFill="1" applyBorder="1"/>
    <xf numFmtId="0" fontId="2" fillId="0" borderId="0" xfId="2" applyFill="1" applyBorder="1" applyAlignment="1">
      <alignment horizontal="center"/>
    </xf>
    <xf numFmtId="0" fontId="1" fillId="2" borderId="25" xfId="1" applyBorder="1"/>
    <xf numFmtId="0" fontId="3" fillId="3" borderId="25" xfId="3" applyBorder="1"/>
    <xf numFmtId="0" fontId="2" fillId="3" borderId="26" xfId="2" applyBorder="1"/>
    <xf numFmtId="0" fontId="5" fillId="0" borderId="0" xfId="1" applyFont="1" applyFill="1" applyBorder="1"/>
    <xf numFmtId="0" fontId="4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9" borderId="23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Alignment="1">
      <alignment horizontal="center"/>
    </xf>
    <xf numFmtId="164" fontId="0" fillId="10" borderId="0" xfId="0" applyNumberFormat="1" applyFill="1"/>
    <xf numFmtId="0" fontId="13" fillId="8" borderId="0" xfId="0" applyFont="1" applyFill="1" applyAlignment="1">
      <alignment horizontal="center" vertical="center" wrapText="1"/>
    </xf>
    <xf numFmtId="0" fontId="17" fillId="0" borderId="0" xfId="4"/>
    <xf numFmtId="0" fontId="18" fillId="0" borderId="0" xfId="4" applyFont="1"/>
    <xf numFmtId="0" fontId="16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0" xfId="0" applyFont="1" applyAlignment="1">
      <alignment horizontal="center" wrapText="1"/>
    </xf>
  </cellXfs>
  <cellStyles count="5">
    <cellStyle name="Calculation" xfId="3" builtinId="22"/>
    <cellStyle name="Input" xfId="1" builtinId="20"/>
    <cellStyle name="Normal" xfId="0" builtinId="0"/>
    <cellStyle name="Normal 2" xfId="4" xr:uid="{45C9AD56-4ADB-45FA-9FB6-7DE9AF88AF84}"/>
    <cellStyle name="Output" xfId="2" builtinId="21"/>
  </cellStyles>
  <dxfs count="0"/>
  <tableStyles count="0" defaultTableStyle="TableStyleMedium2" defaultPivotStyle="PivotStyleLight16"/>
  <colors>
    <mruColors>
      <color rgb="FF414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tiff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tiff"/><Relationship Id="rId9" Type="http://schemas.openxmlformats.org/officeDocument/2006/relationships/image" Target="../media/image9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tiff"/><Relationship Id="rId13" Type="http://schemas.openxmlformats.org/officeDocument/2006/relationships/image" Target="../media/image26.jpeg"/><Relationship Id="rId3" Type="http://schemas.openxmlformats.org/officeDocument/2006/relationships/image" Target="../media/image16.tiff"/><Relationship Id="rId7" Type="http://schemas.openxmlformats.org/officeDocument/2006/relationships/image" Target="../media/image20.tiff"/><Relationship Id="rId12" Type="http://schemas.openxmlformats.org/officeDocument/2006/relationships/image" Target="../media/image25.jpeg"/><Relationship Id="rId2" Type="http://schemas.openxmlformats.org/officeDocument/2006/relationships/image" Target="../media/image15.tiff"/><Relationship Id="rId16" Type="http://schemas.openxmlformats.org/officeDocument/2006/relationships/image" Target="../media/image29.jpeg"/><Relationship Id="rId1" Type="http://schemas.openxmlformats.org/officeDocument/2006/relationships/image" Target="../media/image14.tiff"/><Relationship Id="rId6" Type="http://schemas.openxmlformats.org/officeDocument/2006/relationships/image" Target="../media/image19.tiff"/><Relationship Id="rId11" Type="http://schemas.openxmlformats.org/officeDocument/2006/relationships/image" Target="../media/image24.jpeg"/><Relationship Id="rId5" Type="http://schemas.openxmlformats.org/officeDocument/2006/relationships/image" Target="../media/image18.tiff"/><Relationship Id="rId15" Type="http://schemas.openxmlformats.org/officeDocument/2006/relationships/image" Target="../media/image28.jpeg"/><Relationship Id="rId10" Type="http://schemas.openxmlformats.org/officeDocument/2006/relationships/image" Target="../media/image23.jpeg"/><Relationship Id="rId4" Type="http://schemas.openxmlformats.org/officeDocument/2006/relationships/image" Target="../media/image17.tiff"/><Relationship Id="rId9" Type="http://schemas.openxmlformats.org/officeDocument/2006/relationships/image" Target="../media/image22.jpeg"/><Relationship Id="rId14" Type="http://schemas.openxmlformats.org/officeDocument/2006/relationships/image" Target="../media/image27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tiff"/><Relationship Id="rId13" Type="http://schemas.openxmlformats.org/officeDocument/2006/relationships/image" Target="../media/image42.tiff"/><Relationship Id="rId3" Type="http://schemas.openxmlformats.org/officeDocument/2006/relationships/image" Target="../media/image32.jpeg"/><Relationship Id="rId7" Type="http://schemas.openxmlformats.org/officeDocument/2006/relationships/image" Target="../media/image36.tiff"/><Relationship Id="rId12" Type="http://schemas.openxmlformats.org/officeDocument/2006/relationships/image" Target="../media/image41.tiff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tiff"/><Relationship Id="rId11" Type="http://schemas.openxmlformats.org/officeDocument/2006/relationships/image" Target="../media/image40.tiff"/><Relationship Id="rId5" Type="http://schemas.openxmlformats.org/officeDocument/2006/relationships/image" Target="../media/image34.tiff"/><Relationship Id="rId10" Type="http://schemas.openxmlformats.org/officeDocument/2006/relationships/image" Target="../media/image39.tiff"/><Relationship Id="rId4" Type="http://schemas.openxmlformats.org/officeDocument/2006/relationships/image" Target="../media/image33.jpeg"/><Relationship Id="rId9" Type="http://schemas.openxmlformats.org/officeDocument/2006/relationships/image" Target="../media/image38.tiff"/><Relationship Id="rId14" Type="http://schemas.openxmlformats.org/officeDocument/2006/relationships/image" Target="../media/image43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tiff"/><Relationship Id="rId2" Type="http://schemas.openxmlformats.org/officeDocument/2006/relationships/image" Target="../media/image45.tiff"/><Relationship Id="rId1" Type="http://schemas.openxmlformats.org/officeDocument/2006/relationships/image" Target="../media/image44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tiff"/><Relationship Id="rId2" Type="http://schemas.openxmlformats.org/officeDocument/2006/relationships/image" Target="../media/image48.tiff"/><Relationship Id="rId1" Type="http://schemas.openxmlformats.org/officeDocument/2006/relationships/image" Target="../media/image47.tif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tiff"/><Relationship Id="rId3" Type="http://schemas.openxmlformats.org/officeDocument/2006/relationships/image" Target="../media/image52.jpeg"/><Relationship Id="rId7" Type="http://schemas.openxmlformats.org/officeDocument/2006/relationships/image" Target="../media/image56.jpeg"/><Relationship Id="rId2" Type="http://schemas.openxmlformats.org/officeDocument/2006/relationships/image" Target="../media/image51.tiff"/><Relationship Id="rId1" Type="http://schemas.openxmlformats.org/officeDocument/2006/relationships/image" Target="../media/image50.jpeg"/><Relationship Id="rId6" Type="http://schemas.openxmlformats.org/officeDocument/2006/relationships/image" Target="../media/image55.tiff"/><Relationship Id="rId5" Type="http://schemas.openxmlformats.org/officeDocument/2006/relationships/image" Target="../media/image54.jpeg"/><Relationship Id="rId4" Type="http://schemas.openxmlformats.org/officeDocument/2006/relationships/image" Target="../media/image53.tif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tiff"/><Relationship Id="rId3" Type="http://schemas.openxmlformats.org/officeDocument/2006/relationships/image" Target="../media/image60.tiff"/><Relationship Id="rId7" Type="http://schemas.openxmlformats.org/officeDocument/2006/relationships/image" Target="../media/image64.tiff"/><Relationship Id="rId2" Type="http://schemas.openxmlformats.org/officeDocument/2006/relationships/image" Target="../media/image59.tiff"/><Relationship Id="rId1" Type="http://schemas.openxmlformats.org/officeDocument/2006/relationships/image" Target="../media/image58.tiff"/><Relationship Id="rId6" Type="http://schemas.openxmlformats.org/officeDocument/2006/relationships/image" Target="../media/image63.tiff"/><Relationship Id="rId5" Type="http://schemas.openxmlformats.org/officeDocument/2006/relationships/image" Target="../media/image62.tiff"/><Relationship Id="rId4" Type="http://schemas.openxmlformats.org/officeDocument/2006/relationships/image" Target="../media/image6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80</xdr:row>
      <xdr:rowOff>12700</xdr:rowOff>
    </xdr:from>
    <xdr:to>
      <xdr:col>4</xdr:col>
      <xdr:colOff>38100</xdr:colOff>
      <xdr:row>89</xdr:row>
      <xdr:rowOff>12700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5DFB5D-3FC5-DEEF-CF0C-DC49048917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5100" y="8140700"/>
          <a:ext cx="3175000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112</xdr:row>
      <xdr:rowOff>177800</xdr:rowOff>
    </xdr:from>
    <xdr:to>
      <xdr:col>7</xdr:col>
      <xdr:colOff>193544</xdr:colOff>
      <xdr:row>123</xdr:row>
      <xdr:rowOff>139700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5965382-C18F-0583-F041-8CC315A6D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" y="10541000"/>
          <a:ext cx="5883144" cy="219710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79</xdr:row>
      <xdr:rowOff>190499</xdr:rowOff>
    </xdr:from>
    <xdr:to>
      <xdr:col>7</xdr:col>
      <xdr:colOff>622300</xdr:colOff>
      <xdr:row>89</xdr:row>
      <xdr:rowOff>166988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BF0AF02-5AEA-DCFF-2C15-52803D6789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59200" y="8115299"/>
          <a:ext cx="2641600" cy="2008489"/>
        </a:xfrm>
        <a:prstGeom prst="rect">
          <a:avLst/>
        </a:prstGeom>
      </xdr:spPr>
    </xdr:pic>
    <xdr:clientData/>
  </xdr:twoCellAnchor>
  <xdr:twoCellAnchor editAs="oneCell">
    <xdr:from>
      <xdr:col>0</xdr:col>
      <xdr:colOff>431800</xdr:colOff>
      <xdr:row>124</xdr:row>
      <xdr:rowOff>127000</xdr:rowOff>
    </xdr:from>
    <xdr:to>
      <xdr:col>6</xdr:col>
      <xdr:colOff>711200</xdr:colOff>
      <xdr:row>133</xdr:row>
      <xdr:rowOff>188230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E5DF042-A3EF-694B-BF04-34FD2D0848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800" y="12928600"/>
          <a:ext cx="5232400" cy="1890030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3</xdr:row>
      <xdr:rowOff>25400</xdr:rowOff>
    </xdr:from>
    <xdr:to>
      <xdr:col>4</xdr:col>
      <xdr:colOff>596900</xdr:colOff>
      <xdr:row>36</xdr:row>
      <xdr:rowOff>76200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9B36417-047B-6318-C342-F4F13E60E8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330200" y="635000"/>
          <a:ext cx="3568700" cy="6756400"/>
        </a:xfrm>
        <a:prstGeom prst="rect">
          <a:avLst/>
        </a:prstGeom>
      </xdr:spPr>
    </xdr:pic>
    <xdr:clientData/>
  </xdr:twoCellAnchor>
  <xdr:oneCellAnchor>
    <xdr:from>
      <xdr:col>0</xdr:col>
      <xdr:colOff>165100</xdr:colOff>
      <xdr:row>137</xdr:row>
      <xdr:rowOff>50800</xdr:rowOff>
    </xdr:from>
    <xdr:ext cx="2743200" cy="2462852"/>
    <xdr:pic>
      <xdr:nvPicPr>
        <xdr:cNvPr id="10" name="Image 9">
          <a:extLst>
            <a:ext uri="{FF2B5EF4-FFF2-40B4-BE49-F238E27FC236}">
              <a16:creationId xmlns:a16="http://schemas.microsoft.com/office/drawing/2014/main" id="{A94B7EB2-8C84-DA4E-AE16-C7A1689515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5100" y="18135600"/>
          <a:ext cx="2743200" cy="2462852"/>
        </a:xfrm>
        <a:prstGeom prst="rect">
          <a:avLst/>
        </a:prstGeom>
      </xdr:spPr>
    </xdr:pic>
    <xdr:clientData/>
  </xdr:oneCellAnchor>
  <xdr:oneCellAnchor>
    <xdr:from>
      <xdr:col>4</xdr:col>
      <xdr:colOff>63500</xdr:colOff>
      <xdr:row>137</xdr:row>
      <xdr:rowOff>76200</xdr:rowOff>
    </xdr:from>
    <xdr:ext cx="2057400" cy="2324100"/>
    <xdr:pic>
      <xdr:nvPicPr>
        <xdr:cNvPr id="11" name="Image 10">
          <a:extLst>
            <a:ext uri="{FF2B5EF4-FFF2-40B4-BE49-F238E27FC236}">
              <a16:creationId xmlns:a16="http://schemas.microsoft.com/office/drawing/2014/main" id="{1536CDA0-781E-9842-A3C9-FF1E7B6626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16300" y="18161000"/>
          <a:ext cx="2057400" cy="2324100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176</xdr:row>
      <xdr:rowOff>126999</xdr:rowOff>
    </xdr:from>
    <xdr:ext cx="5308600" cy="2259841"/>
    <xdr:pic>
      <xdr:nvPicPr>
        <xdr:cNvPr id="13" name="Image 12">
          <a:extLst>
            <a:ext uri="{FF2B5EF4-FFF2-40B4-BE49-F238E27FC236}">
              <a16:creationId xmlns:a16="http://schemas.microsoft.com/office/drawing/2014/main" id="{B5949A67-EF05-D84E-B521-C4D6AEE78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6700" y="21259799"/>
          <a:ext cx="5308600" cy="2259841"/>
        </a:xfrm>
        <a:prstGeom prst="rect">
          <a:avLst/>
        </a:prstGeom>
      </xdr:spPr>
    </xdr:pic>
    <xdr:clientData/>
  </xdr:oneCellAnchor>
  <xdr:oneCellAnchor>
    <xdr:from>
      <xdr:col>0</xdr:col>
      <xdr:colOff>292100</xdr:colOff>
      <xdr:row>188</xdr:row>
      <xdr:rowOff>50800</xdr:rowOff>
    </xdr:from>
    <xdr:ext cx="5295900" cy="2370920"/>
    <xdr:pic>
      <xdr:nvPicPr>
        <xdr:cNvPr id="14" name="Image 13">
          <a:extLst>
            <a:ext uri="{FF2B5EF4-FFF2-40B4-BE49-F238E27FC236}">
              <a16:creationId xmlns:a16="http://schemas.microsoft.com/office/drawing/2014/main" id="{03A1E806-AF81-3548-8D2E-3D4FA0A7B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2100" y="23622000"/>
          <a:ext cx="5295900" cy="2370920"/>
        </a:xfrm>
        <a:prstGeom prst="rect">
          <a:avLst/>
        </a:prstGeom>
      </xdr:spPr>
    </xdr:pic>
    <xdr:clientData/>
  </xdr:oneCellAnchor>
  <xdr:twoCellAnchor editAs="oneCell">
    <xdr:from>
      <xdr:col>0</xdr:col>
      <xdr:colOff>88900</xdr:colOff>
      <xdr:row>90</xdr:row>
      <xdr:rowOff>63500</xdr:rowOff>
    </xdr:from>
    <xdr:to>
      <xdr:col>5</xdr:col>
      <xdr:colOff>160816</xdr:colOff>
      <xdr:row>99</xdr:row>
      <xdr:rowOff>63500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F8C5FD9-2BDE-0883-FB85-8A6B9A311F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900" y="18351500"/>
          <a:ext cx="4262916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99</xdr:row>
      <xdr:rowOff>177800</xdr:rowOff>
    </xdr:from>
    <xdr:to>
      <xdr:col>5</xdr:col>
      <xdr:colOff>701634</xdr:colOff>
      <xdr:row>109</xdr:row>
      <xdr:rowOff>139700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A334439-06C4-88DF-CC1F-B74167D269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0" y="20294600"/>
          <a:ext cx="4816434" cy="199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150</xdr:row>
      <xdr:rowOff>139699</xdr:rowOff>
    </xdr:from>
    <xdr:to>
      <xdr:col>5</xdr:col>
      <xdr:colOff>812800</xdr:colOff>
      <xdr:row>162</xdr:row>
      <xdr:rowOff>116764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0CD64B4-C454-3026-DB91-3F5BDA96DC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30619699"/>
          <a:ext cx="4851400" cy="241546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164</xdr:row>
      <xdr:rowOff>0</xdr:rowOff>
    </xdr:from>
    <xdr:to>
      <xdr:col>6</xdr:col>
      <xdr:colOff>114300</xdr:colOff>
      <xdr:row>173</xdr:row>
      <xdr:rowOff>139700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4D06B9A-1086-C4A0-1994-C040DACB8C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200" y="33324800"/>
          <a:ext cx="4686300" cy="1968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138546</xdr:colOff>
      <xdr:row>68</xdr:row>
      <xdr:rowOff>69273</xdr:rowOff>
    </xdr:from>
    <xdr:to>
      <xdr:col>19</xdr:col>
      <xdr:colOff>675271</xdr:colOff>
      <xdr:row>83</xdr:row>
      <xdr:rowOff>109728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C5FA97-AE11-3CD3-7C57-F146B0FA3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7637" y="14200909"/>
          <a:ext cx="3861816" cy="3157728"/>
        </a:xfrm>
        <a:prstGeom prst="rect">
          <a:avLst/>
        </a:prstGeom>
      </xdr:spPr>
    </xdr:pic>
    <xdr:clientData/>
  </xdr:twoCellAnchor>
  <xdr:twoCellAnchor editAs="oneCell">
    <xdr:from>
      <xdr:col>20</xdr:col>
      <xdr:colOff>305863</xdr:colOff>
      <xdr:row>68</xdr:row>
      <xdr:rowOff>63409</xdr:rowOff>
    </xdr:from>
    <xdr:to>
      <xdr:col>24</xdr:col>
      <xdr:colOff>757245</xdr:colOff>
      <xdr:row>83</xdr:row>
      <xdr:rowOff>103864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DE093E1-FFAA-751F-E1A2-DD2B1AB52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1318" y="14195045"/>
          <a:ext cx="3776472" cy="3157728"/>
        </a:xfrm>
        <a:prstGeom prst="rect">
          <a:avLst/>
        </a:prstGeom>
      </xdr:spPr>
    </xdr:pic>
    <xdr:clientData/>
  </xdr:twoCellAnchor>
  <xdr:twoCellAnchor editAs="oneCell">
    <xdr:from>
      <xdr:col>14</xdr:col>
      <xdr:colOff>329046</xdr:colOff>
      <xdr:row>19</xdr:row>
      <xdr:rowOff>155865</xdr:rowOff>
    </xdr:from>
    <xdr:to>
      <xdr:col>19</xdr:col>
      <xdr:colOff>4018</xdr:colOff>
      <xdr:row>34</xdr:row>
      <xdr:rowOff>196320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E33E0A4-8DF8-B21B-3950-6CF5D8E2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6864" y="4104410"/>
          <a:ext cx="3831336" cy="3157728"/>
        </a:xfrm>
        <a:prstGeom prst="rect">
          <a:avLst/>
        </a:prstGeom>
      </xdr:spPr>
    </xdr:pic>
    <xdr:clientData/>
  </xdr:twoCellAnchor>
  <xdr:twoCellAnchor editAs="oneCell">
    <xdr:from>
      <xdr:col>19</xdr:col>
      <xdr:colOff>565637</xdr:colOff>
      <xdr:row>19</xdr:row>
      <xdr:rowOff>150001</xdr:rowOff>
    </xdr:from>
    <xdr:to>
      <xdr:col>24</xdr:col>
      <xdr:colOff>380818</xdr:colOff>
      <xdr:row>33</xdr:row>
      <xdr:rowOff>194058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769A50B-1993-8C14-5947-D37742A17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9819" y="4098546"/>
          <a:ext cx="3971544" cy="2953512"/>
        </a:xfrm>
        <a:prstGeom prst="rect">
          <a:avLst/>
        </a:prstGeom>
      </xdr:spPr>
    </xdr:pic>
    <xdr:clientData/>
  </xdr:twoCellAnchor>
  <xdr:twoCellAnchor editAs="oneCell">
    <xdr:from>
      <xdr:col>14</xdr:col>
      <xdr:colOff>398318</xdr:colOff>
      <xdr:row>35</xdr:row>
      <xdr:rowOff>138546</xdr:rowOff>
    </xdr:from>
    <xdr:to>
      <xdr:col>19</xdr:col>
      <xdr:colOff>94626</xdr:colOff>
      <xdr:row>50</xdr:row>
      <xdr:rowOff>866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2A039C5-1CCA-84EE-CC48-38E4F8935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6136" y="7412182"/>
          <a:ext cx="3852672" cy="2971800"/>
        </a:xfrm>
        <a:prstGeom prst="rect">
          <a:avLst/>
        </a:prstGeom>
      </xdr:spPr>
    </xdr:pic>
    <xdr:clientData/>
  </xdr:twoCellAnchor>
  <xdr:twoCellAnchor editAs="oneCell">
    <xdr:from>
      <xdr:col>19</xdr:col>
      <xdr:colOff>565636</xdr:colOff>
      <xdr:row>35</xdr:row>
      <xdr:rowOff>167319</xdr:rowOff>
    </xdr:from>
    <xdr:to>
      <xdr:col>24</xdr:col>
      <xdr:colOff>359481</xdr:colOff>
      <xdr:row>50</xdr:row>
      <xdr:rowOff>18798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7499209-D392-BC05-90DE-EBE12A585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9818" y="7440955"/>
          <a:ext cx="3950208" cy="2968752"/>
        </a:xfrm>
        <a:prstGeom prst="rect">
          <a:avLst/>
        </a:prstGeom>
      </xdr:spPr>
    </xdr:pic>
    <xdr:clientData/>
  </xdr:twoCellAnchor>
  <xdr:twoCellAnchor editAs="oneCell">
    <xdr:from>
      <xdr:col>15</xdr:col>
      <xdr:colOff>51954</xdr:colOff>
      <xdr:row>84</xdr:row>
      <xdr:rowOff>138546</xdr:rowOff>
    </xdr:from>
    <xdr:to>
      <xdr:col>19</xdr:col>
      <xdr:colOff>625255</xdr:colOff>
      <xdr:row>99</xdr:row>
      <xdr:rowOff>179001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C488E6C-560B-1F1A-64B1-7759EB564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1045" y="17595273"/>
          <a:ext cx="3898392" cy="3157728"/>
        </a:xfrm>
        <a:prstGeom prst="rect">
          <a:avLst/>
        </a:prstGeom>
      </xdr:spPr>
    </xdr:pic>
    <xdr:clientData/>
  </xdr:twoCellAnchor>
  <xdr:twoCellAnchor editAs="oneCell">
    <xdr:from>
      <xdr:col>20</xdr:col>
      <xdr:colOff>149999</xdr:colOff>
      <xdr:row>84</xdr:row>
      <xdr:rowOff>167318</xdr:rowOff>
    </xdr:from>
    <xdr:to>
      <xdr:col>24</xdr:col>
      <xdr:colOff>668437</xdr:colOff>
      <xdr:row>98</xdr:row>
      <xdr:rowOff>95551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89F3476-B1D7-1E57-5B38-4E7EC3281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75454" y="17624045"/>
          <a:ext cx="3843528" cy="2837688"/>
        </a:xfrm>
        <a:prstGeom prst="rect">
          <a:avLst/>
        </a:prstGeom>
      </xdr:spPr>
    </xdr:pic>
    <xdr:clientData/>
  </xdr:twoCellAnchor>
  <xdr:twoCellAnchor editAs="oneCell">
    <xdr:from>
      <xdr:col>36</xdr:col>
      <xdr:colOff>63500</xdr:colOff>
      <xdr:row>3</xdr:row>
      <xdr:rowOff>161925</xdr:rowOff>
    </xdr:from>
    <xdr:to>
      <xdr:col>41</xdr:col>
      <xdr:colOff>495300</xdr:colOff>
      <xdr:row>21</xdr:row>
      <xdr:rowOff>63500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CB3B424-D44F-4E37-BBE8-7FB9631E7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38700" y="762000"/>
          <a:ext cx="4622800" cy="3502025"/>
        </a:xfrm>
        <a:prstGeom prst="rect">
          <a:avLst/>
        </a:prstGeom>
      </xdr:spPr>
    </xdr:pic>
    <xdr:clientData/>
  </xdr:twoCellAnchor>
  <xdr:twoCellAnchor editAs="oneCell">
    <xdr:from>
      <xdr:col>30</xdr:col>
      <xdr:colOff>406400</xdr:colOff>
      <xdr:row>4</xdr:row>
      <xdr:rowOff>63500</xdr:rowOff>
    </xdr:from>
    <xdr:to>
      <xdr:col>35</xdr:col>
      <xdr:colOff>609599</xdr:colOff>
      <xdr:row>20</xdr:row>
      <xdr:rowOff>136525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79F46F4-41FA-4D39-8982-221DFD737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2400" y="863600"/>
          <a:ext cx="4394199" cy="3273425"/>
        </a:xfrm>
        <a:prstGeom prst="rect">
          <a:avLst/>
        </a:prstGeom>
      </xdr:spPr>
    </xdr:pic>
    <xdr:clientData/>
  </xdr:twoCellAnchor>
  <xdr:twoCellAnchor editAs="oneCell">
    <xdr:from>
      <xdr:col>25</xdr:col>
      <xdr:colOff>673100</xdr:colOff>
      <xdr:row>6</xdr:row>
      <xdr:rowOff>12700</xdr:rowOff>
    </xdr:from>
    <xdr:to>
      <xdr:col>30</xdr:col>
      <xdr:colOff>25399</xdr:colOff>
      <xdr:row>19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B2FC31B-C690-446D-A5C7-39E1957BD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8100" y="1212850"/>
          <a:ext cx="3543299" cy="2587625"/>
        </a:xfrm>
        <a:prstGeom prst="rect">
          <a:avLst/>
        </a:prstGeom>
      </xdr:spPr>
    </xdr:pic>
    <xdr:clientData/>
  </xdr:twoCellAnchor>
  <xdr:twoCellAnchor editAs="oneCell">
    <xdr:from>
      <xdr:col>20</xdr:col>
      <xdr:colOff>647700</xdr:colOff>
      <xdr:row>5</xdr:row>
      <xdr:rowOff>187325</xdr:rowOff>
    </xdr:from>
    <xdr:to>
      <xdr:col>23</xdr:col>
      <xdr:colOff>739761</xdr:colOff>
      <xdr:row>18</xdr:row>
      <xdr:rowOff>54356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1932500-F321-4FD5-BFA5-EEB300023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1700" y="1187450"/>
          <a:ext cx="2606661" cy="2467356"/>
        </a:xfrm>
        <a:prstGeom prst="rect">
          <a:avLst/>
        </a:prstGeom>
      </xdr:spPr>
    </xdr:pic>
    <xdr:clientData/>
  </xdr:twoCellAnchor>
  <xdr:twoCellAnchor editAs="oneCell">
    <xdr:from>
      <xdr:col>27</xdr:col>
      <xdr:colOff>371475</xdr:colOff>
      <xdr:row>53</xdr:row>
      <xdr:rowOff>114300</xdr:rowOff>
    </xdr:from>
    <xdr:to>
      <xdr:col>31</xdr:col>
      <xdr:colOff>93052</xdr:colOff>
      <xdr:row>69</xdr:row>
      <xdr:rowOff>32239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CB66795-12C4-4F5A-B05E-01B777648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2875" y="10715625"/>
          <a:ext cx="3074377" cy="3118339"/>
        </a:xfrm>
        <a:prstGeom prst="rect">
          <a:avLst/>
        </a:prstGeom>
      </xdr:spPr>
    </xdr:pic>
    <xdr:clientData/>
  </xdr:twoCellAnchor>
  <xdr:twoCellAnchor editAs="oneCell">
    <xdr:from>
      <xdr:col>31</xdr:col>
      <xdr:colOff>527782</xdr:colOff>
      <xdr:row>54</xdr:row>
      <xdr:rowOff>84993</xdr:rowOff>
    </xdr:from>
    <xdr:to>
      <xdr:col>36</xdr:col>
      <xdr:colOff>338259</xdr:colOff>
      <xdr:row>68</xdr:row>
      <xdr:rowOff>108439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682AAD5-B113-4B1E-AF2B-DD680869B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982" y="10886343"/>
          <a:ext cx="4001477" cy="2823796"/>
        </a:xfrm>
        <a:prstGeom prst="rect">
          <a:avLst/>
        </a:prstGeom>
      </xdr:spPr>
    </xdr:pic>
    <xdr:clientData/>
  </xdr:twoCellAnchor>
  <xdr:twoCellAnchor editAs="oneCell">
    <xdr:from>
      <xdr:col>36</xdr:col>
      <xdr:colOff>566859</xdr:colOff>
      <xdr:row>54</xdr:row>
      <xdr:rowOff>36147</xdr:rowOff>
    </xdr:from>
    <xdr:to>
      <xdr:col>41</xdr:col>
      <xdr:colOff>428136</xdr:colOff>
      <xdr:row>69</xdr:row>
      <xdr:rowOff>11968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63E95B9-D290-4826-8741-7A4057913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42059" y="10837497"/>
          <a:ext cx="4052277" cy="2976196"/>
        </a:xfrm>
        <a:prstGeom prst="rect">
          <a:avLst/>
        </a:prstGeom>
      </xdr:spPr>
    </xdr:pic>
    <xdr:clientData/>
  </xdr:twoCellAnchor>
  <xdr:twoCellAnchor editAs="oneCell">
    <xdr:from>
      <xdr:col>41</xdr:col>
      <xdr:colOff>732936</xdr:colOff>
      <xdr:row>55</xdr:row>
      <xdr:rowOff>143608</xdr:rowOff>
    </xdr:from>
    <xdr:to>
      <xdr:col>46</xdr:col>
      <xdr:colOff>327513</xdr:colOff>
      <xdr:row>68</xdr:row>
      <xdr:rowOff>29308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522B7A2-25D6-4D26-B018-198ECA38C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99136" y="11144983"/>
          <a:ext cx="3785577" cy="2486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3</xdr:row>
      <xdr:rowOff>25400</xdr:rowOff>
    </xdr:from>
    <xdr:to>
      <xdr:col>4</xdr:col>
      <xdr:colOff>596900</xdr:colOff>
      <xdr:row>36</xdr:row>
      <xdr:rowOff>76200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EAE46ED-4BCB-BF46-B94D-929D865FCB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330200" y="635000"/>
          <a:ext cx="3568700" cy="6756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83</xdr:row>
      <xdr:rowOff>63500</xdr:rowOff>
    </xdr:from>
    <xdr:to>
      <xdr:col>6</xdr:col>
      <xdr:colOff>241300</xdr:colOff>
      <xdr:row>106</xdr:row>
      <xdr:rowOff>190500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83BD213-D394-C1F5-1A16-84C8ACB197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0" y="16929100"/>
          <a:ext cx="4876800" cy="480060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698500</xdr:colOff>
      <xdr:row>109</xdr:row>
      <xdr:rowOff>101600</xdr:rowOff>
    </xdr:from>
    <xdr:to>
      <xdr:col>5</xdr:col>
      <xdr:colOff>317500</xdr:colOff>
      <xdr:row>125</xdr:row>
      <xdr:rowOff>50800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AB9792A-08EE-A987-3C51-FE2FD1725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8500" y="22250400"/>
          <a:ext cx="3746500" cy="320040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131</xdr:row>
      <xdr:rowOff>63500</xdr:rowOff>
    </xdr:from>
    <xdr:to>
      <xdr:col>5</xdr:col>
      <xdr:colOff>292100</xdr:colOff>
      <xdr:row>148</xdr:row>
      <xdr:rowOff>165100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30531BE-B6E7-4162-CFEA-5A0E225686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300" y="26682700"/>
          <a:ext cx="3924300" cy="3556000"/>
        </a:xfrm>
        <a:prstGeom prst="rect">
          <a:avLst/>
        </a:prstGeom>
      </xdr:spPr>
    </xdr:pic>
    <xdr:clientData/>
  </xdr:twoCellAnchor>
  <xdr:twoCellAnchor editAs="oneCell">
    <xdr:from>
      <xdr:col>0</xdr:col>
      <xdr:colOff>622300</xdr:colOff>
      <xdr:row>150</xdr:row>
      <xdr:rowOff>12699</xdr:rowOff>
    </xdr:from>
    <xdr:to>
      <xdr:col>5</xdr:col>
      <xdr:colOff>533400</xdr:colOff>
      <xdr:row>169</xdr:row>
      <xdr:rowOff>74280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14327C3-FCCB-21F6-238B-0CBD4772F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2300" y="30492699"/>
          <a:ext cx="4038600" cy="3922381"/>
        </a:xfrm>
        <a:prstGeom prst="rect">
          <a:avLst/>
        </a:prstGeom>
      </xdr:spPr>
    </xdr:pic>
    <xdr:clientData/>
  </xdr:twoCellAnchor>
  <xdr:twoCellAnchor editAs="oneCell">
    <xdr:from>
      <xdr:col>15</xdr:col>
      <xdr:colOff>250730</xdr:colOff>
      <xdr:row>20</xdr:row>
      <xdr:rowOff>11905</xdr:rowOff>
    </xdr:from>
    <xdr:to>
      <xdr:col>19</xdr:col>
      <xdr:colOff>178592</xdr:colOff>
      <xdr:row>35</xdr:row>
      <xdr:rowOff>11906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468FAE2-8266-8037-139B-9940EBB481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52293" y="4060030"/>
          <a:ext cx="3261612" cy="3036095"/>
        </a:xfrm>
        <a:prstGeom prst="rect">
          <a:avLst/>
        </a:prstGeom>
      </xdr:spPr>
    </xdr:pic>
    <xdr:clientData/>
  </xdr:twoCellAnchor>
  <xdr:twoCellAnchor editAs="oneCell">
    <xdr:from>
      <xdr:col>20</xdr:col>
      <xdr:colOff>647876</xdr:colOff>
      <xdr:row>20</xdr:row>
      <xdr:rowOff>135682</xdr:rowOff>
    </xdr:from>
    <xdr:to>
      <xdr:col>24</xdr:col>
      <xdr:colOff>642537</xdr:colOff>
      <xdr:row>33</xdr:row>
      <xdr:rowOff>8649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2A1904E-2D50-B202-E218-BAF54AEC9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6626" y="4183807"/>
          <a:ext cx="3328411" cy="2504248"/>
        </a:xfrm>
        <a:prstGeom prst="rect">
          <a:avLst/>
        </a:prstGeom>
      </xdr:spPr>
    </xdr:pic>
    <xdr:clientData/>
  </xdr:twoCellAnchor>
  <xdr:twoCellAnchor editAs="oneCell">
    <xdr:from>
      <xdr:col>14</xdr:col>
      <xdr:colOff>713097</xdr:colOff>
      <xdr:row>36</xdr:row>
      <xdr:rowOff>142876</xdr:rowOff>
    </xdr:from>
    <xdr:to>
      <xdr:col>19</xdr:col>
      <xdr:colOff>33240</xdr:colOff>
      <xdr:row>49</xdr:row>
      <xdr:rowOff>146019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8DB8F3D-E9DB-5986-DC33-C4B12A9DD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1222" y="7429501"/>
          <a:ext cx="3487331" cy="2634424"/>
        </a:xfrm>
        <a:prstGeom prst="rect">
          <a:avLst/>
        </a:prstGeom>
      </xdr:spPr>
    </xdr:pic>
    <xdr:clientData/>
  </xdr:twoCellAnchor>
  <xdr:twoCellAnchor editAs="oneCell">
    <xdr:from>
      <xdr:col>20</xdr:col>
      <xdr:colOff>344148</xdr:colOff>
      <xdr:row>36</xdr:row>
      <xdr:rowOff>114282</xdr:rowOff>
    </xdr:from>
    <xdr:to>
      <xdr:col>24</xdr:col>
      <xdr:colOff>406887</xdr:colOff>
      <xdr:row>49</xdr:row>
      <xdr:rowOff>117425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84841EF-8EB5-31F0-5B24-4925F203B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2898" y="7400907"/>
          <a:ext cx="3396489" cy="2634424"/>
        </a:xfrm>
        <a:prstGeom prst="rect">
          <a:avLst/>
        </a:prstGeom>
      </xdr:spPr>
    </xdr:pic>
    <xdr:clientData/>
  </xdr:twoCellAnchor>
  <xdr:twoCellAnchor editAs="oneCell">
    <xdr:from>
      <xdr:col>14</xdr:col>
      <xdr:colOff>708468</xdr:colOff>
      <xdr:row>66</xdr:row>
      <xdr:rowOff>154780</xdr:rowOff>
    </xdr:from>
    <xdr:to>
      <xdr:col>18</xdr:col>
      <xdr:colOff>548545</xdr:colOff>
      <xdr:row>78</xdr:row>
      <xdr:rowOff>128586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E52725C-AAC5-3682-3BB2-C9D57D6C5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6593" y="13513593"/>
          <a:ext cx="3173827" cy="2402681"/>
        </a:xfrm>
        <a:prstGeom prst="rect">
          <a:avLst/>
        </a:prstGeom>
      </xdr:spPr>
    </xdr:pic>
    <xdr:clientData/>
  </xdr:twoCellAnchor>
  <xdr:twoCellAnchor editAs="oneCell">
    <xdr:from>
      <xdr:col>20</xdr:col>
      <xdr:colOff>242383</xdr:colOff>
      <xdr:row>66</xdr:row>
      <xdr:rowOff>113533</xdr:rowOff>
    </xdr:from>
    <xdr:to>
      <xdr:col>24</xdr:col>
      <xdr:colOff>91613</xdr:colOff>
      <xdr:row>77</xdr:row>
      <xdr:rowOff>179909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ED6779D-DD47-93DC-7545-C28630FAA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11133" y="13472346"/>
          <a:ext cx="3182980" cy="2292844"/>
        </a:xfrm>
        <a:prstGeom prst="rect">
          <a:avLst/>
        </a:prstGeom>
      </xdr:spPr>
    </xdr:pic>
    <xdr:clientData/>
  </xdr:twoCellAnchor>
  <xdr:twoCellAnchor editAs="oneCell">
    <xdr:from>
      <xdr:col>14</xdr:col>
      <xdr:colOff>771816</xdr:colOff>
      <xdr:row>52</xdr:row>
      <xdr:rowOff>71437</xdr:rowOff>
    </xdr:from>
    <xdr:to>
      <xdr:col>18</xdr:col>
      <xdr:colOff>683038</xdr:colOff>
      <xdr:row>64</xdr:row>
      <xdr:rowOff>60102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4EFB964-D6D8-8D6E-32CF-5068DAA08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9941" y="10596562"/>
          <a:ext cx="3244972" cy="2417540"/>
        </a:xfrm>
        <a:prstGeom prst="rect">
          <a:avLst/>
        </a:prstGeom>
      </xdr:spPr>
    </xdr:pic>
    <xdr:clientData/>
  </xdr:twoCellAnchor>
  <xdr:twoCellAnchor editAs="oneCell">
    <xdr:from>
      <xdr:col>20</xdr:col>
      <xdr:colOff>394255</xdr:colOff>
      <xdr:row>51</xdr:row>
      <xdr:rowOff>182044</xdr:rowOff>
    </xdr:from>
    <xdr:to>
      <xdr:col>24</xdr:col>
      <xdr:colOff>247916</xdr:colOff>
      <xdr:row>64</xdr:row>
      <xdr:rowOff>42652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4553884-DC36-17EE-184A-A4C2391EB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63005" y="10504763"/>
          <a:ext cx="3187411" cy="2491889"/>
        </a:xfrm>
        <a:prstGeom prst="rect">
          <a:avLst/>
        </a:prstGeom>
      </xdr:spPr>
    </xdr:pic>
    <xdr:clientData/>
  </xdr:twoCellAnchor>
  <xdr:twoCellAnchor editAs="oneCell">
    <xdr:from>
      <xdr:col>15</xdr:col>
      <xdr:colOff>408962</xdr:colOff>
      <xdr:row>4</xdr:row>
      <xdr:rowOff>190500</xdr:rowOff>
    </xdr:from>
    <xdr:to>
      <xdr:col>19</xdr:col>
      <xdr:colOff>147161</xdr:colOff>
      <xdr:row>17</xdr:row>
      <xdr:rowOff>23813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8B17C3F-404F-719F-BBF6-388D5A2E5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0525" y="1000125"/>
          <a:ext cx="3071949" cy="2464594"/>
        </a:xfrm>
        <a:prstGeom prst="rect">
          <a:avLst/>
        </a:prstGeom>
      </xdr:spPr>
    </xdr:pic>
    <xdr:clientData/>
  </xdr:twoCellAnchor>
  <xdr:twoCellAnchor editAs="oneCell">
    <xdr:from>
      <xdr:col>21</xdr:col>
      <xdr:colOff>119134</xdr:colOff>
      <xdr:row>4</xdr:row>
      <xdr:rowOff>138094</xdr:rowOff>
    </xdr:from>
    <xdr:to>
      <xdr:col>24</xdr:col>
      <xdr:colOff>693116</xdr:colOff>
      <xdr:row>16</xdr:row>
      <xdr:rowOff>143328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FB23BD6-B6D5-2A66-46F2-F34FB73E9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22" y="947719"/>
          <a:ext cx="3074294" cy="24341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86592</xdr:colOff>
      <xdr:row>25</xdr:row>
      <xdr:rowOff>69273</xdr:rowOff>
    </xdr:from>
    <xdr:to>
      <xdr:col>6</xdr:col>
      <xdr:colOff>632461</xdr:colOff>
      <xdr:row>39</xdr:row>
      <xdr:rowOff>82851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7A3F62-4AE4-1F4C-AB82-B46FF55FE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137" y="5264728"/>
          <a:ext cx="3870960" cy="2923032"/>
        </a:xfrm>
        <a:prstGeom prst="rect">
          <a:avLst/>
        </a:prstGeom>
      </xdr:spPr>
    </xdr:pic>
    <xdr:clientData/>
  </xdr:twoCellAnchor>
  <xdr:twoCellAnchor editAs="oneCell">
    <xdr:from>
      <xdr:col>2</xdr:col>
      <xdr:colOff>294409</xdr:colOff>
      <xdr:row>42</xdr:row>
      <xdr:rowOff>121228</xdr:rowOff>
    </xdr:from>
    <xdr:to>
      <xdr:col>6</xdr:col>
      <xdr:colOff>812846</xdr:colOff>
      <xdr:row>57</xdr:row>
      <xdr:rowOff>161684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B8BF421-7CDB-4D9C-947D-50DE41BC3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6954" y="8849592"/>
          <a:ext cx="3843528" cy="3157728"/>
        </a:xfrm>
        <a:prstGeom prst="rect">
          <a:avLst/>
        </a:prstGeom>
      </xdr:spPr>
    </xdr:pic>
    <xdr:clientData/>
  </xdr:twoCellAnchor>
  <xdr:twoCellAnchor editAs="oneCell">
    <xdr:from>
      <xdr:col>2</xdr:col>
      <xdr:colOff>155865</xdr:colOff>
      <xdr:row>60</xdr:row>
      <xdr:rowOff>34637</xdr:rowOff>
    </xdr:from>
    <xdr:to>
      <xdr:col>6</xdr:col>
      <xdr:colOff>750502</xdr:colOff>
      <xdr:row>74</xdr:row>
      <xdr:rowOff>51263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90A019A-665A-F9CD-7BD1-65BA1C339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410" y="12503728"/>
          <a:ext cx="3919728" cy="29260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14</xdr:row>
      <xdr:rowOff>123825</xdr:rowOff>
    </xdr:from>
    <xdr:to>
      <xdr:col>4</xdr:col>
      <xdr:colOff>872490</xdr:colOff>
      <xdr:row>30</xdr:row>
      <xdr:rowOff>93345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AFBBB5-4F3F-6952-6FAB-8D6E673F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924175"/>
          <a:ext cx="420624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31</xdr:row>
      <xdr:rowOff>161925</xdr:rowOff>
    </xdr:from>
    <xdr:to>
      <xdr:col>4</xdr:col>
      <xdr:colOff>872109</xdr:colOff>
      <xdr:row>49</xdr:row>
      <xdr:rowOff>14859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43FDD3F-6085-17D2-E118-F78AAAFBE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62700"/>
          <a:ext cx="4291584" cy="345338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50</xdr:row>
      <xdr:rowOff>104775</xdr:rowOff>
    </xdr:from>
    <xdr:to>
      <xdr:col>4</xdr:col>
      <xdr:colOff>843153</xdr:colOff>
      <xdr:row>65</xdr:row>
      <xdr:rowOff>195072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5E0D602-AC2B-8A73-CD10-50A3DB86E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0106025"/>
          <a:ext cx="4072128" cy="30906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5</xdr:row>
      <xdr:rowOff>88899</xdr:rowOff>
    </xdr:from>
    <xdr:to>
      <xdr:col>6</xdr:col>
      <xdr:colOff>381000</xdr:colOff>
      <xdr:row>16</xdr:row>
      <xdr:rowOff>23784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2FF417-E807-99C1-17AA-0D9CBCDDBF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1300" y="1104899"/>
          <a:ext cx="5092700" cy="2170085"/>
        </a:xfrm>
        <a:prstGeom prst="rect">
          <a:avLst/>
        </a:prstGeom>
      </xdr:spPr>
    </xdr:pic>
    <xdr:clientData/>
  </xdr:twoCellAnchor>
  <xdr:twoCellAnchor editAs="oneCell">
    <xdr:from>
      <xdr:col>0</xdr:col>
      <xdr:colOff>469900</xdr:colOff>
      <xdr:row>16</xdr:row>
      <xdr:rowOff>139700</xdr:rowOff>
    </xdr:from>
    <xdr:to>
      <xdr:col>5</xdr:col>
      <xdr:colOff>787400</xdr:colOff>
      <xdr:row>26</xdr:row>
      <xdr:rowOff>63500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79ABBB7-422F-515E-DF66-B443A895AC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9900" y="3390900"/>
          <a:ext cx="4445000" cy="1955800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30</xdr:row>
      <xdr:rowOff>127000</xdr:rowOff>
    </xdr:from>
    <xdr:to>
      <xdr:col>6</xdr:col>
      <xdr:colOff>622300</xdr:colOff>
      <xdr:row>39</xdr:row>
      <xdr:rowOff>50258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2BD6BC9-1782-3226-2524-08B5DF1019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5100" y="6223000"/>
          <a:ext cx="5410200" cy="175205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39</xdr:row>
      <xdr:rowOff>190499</xdr:rowOff>
    </xdr:from>
    <xdr:to>
      <xdr:col>6</xdr:col>
      <xdr:colOff>520700</xdr:colOff>
      <xdr:row>50</xdr:row>
      <xdr:rowOff>99594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53D9E06-97C0-E294-B7A6-B0040A5E5E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0" y="8115299"/>
          <a:ext cx="5092700" cy="214429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55</xdr:row>
      <xdr:rowOff>25399</xdr:rowOff>
    </xdr:from>
    <xdr:to>
      <xdr:col>6</xdr:col>
      <xdr:colOff>800100</xdr:colOff>
      <xdr:row>66</xdr:row>
      <xdr:rowOff>68178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2A16CF1-5590-577C-C0EC-697E4C71D0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900" y="11201399"/>
          <a:ext cx="5410200" cy="2277979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368300</xdr:colOff>
      <xdr:row>67</xdr:row>
      <xdr:rowOff>25400</xdr:rowOff>
    </xdr:from>
    <xdr:to>
      <xdr:col>7</xdr:col>
      <xdr:colOff>0</xdr:colOff>
      <xdr:row>79</xdr:row>
      <xdr:rowOff>64198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D958A0B-C9F5-C318-7E9C-09FDEDB89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8300" y="13639800"/>
          <a:ext cx="5410200" cy="2477198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82</xdr:row>
      <xdr:rowOff>76199</xdr:rowOff>
    </xdr:from>
    <xdr:to>
      <xdr:col>6</xdr:col>
      <xdr:colOff>622300</xdr:colOff>
      <xdr:row>93</xdr:row>
      <xdr:rowOff>48048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7F7A3FA-F395-CC10-3BA3-ACE415BAD6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5100" y="17551399"/>
          <a:ext cx="5410200" cy="2207049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253999</xdr:colOff>
      <xdr:row>94</xdr:row>
      <xdr:rowOff>139700</xdr:rowOff>
    </xdr:from>
    <xdr:to>
      <xdr:col>6</xdr:col>
      <xdr:colOff>558800</xdr:colOff>
      <xdr:row>104</xdr:row>
      <xdr:rowOff>173924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55977816-AA99-D568-B965-D49F158422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3999" y="20053300"/>
          <a:ext cx="5257801" cy="20662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288180</xdr:colOff>
      <xdr:row>36</xdr:row>
      <xdr:rowOff>152400</xdr:rowOff>
    </xdr:from>
    <xdr:to>
      <xdr:col>18</xdr:col>
      <xdr:colOff>123444</xdr:colOff>
      <xdr:row>48</xdr:row>
      <xdr:rowOff>153162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76DD08-7830-B4CB-5933-005C70E09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2980" y="7353300"/>
          <a:ext cx="3188064" cy="2401062"/>
        </a:xfrm>
        <a:prstGeom prst="rect">
          <a:avLst/>
        </a:prstGeom>
      </xdr:spPr>
    </xdr:pic>
    <xdr:clientData/>
  </xdr:twoCellAnchor>
  <xdr:twoCellAnchor editAs="oneCell">
    <xdr:from>
      <xdr:col>19</xdr:col>
      <xdr:colOff>469044</xdr:colOff>
      <xdr:row>36</xdr:row>
      <xdr:rowOff>109450</xdr:rowOff>
    </xdr:from>
    <xdr:to>
      <xdr:col>23</xdr:col>
      <xdr:colOff>214769</xdr:colOff>
      <xdr:row>48</xdr:row>
      <xdr:rowOff>166763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EAE3A-999C-AEFC-AAE4-7E73CE0B5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4844" y="7310350"/>
          <a:ext cx="3098525" cy="2457613"/>
        </a:xfrm>
        <a:prstGeom prst="rect">
          <a:avLst/>
        </a:prstGeom>
      </xdr:spPr>
    </xdr:pic>
    <xdr:clientData/>
  </xdr:twoCellAnchor>
  <xdr:twoCellAnchor editAs="oneCell">
    <xdr:from>
      <xdr:col>14</xdr:col>
      <xdr:colOff>481467</xdr:colOff>
      <xdr:row>53</xdr:row>
      <xdr:rowOff>19049</xdr:rowOff>
    </xdr:from>
    <xdr:to>
      <xdr:col>17</xdr:col>
      <xdr:colOff>622172</xdr:colOff>
      <xdr:row>63</xdr:row>
      <xdr:rowOff>101726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6C5C692-096E-A1B8-DAA3-098169AAB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6267" y="10620374"/>
          <a:ext cx="2655305" cy="2082927"/>
        </a:xfrm>
        <a:prstGeom prst="rect">
          <a:avLst/>
        </a:prstGeom>
      </xdr:spPr>
    </xdr:pic>
    <xdr:clientData/>
  </xdr:twoCellAnchor>
  <xdr:twoCellAnchor editAs="oneCell">
    <xdr:from>
      <xdr:col>18</xdr:col>
      <xdr:colOff>360157</xdr:colOff>
      <xdr:row>53</xdr:row>
      <xdr:rowOff>15800</xdr:rowOff>
    </xdr:from>
    <xdr:to>
      <xdr:col>21</xdr:col>
      <xdr:colOff>493281</xdr:colOff>
      <xdr:row>63</xdr:row>
      <xdr:rowOff>81419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02BA0CE-57D5-58C4-3E9B-4D7CF9A69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7757" y="10617125"/>
          <a:ext cx="2647724" cy="2065869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</xdr:colOff>
      <xdr:row>20</xdr:row>
      <xdr:rowOff>156621</xdr:rowOff>
    </xdr:from>
    <xdr:to>
      <xdr:col>18</xdr:col>
      <xdr:colOff>257556</xdr:colOff>
      <xdr:row>33</xdr:row>
      <xdr:rowOff>169926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75048B9-E067-5762-C9CA-C409E4444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4157121"/>
          <a:ext cx="3457956" cy="2613630"/>
        </a:xfrm>
        <a:prstGeom prst="rect">
          <a:avLst/>
        </a:prstGeom>
      </xdr:spPr>
    </xdr:pic>
    <xdr:clientData/>
  </xdr:twoCellAnchor>
  <xdr:twoCellAnchor editAs="oneCell">
    <xdr:from>
      <xdr:col>19</xdr:col>
      <xdr:colOff>355912</xdr:colOff>
      <xdr:row>20</xdr:row>
      <xdr:rowOff>107650</xdr:rowOff>
    </xdr:from>
    <xdr:to>
      <xdr:col>23</xdr:col>
      <xdr:colOff>352692</xdr:colOff>
      <xdr:row>33</xdr:row>
      <xdr:rowOff>125996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8A9B521-1EDE-B19B-1827-8E4D3CA3C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1712" y="4108150"/>
          <a:ext cx="3349580" cy="2618671"/>
        </a:xfrm>
        <a:prstGeom prst="rect">
          <a:avLst/>
        </a:prstGeom>
      </xdr:spPr>
    </xdr:pic>
    <xdr:clientData/>
  </xdr:twoCellAnchor>
  <xdr:twoCellAnchor editAs="oneCell">
    <xdr:from>
      <xdr:col>14</xdr:col>
      <xdr:colOff>486056</xdr:colOff>
      <xdr:row>5</xdr:row>
      <xdr:rowOff>152400</xdr:rowOff>
    </xdr:from>
    <xdr:to>
      <xdr:col>18</xdr:col>
      <xdr:colOff>670321</xdr:colOff>
      <xdr:row>19</xdr:row>
      <xdr:rowOff>153439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A374115-E062-CE7C-2D79-0B29A7BD8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856" y="1152525"/>
          <a:ext cx="3537065" cy="2801389"/>
        </a:xfrm>
        <a:prstGeom prst="rect">
          <a:avLst/>
        </a:prstGeom>
      </xdr:spPr>
    </xdr:pic>
    <xdr:clientData/>
  </xdr:twoCellAnchor>
  <xdr:twoCellAnchor editAs="oneCell">
    <xdr:from>
      <xdr:col>19</xdr:col>
      <xdr:colOff>657399</xdr:colOff>
      <xdr:row>5</xdr:row>
      <xdr:rowOff>175149</xdr:rowOff>
    </xdr:from>
    <xdr:to>
      <xdr:col>23</xdr:col>
      <xdr:colOff>793509</xdr:colOff>
      <xdr:row>19</xdr:row>
      <xdr:rowOff>154191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D59EA64-EF00-DDC6-D40F-5F8102173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3199" y="1175274"/>
          <a:ext cx="3488910" cy="2779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CA107-CED0-ED48-BE51-4C5F05980D02}">
  <dimension ref="A2:R245"/>
  <sheetViews>
    <sheetView topLeftCell="A229" workbookViewId="0">
      <selection activeCell="O166" sqref="O166"/>
    </sheetView>
  </sheetViews>
  <sheetFormatPr defaultColWidth="11" defaultRowHeight="15.75"/>
  <sheetData>
    <row r="2" spans="1:8">
      <c r="A2" s="20" t="s">
        <v>0</v>
      </c>
    </row>
    <row r="4" spans="1:8">
      <c r="F4" t="s">
        <v>1</v>
      </c>
    </row>
    <row r="6" spans="1:8">
      <c r="F6" s="31" t="s">
        <v>2</v>
      </c>
      <c r="G6" t="s">
        <v>3</v>
      </c>
      <c r="H6" t="s">
        <v>4</v>
      </c>
    </row>
    <row r="7" spans="1:8">
      <c r="F7" s="31" t="s">
        <v>2</v>
      </c>
      <c r="G7" t="s">
        <v>5</v>
      </c>
      <c r="H7" t="s">
        <v>6</v>
      </c>
    </row>
    <row r="8" spans="1:8">
      <c r="F8" s="31" t="s">
        <v>2</v>
      </c>
      <c r="G8" t="s">
        <v>7</v>
      </c>
      <c r="H8" t="s">
        <v>8</v>
      </c>
    </row>
    <row r="9" spans="1:8">
      <c r="G9" t="s">
        <v>9</v>
      </c>
      <c r="H9" t="s">
        <v>10</v>
      </c>
    </row>
    <row r="10" spans="1:8">
      <c r="G10" t="s">
        <v>11</v>
      </c>
      <c r="H10" t="s">
        <v>12</v>
      </c>
    </row>
    <row r="21" spans="6:8">
      <c r="F21" t="s">
        <v>13</v>
      </c>
    </row>
    <row r="23" spans="6:8">
      <c r="F23" s="31" t="s">
        <v>2</v>
      </c>
      <c r="G23" t="s">
        <v>3</v>
      </c>
      <c r="H23" t="s">
        <v>4</v>
      </c>
    </row>
    <row r="24" spans="6:8">
      <c r="F24" s="31" t="s">
        <v>2</v>
      </c>
      <c r="G24" t="s">
        <v>5</v>
      </c>
      <c r="H24" t="s">
        <v>6</v>
      </c>
    </row>
    <row r="25" spans="6:8">
      <c r="F25" s="31" t="s">
        <v>2</v>
      </c>
      <c r="G25" t="s">
        <v>7</v>
      </c>
      <c r="H25" t="s">
        <v>8</v>
      </c>
    </row>
    <row r="26" spans="6:8">
      <c r="G26" t="s">
        <v>9</v>
      </c>
      <c r="H26" t="s">
        <v>10</v>
      </c>
    </row>
    <row r="27" spans="6:8">
      <c r="G27" t="s">
        <v>11</v>
      </c>
      <c r="H27" t="s">
        <v>12</v>
      </c>
    </row>
    <row r="40" spans="1:16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20" t="s">
        <v>14</v>
      </c>
    </row>
    <row r="42" spans="1:16">
      <c r="A42" t="s">
        <v>15</v>
      </c>
    </row>
    <row r="43" spans="1:16">
      <c r="A43" s="20"/>
    </row>
    <row r="44" spans="1:16">
      <c r="A44" s="20" t="s">
        <v>16</v>
      </c>
    </row>
    <row r="46" spans="1:16">
      <c r="A46" s="55" t="s">
        <v>17</v>
      </c>
      <c r="B46" s="55" t="s">
        <v>18</v>
      </c>
      <c r="C46" s="55" t="s">
        <v>19</v>
      </c>
      <c r="D46" s="55" t="s">
        <v>20</v>
      </c>
      <c r="E46" s="55" t="s">
        <v>21</v>
      </c>
    </row>
    <row r="47" spans="1:16">
      <c r="A47" s="54">
        <v>1</v>
      </c>
      <c r="B47" s="54">
        <v>9</v>
      </c>
      <c r="C47" s="54">
        <v>17</v>
      </c>
      <c r="D47" s="54" t="s">
        <v>22</v>
      </c>
      <c r="E47" s="54" t="s">
        <v>22</v>
      </c>
    </row>
    <row r="48" spans="1:16">
      <c r="A48" s="54">
        <v>2</v>
      </c>
      <c r="B48" s="54">
        <v>8</v>
      </c>
      <c r="C48" s="54">
        <v>17</v>
      </c>
      <c r="D48" s="54" t="s">
        <v>22</v>
      </c>
      <c r="E48" s="54" t="s">
        <v>22</v>
      </c>
    </row>
    <row r="49" spans="1:6">
      <c r="A49" s="54">
        <v>3</v>
      </c>
      <c r="B49" s="54">
        <v>8.5</v>
      </c>
      <c r="C49" s="54">
        <v>17</v>
      </c>
      <c r="D49" s="54" t="s">
        <v>22</v>
      </c>
      <c r="E49" s="54" t="s">
        <v>22</v>
      </c>
    </row>
    <row r="50" spans="1:6">
      <c r="A50" s="54">
        <v>4</v>
      </c>
      <c r="B50" s="54">
        <v>8.5</v>
      </c>
      <c r="C50" s="54">
        <v>17</v>
      </c>
      <c r="D50" s="54" t="s">
        <v>22</v>
      </c>
      <c r="E50" s="54" t="s">
        <v>22</v>
      </c>
    </row>
    <row r="51" spans="1:6">
      <c r="A51" t="s">
        <v>23</v>
      </c>
      <c r="B51">
        <f>AVERAGE(B47:B50)</f>
        <v>8.5</v>
      </c>
      <c r="C51">
        <f>AVERAGE(C47:C50)</f>
        <v>17</v>
      </c>
      <c r="F51" s="31" t="s">
        <v>24</v>
      </c>
    </row>
    <row r="52" spans="1:6">
      <c r="A52" t="s">
        <v>25</v>
      </c>
      <c r="B52" s="57">
        <f>STDEVA(B47:B50)</f>
        <v>0.40824829046386302</v>
      </c>
      <c r="C52">
        <f>STDEVA(C47:C50)</f>
        <v>0</v>
      </c>
      <c r="F52" s="31" t="s">
        <v>24</v>
      </c>
    </row>
    <row r="54" spans="1:6">
      <c r="A54" s="20" t="s">
        <v>26</v>
      </c>
    </row>
    <row r="56" spans="1:6">
      <c r="A56" s="55" t="s">
        <v>17</v>
      </c>
      <c r="B56" s="55" t="s">
        <v>18</v>
      </c>
      <c r="C56" s="55" t="s">
        <v>19</v>
      </c>
      <c r="D56" s="55" t="s">
        <v>20</v>
      </c>
      <c r="E56" s="55" t="s">
        <v>21</v>
      </c>
    </row>
    <row r="57" spans="1:6">
      <c r="A57" s="54">
        <v>1</v>
      </c>
      <c r="B57" s="54">
        <v>19</v>
      </c>
      <c r="C57" s="54">
        <v>27</v>
      </c>
      <c r="D57" s="54">
        <v>13</v>
      </c>
      <c r="E57" s="54">
        <v>22</v>
      </c>
    </row>
    <row r="58" spans="1:6">
      <c r="A58" s="54">
        <v>2</v>
      </c>
      <c r="B58" s="54">
        <v>19</v>
      </c>
      <c r="C58" s="54">
        <v>27.5</v>
      </c>
      <c r="D58" s="54">
        <v>15</v>
      </c>
      <c r="E58" s="54">
        <v>22</v>
      </c>
    </row>
    <row r="59" spans="1:6">
      <c r="A59" s="54">
        <v>3</v>
      </c>
      <c r="B59" s="54">
        <v>18</v>
      </c>
      <c r="C59" s="54">
        <v>28</v>
      </c>
      <c r="D59" s="54">
        <v>15</v>
      </c>
      <c r="E59" s="54">
        <v>23</v>
      </c>
    </row>
    <row r="60" spans="1:6">
      <c r="A60" s="54">
        <v>4</v>
      </c>
      <c r="B60" s="54">
        <v>18</v>
      </c>
      <c r="C60" s="54">
        <v>28</v>
      </c>
      <c r="D60" s="54">
        <v>16</v>
      </c>
      <c r="E60" s="54">
        <v>22</v>
      </c>
    </row>
    <row r="61" spans="1:6">
      <c r="A61" t="s">
        <v>23</v>
      </c>
      <c r="B61" s="57">
        <f>AVERAGE(B57:B60)</f>
        <v>18.5</v>
      </c>
      <c r="C61" s="57">
        <f>AVERAGE(C57:C60)</f>
        <v>27.625</v>
      </c>
      <c r="D61" s="57">
        <f t="shared" ref="D61:E61" si="0">AVERAGE(D57:D60)</f>
        <v>14.75</v>
      </c>
      <c r="E61" s="57">
        <f t="shared" si="0"/>
        <v>22.25</v>
      </c>
      <c r="F61" s="31" t="s">
        <v>24</v>
      </c>
    </row>
    <row r="62" spans="1:6">
      <c r="A62" t="s">
        <v>25</v>
      </c>
      <c r="B62" s="57">
        <f>STDEVA(B57:B60)</f>
        <v>0.57735026918962573</v>
      </c>
      <c r="C62" s="57">
        <f>STDEVA(C57:C60)</f>
        <v>0.47871355387816905</v>
      </c>
      <c r="D62" s="57">
        <f t="shared" ref="D62:E62" si="1">STDEVA(D57:D60)</f>
        <v>1.2583057392117916</v>
      </c>
      <c r="E62" s="57">
        <f t="shared" si="1"/>
        <v>0.5</v>
      </c>
      <c r="F62" s="31" t="s">
        <v>24</v>
      </c>
    </row>
    <row r="64" spans="1:6">
      <c r="A64" s="20" t="s">
        <v>27</v>
      </c>
    </row>
    <row r="66" spans="1:13">
      <c r="A66" s="55" t="s">
        <v>17</v>
      </c>
      <c r="B66" s="55" t="s">
        <v>18</v>
      </c>
      <c r="C66" s="55" t="s">
        <v>19</v>
      </c>
      <c r="D66" s="55" t="s">
        <v>20</v>
      </c>
      <c r="E66" s="55" t="s">
        <v>21</v>
      </c>
    </row>
    <row r="67" spans="1:13">
      <c r="A67" s="54">
        <v>1</v>
      </c>
      <c r="B67" s="54">
        <v>12</v>
      </c>
      <c r="C67" s="54">
        <v>21</v>
      </c>
      <c r="D67" s="54" t="s">
        <v>22</v>
      </c>
      <c r="E67" s="54">
        <v>10</v>
      </c>
    </row>
    <row r="68" spans="1:13">
      <c r="A68" s="54">
        <v>2</v>
      </c>
      <c r="B68" s="54">
        <v>12</v>
      </c>
      <c r="C68" s="54">
        <v>21</v>
      </c>
      <c r="D68" s="54" t="s">
        <v>22</v>
      </c>
      <c r="E68" s="54">
        <v>10</v>
      </c>
    </row>
    <row r="69" spans="1:13">
      <c r="A69" s="54">
        <v>3</v>
      </c>
      <c r="B69" s="54">
        <v>12</v>
      </c>
      <c r="C69" s="54">
        <v>21</v>
      </c>
      <c r="D69" s="54" t="s">
        <v>22</v>
      </c>
      <c r="E69" s="54">
        <v>10</v>
      </c>
    </row>
    <row r="70" spans="1:13">
      <c r="A70" s="54">
        <v>4</v>
      </c>
      <c r="B70" s="54">
        <v>11</v>
      </c>
      <c r="C70" s="54">
        <v>21</v>
      </c>
      <c r="D70" s="54" t="s">
        <v>22</v>
      </c>
      <c r="E70" s="54">
        <v>12</v>
      </c>
    </row>
    <row r="71" spans="1:13">
      <c r="A71" t="s">
        <v>23</v>
      </c>
      <c r="B71" s="57">
        <f>AVERAGE(B67:B70)</f>
        <v>11.75</v>
      </c>
      <c r="C71" s="57">
        <f>AVERAGE(C67:C70)</f>
        <v>21</v>
      </c>
      <c r="D71" s="57"/>
      <c r="E71" s="57">
        <f t="shared" ref="E71" si="2">AVERAGE(E67:E70)</f>
        <v>10.5</v>
      </c>
      <c r="F71" s="31" t="s">
        <v>24</v>
      </c>
    </row>
    <row r="72" spans="1:13">
      <c r="A72" t="s">
        <v>25</v>
      </c>
      <c r="B72" s="57">
        <f>STDEVA(B67:B70)</f>
        <v>0.5</v>
      </c>
      <c r="C72" s="57">
        <f>STDEVA(C67:C70)</f>
        <v>0</v>
      </c>
      <c r="D72" s="57"/>
      <c r="E72" s="57">
        <f t="shared" ref="E72" si="3">STDEVA(E67:E70)</f>
        <v>1</v>
      </c>
      <c r="F72" s="31" t="s">
        <v>24</v>
      </c>
    </row>
    <row r="74" spans="1:13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</row>
    <row r="76" spans="1:13">
      <c r="A76" s="20" t="s">
        <v>28</v>
      </c>
    </row>
    <row r="77" spans="1:13">
      <c r="A77" t="s">
        <v>29</v>
      </c>
    </row>
    <row r="79" spans="1:13">
      <c r="A79" t="s">
        <v>30</v>
      </c>
    </row>
    <row r="82" spans="9:11">
      <c r="I82" s="31" t="s">
        <v>2</v>
      </c>
      <c r="J82" t="s">
        <v>3</v>
      </c>
      <c r="K82" t="s">
        <v>31</v>
      </c>
    </row>
    <row r="83" spans="9:11">
      <c r="I83" s="31" t="s">
        <v>2</v>
      </c>
      <c r="J83" t="s">
        <v>5</v>
      </c>
      <c r="K83" t="s">
        <v>4</v>
      </c>
    </row>
    <row r="84" spans="9:11">
      <c r="I84" s="31" t="s">
        <v>2</v>
      </c>
      <c r="J84" t="s">
        <v>7</v>
      </c>
      <c r="K84" t="s">
        <v>12</v>
      </c>
    </row>
    <row r="85" spans="9:11">
      <c r="I85" s="31" t="s">
        <v>2</v>
      </c>
      <c r="J85" t="s">
        <v>9</v>
      </c>
      <c r="K85" t="s">
        <v>8</v>
      </c>
    </row>
    <row r="86" spans="9:11">
      <c r="I86" s="31" t="s">
        <v>2</v>
      </c>
      <c r="J86" t="s">
        <v>11</v>
      </c>
      <c r="K86" t="s">
        <v>10</v>
      </c>
    </row>
    <row r="87" spans="9:11">
      <c r="I87" s="31" t="s">
        <v>2</v>
      </c>
      <c r="J87" t="s">
        <v>32</v>
      </c>
      <c r="K87" t="s">
        <v>6</v>
      </c>
    </row>
    <row r="91" spans="9:11">
      <c r="J91" t="s">
        <v>3</v>
      </c>
      <c r="K91" t="s">
        <v>31</v>
      </c>
    </row>
    <row r="92" spans="9:11">
      <c r="J92" t="s">
        <v>5</v>
      </c>
      <c r="K92" t="s">
        <v>4</v>
      </c>
    </row>
    <row r="93" spans="9:11">
      <c r="J93" t="s">
        <v>7</v>
      </c>
      <c r="K93" t="s">
        <v>12</v>
      </c>
    </row>
    <row r="94" spans="9:11">
      <c r="J94" t="s">
        <v>9</v>
      </c>
      <c r="K94" t="s">
        <v>8</v>
      </c>
    </row>
    <row r="95" spans="9:11">
      <c r="J95" t="s">
        <v>11</v>
      </c>
      <c r="K95" t="s">
        <v>10</v>
      </c>
    </row>
    <row r="96" spans="9:11">
      <c r="J96" t="s">
        <v>32</v>
      </c>
      <c r="K96" t="s">
        <v>6</v>
      </c>
    </row>
    <row r="97" spans="1:11">
      <c r="J97" t="s">
        <v>33</v>
      </c>
      <c r="K97" t="s">
        <v>31</v>
      </c>
    </row>
    <row r="98" spans="1:11">
      <c r="J98" t="s">
        <v>34</v>
      </c>
      <c r="K98" t="s">
        <v>4</v>
      </c>
    </row>
    <row r="99" spans="1:11">
      <c r="J99" t="s">
        <v>35</v>
      </c>
      <c r="K99" t="s">
        <v>12</v>
      </c>
    </row>
    <row r="100" spans="1:11">
      <c r="J100" t="s">
        <v>36</v>
      </c>
      <c r="K100" t="s">
        <v>8</v>
      </c>
    </row>
    <row r="101" spans="1:11">
      <c r="J101" t="s">
        <v>37</v>
      </c>
      <c r="K101" t="s">
        <v>10</v>
      </c>
    </row>
    <row r="102" spans="1:11">
      <c r="J102" t="s">
        <v>38</v>
      </c>
      <c r="K102" t="s">
        <v>6</v>
      </c>
    </row>
    <row r="103" spans="1:11">
      <c r="J103" t="s">
        <v>39</v>
      </c>
      <c r="K103" t="s">
        <v>31</v>
      </c>
    </row>
    <row r="112" spans="1:11">
      <c r="A112" t="s">
        <v>40</v>
      </c>
    </row>
    <row r="115" spans="9:11">
      <c r="J115" t="s">
        <v>3</v>
      </c>
      <c r="K115" t="s">
        <v>31</v>
      </c>
    </row>
    <row r="116" spans="9:11">
      <c r="J116" t="s">
        <v>5</v>
      </c>
      <c r="K116" t="s">
        <v>4</v>
      </c>
    </row>
    <row r="117" spans="9:11">
      <c r="J117" t="s">
        <v>7</v>
      </c>
      <c r="K117" t="s">
        <v>12</v>
      </c>
    </row>
    <row r="118" spans="9:11">
      <c r="J118" t="s">
        <v>9</v>
      </c>
      <c r="K118" t="s">
        <v>8</v>
      </c>
    </row>
    <row r="119" spans="9:11">
      <c r="J119" t="s">
        <v>11</v>
      </c>
      <c r="K119" t="s">
        <v>10</v>
      </c>
    </row>
    <row r="120" spans="9:11">
      <c r="J120" t="s">
        <v>32</v>
      </c>
      <c r="K120" t="s">
        <v>6</v>
      </c>
    </row>
    <row r="121" spans="9:11">
      <c r="J121" t="s">
        <v>41</v>
      </c>
      <c r="K121" t="s">
        <v>42</v>
      </c>
    </row>
    <row r="122" spans="9:11">
      <c r="J122" t="s">
        <v>34</v>
      </c>
      <c r="K122" t="s">
        <v>31</v>
      </c>
    </row>
    <row r="123" spans="9:11">
      <c r="I123" s="31" t="s">
        <v>2</v>
      </c>
      <c r="J123" t="s">
        <v>35</v>
      </c>
      <c r="K123" t="s">
        <v>4</v>
      </c>
    </row>
    <row r="124" spans="9:11">
      <c r="I124" s="31" t="s">
        <v>2</v>
      </c>
      <c r="J124" t="s">
        <v>36</v>
      </c>
      <c r="K124" t="s">
        <v>12</v>
      </c>
    </row>
    <row r="125" spans="9:11">
      <c r="I125" s="31" t="s">
        <v>2</v>
      </c>
      <c r="J125" t="s">
        <v>37</v>
      </c>
      <c r="K125" t="s">
        <v>8</v>
      </c>
    </row>
    <row r="126" spans="9:11">
      <c r="I126" s="31" t="s">
        <v>2</v>
      </c>
      <c r="J126" t="s">
        <v>38</v>
      </c>
      <c r="K126" t="s">
        <v>10</v>
      </c>
    </row>
    <row r="127" spans="9:11">
      <c r="I127" s="31" t="s">
        <v>2</v>
      </c>
      <c r="J127" t="s">
        <v>39</v>
      </c>
      <c r="K127" t="s">
        <v>6</v>
      </c>
    </row>
    <row r="128" spans="9:11">
      <c r="J128" t="s">
        <v>43</v>
      </c>
      <c r="K128" t="s">
        <v>31</v>
      </c>
    </row>
    <row r="129" spans="1:11">
      <c r="J129" t="s">
        <v>44</v>
      </c>
      <c r="K129" t="s">
        <v>4</v>
      </c>
    </row>
    <row r="130" spans="1:11">
      <c r="J130" t="s">
        <v>45</v>
      </c>
      <c r="K130" t="s">
        <v>12</v>
      </c>
    </row>
    <row r="131" spans="1:11">
      <c r="J131" t="s">
        <v>46</v>
      </c>
      <c r="K131" t="s">
        <v>8</v>
      </c>
    </row>
    <row r="132" spans="1:11">
      <c r="J132" t="s">
        <v>47</v>
      </c>
      <c r="K132" t="s">
        <v>10</v>
      </c>
    </row>
    <row r="133" spans="1:11">
      <c r="J133" t="s">
        <v>48</v>
      </c>
      <c r="K133" t="s">
        <v>6</v>
      </c>
    </row>
    <row r="136" spans="1:11">
      <c r="A136" t="s">
        <v>49</v>
      </c>
    </row>
    <row r="139" spans="1:11">
      <c r="J139" t="s">
        <v>3</v>
      </c>
      <c r="K139" t="s">
        <v>50</v>
      </c>
    </row>
    <row r="140" spans="1:11">
      <c r="I140" s="31" t="s">
        <v>2</v>
      </c>
      <c r="J140" t="s">
        <v>5</v>
      </c>
      <c r="K140" t="s">
        <v>4</v>
      </c>
    </row>
    <row r="141" spans="1:11">
      <c r="I141" s="31" t="s">
        <v>2</v>
      </c>
      <c r="J141" t="s">
        <v>7</v>
      </c>
      <c r="K141" t="s">
        <v>12</v>
      </c>
    </row>
    <row r="142" spans="1:11">
      <c r="I142" s="31" t="s">
        <v>2</v>
      </c>
      <c r="J142" t="s">
        <v>9</v>
      </c>
      <c r="K142" t="s">
        <v>8</v>
      </c>
    </row>
    <row r="143" spans="1:11">
      <c r="I143" s="31" t="s">
        <v>2</v>
      </c>
      <c r="J143" t="s">
        <v>11</v>
      </c>
      <c r="K143" t="s">
        <v>10</v>
      </c>
    </row>
    <row r="144" spans="1:11">
      <c r="I144" s="31" t="s">
        <v>2</v>
      </c>
      <c r="J144" t="s">
        <v>32</v>
      </c>
      <c r="K144" t="s">
        <v>6</v>
      </c>
    </row>
    <row r="153" spans="10:11">
      <c r="J153" t="s">
        <v>3</v>
      </c>
      <c r="K153" t="s">
        <v>50</v>
      </c>
    </row>
    <row r="154" spans="10:11">
      <c r="J154" t="s">
        <v>5</v>
      </c>
      <c r="K154" t="s">
        <v>4</v>
      </c>
    </row>
    <row r="155" spans="10:11">
      <c r="J155" t="s">
        <v>7</v>
      </c>
      <c r="K155" t="s">
        <v>12</v>
      </c>
    </row>
    <row r="156" spans="10:11">
      <c r="J156" t="s">
        <v>9</v>
      </c>
      <c r="K156" t="s">
        <v>8</v>
      </c>
    </row>
    <row r="157" spans="10:11">
      <c r="J157" t="s">
        <v>11</v>
      </c>
      <c r="K157" t="s">
        <v>10</v>
      </c>
    </row>
    <row r="158" spans="10:11">
      <c r="J158" t="s">
        <v>32</v>
      </c>
      <c r="K158" t="s">
        <v>6</v>
      </c>
    </row>
    <row r="159" spans="10:11">
      <c r="J159" t="s">
        <v>33</v>
      </c>
      <c r="K159" t="s">
        <v>50</v>
      </c>
    </row>
    <row r="160" spans="10:11">
      <c r="J160" t="s">
        <v>34</v>
      </c>
      <c r="K160" t="s">
        <v>4</v>
      </c>
    </row>
    <row r="161" spans="1:11">
      <c r="J161" t="s">
        <v>35</v>
      </c>
      <c r="K161" t="s">
        <v>12</v>
      </c>
    </row>
    <row r="162" spans="1:11">
      <c r="J162" t="s">
        <v>36</v>
      </c>
      <c r="K162" t="s">
        <v>8</v>
      </c>
    </row>
    <row r="163" spans="1:11">
      <c r="J163" t="s">
        <v>37</v>
      </c>
      <c r="K163" t="s">
        <v>10</v>
      </c>
    </row>
    <row r="164" spans="1:11">
      <c r="J164" t="s">
        <v>38</v>
      </c>
      <c r="K164" t="s">
        <v>6</v>
      </c>
    </row>
    <row r="165" spans="1:11">
      <c r="J165" t="s">
        <v>39</v>
      </c>
      <c r="K165" t="s">
        <v>50</v>
      </c>
    </row>
    <row r="176" spans="1:11">
      <c r="A176" t="s">
        <v>51</v>
      </c>
    </row>
    <row r="178" spans="9:11">
      <c r="J178" t="s">
        <v>3</v>
      </c>
      <c r="K178" t="s">
        <v>50</v>
      </c>
    </row>
    <row r="179" spans="9:11">
      <c r="J179" t="s">
        <v>5</v>
      </c>
      <c r="K179" t="s">
        <v>4</v>
      </c>
    </row>
    <row r="180" spans="9:11">
      <c r="J180" t="s">
        <v>7</v>
      </c>
      <c r="K180" t="s">
        <v>12</v>
      </c>
    </row>
    <row r="181" spans="9:11">
      <c r="J181" t="s">
        <v>9</v>
      </c>
      <c r="K181" t="s">
        <v>8</v>
      </c>
    </row>
    <row r="182" spans="9:11">
      <c r="J182" t="s">
        <v>11</v>
      </c>
      <c r="K182" t="s">
        <v>10</v>
      </c>
    </row>
    <row r="183" spans="9:11">
      <c r="J183" t="s">
        <v>32</v>
      </c>
      <c r="K183" t="s">
        <v>6</v>
      </c>
    </row>
    <row r="184" spans="9:11">
      <c r="J184" t="s">
        <v>41</v>
      </c>
      <c r="K184" t="s">
        <v>42</v>
      </c>
    </row>
    <row r="185" spans="9:11">
      <c r="J185" t="s">
        <v>34</v>
      </c>
      <c r="K185" t="s">
        <v>50</v>
      </c>
    </row>
    <row r="186" spans="9:11">
      <c r="J186" t="s">
        <v>35</v>
      </c>
      <c r="K186" t="s">
        <v>4</v>
      </c>
    </row>
    <row r="187" spans="9:11">
      <c r="J187" t="s">
        <v>36</v>
      </c>
      <c r="K187" t="s">
        <v>12</v>
      </c>
    </row>
    <row r="188" spans="9:11">
      <c r="J188" t="s">
        <v>37</v>
      </c>
      <c r="K188" t="s">
        <v>8</v>
      </c>
    </row>
    <row r="189" spans="9:11">
      <c r="J189" t="s">
        <v>38</v>
      </c>
      <c r="K189" t="s">
        <v>10</v>
      </c>
    </row>
    <row r="190" spans="9:11">
      <c r="J190" t="s">
        <v>39</v>
      </c>
      <c r="K190" t="s">
        <v>6</v>
      </c>
    </row>
    <row r="191" spans="9:11">
      <c r="J191" t="s">
        <v>43</v>
      </c>
      <c r="K191" t="s">
        <v>50</v>
      </c>
    </row>
    <row r="192" spans="9:11">
      <c r="I192" s="31" t="s">
        <v>2</v>
      </c>
      <c r="J192" t="s">
        <v>44</v>
      </c>
      <c r="K192" t="s">
        <v>4</v>
      </c>
    </row>
    <row r="193" spans="1:18">
      <c r="I193" s="31" t="s">
        <v>2</v>
      </c>
      <c r="J193" t="s">
        <v>45</v>
      </c>
      <c r="K193" t="s">
        <v>12</v>
      </c>
    </row>
    <row r="194" spans="1:18">
      <c r="I194" s="31" t="s">
        <v>2</v>
      </c>
      <c r="J194" t="s">
        <v>46</v>
      </c>
      <c r="K194" t="s">
        <v>8</v>
      </c>
    </row>
    <row r="195" spans="1:18">
      <c r="I195" s="31" t="s">
        <v>2</v>
      </c>
      <c r="J195" t="s">
        <v>47</v>
      </c>
      <c r="K195" t="s">
        <v>10</v>
      </c>
    </row>
    <row r="196" spans="1:18">
      <c r="I196" s="31" t="s">
        <v>2</v>
      </c>
      <c r="J196" t="s">
        <v>48</v>
      </c>
      <c r="K196" t="s">
        <v>6</v>
      </c>
    </row>
    <row r="203" spans="1:18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</row>
    <row r="204" spans="1:18">
      <c r="A204" s="20" t="s">
        <v>52</v>
      </c>
    </row>
    <row r="205" spans="1:18">
      <c r="A205" t="s">
        <v>53</v>
      </c>
    </row>
    <row r="206" spans="1:18">
      <c r="A206" t="s">
        <v>54</v>
      </c>
    </row>
    <row r="208" spans="1:18">
      <c r="A208" t="s">
        <v>55</v>
      </c>
    </row>
    <row r="210" spans="1:14">
      <c r="A210" t="s">
        <v>56</v>
      </c>
      <c r="B210" t="s">
        <v>57</v>
      </c>
      <c r="C210" t="s">
        <v>58</v>
      </c>
      <c r="D210" t="s">
        <v>59</v>
      </c>
      <c r="E210" t="s">
        <v>60</v>
      </c>
    </row>
    <row r="211" spans="1:14">
      <c r="A211">
        <v>1</v>
      </c>
      <c r="B211" s="59">
        <v>4.5999999999999999E-2</v>
      </c>
      <c r="C211" s="59">
        <v>4.5999999999999999E-2</v>
      </c>
      <c r="D211" s="59">
        <v>4.7E-2</v>
      </c>
      <c r="E211" s="56">
        <f>AVERAGE(B211:D211)</f>
        <v>4.6333333333333337E-2</v>
      </c>
    </row>
    <row r="212" spans="1:14">
      <c r="A212">
        <v>2</v>
      </c>
      <c r="B212" s="59">
        <v>4.7E-2</v>
      </c>
      <c r="C212" s="59">
        <v>4.5999999999999999E-2</v>
      </c>
      <c r="D212" s="59">
        <v>4.5999999999999999E-2</v>
      </c>
      <c r="E212" s="56">
        <f>AVERAGE(B212:D212)</f>
        <v>4.6333333333333337E-2</v>
      </c>
    </row>
    <row r="213" spans="1:14">
      <c r="A213">
        <v>3</v>
      </c>
      <c r="B213" s="62">
        <v>4.7E-2</v>
      </c>
      <c r="C213" s="62">
        <v>4.7E-2</v>
      </c>
      <c r="D213" s="62">
        <v>4.5999999999999999E-2</v>
      </c>
      <c r="E213" s="56">
        <f>AVERAGE(B213:D213)</f>
        <v>4.6666666666666669E-2</v>
      </c>
    </row>
    <row r="215" spans="1:14">
      <c r="A215" s="20" t="s">
        <v>61</v>
      </c>
    </row>
    <row r="216" spans="1:14">
      <c r="J216" s="31" t="s">
        <v>24</v>
      </c>
      <c r="L216" s="31" t="s">
        <v>24</v>
      </c>
      <c r="N216" s="31" t="s">
        <v>24</v>
      </c>
    </row>
    <row r="217" spans="1:14">
      <c r="A217" t="s">
        <v>56</v>
      </c>
      <c r="B217" t="s">
        <v>62</v>
      </c>
      <c r="C217" t="s">
        <v>63</v>
      </c>
      <c r="D217" t="s">
        <v>64</v>
      </c>
      <c r="E217" t="s">
        <v>60</v>
      </c>
      <c r="F217" t="s">
        <v>65</v>
      </c>
      <c r="G217" t="s">
        <v>66</v>
      </c>
      <c r="H217" t="s">
        <v>67</v>
      </c>
      <c r="I217" t="s">
        <v>68</v>
      </c>
      <c r="J217" t="s">
        <v>69</v>
      </c>
      <c r="L217" s="55" t="s">
        <v>60</v>
      </c>
      <c r="M217" s="55" t="s">
        <v>25</v>
      </c>
      <c r="N217" s="55" t="s">
        <v>70</v>
      </c>
    </row>
    <row r="218" spans="1:14">
      <c r="A218">
        <v>1</v>
      </c>
      <c r="B218" s="59">
        <v>7.1999999999999995E-2</v>
      </c>
      <c r="C218" s="59">
        <v>7.2999999999999995E-2</v>
      </c>
      <c r="D218" s="59">
        <v>7.8E-2</v>
      </c>
      <c r="E218" s="56">
        <f>AVERAGE(B218:D218)</f>
        <v>7.4333333333333321E-2</v>
      </c>
      <c r="F218" s="56">
        <f>E218-E211</f>
        <v>2.7999999999999983E-2</v>
      </c>
      <c r="G218" s="60">
        <v>0.46</v>
      </c>
      <c r="H218">
        <v>0.02</v>
      </c>
      <c r="I218">
        <v>90</v>
      </c>
      <c r="J218" s="23">
        <f>1000*(F218/(G218*H218*I218))</f>
        <v>33.816425120772934</v>
      </c>
      <c r="L218" s="64">
        <f>AVERAGE(J218:J222)</f>
        <v>38.619638838055572</v>
      </c>
      <c r="M218" s="64">
        <f>STDEVA(J218:J222)</f>
        <v>5.0182629020206431</v>
      </c>
      <c r="N218" s="64">
        <f>M218/SQRT(5)</f>
        <v>2.2442353955767049</v>
      </c>
    </row>
    <row r="219" spans="1:14">
      <c r="A219">
        <v>1</v>
      </c>
      <c r="B219" s="59">
        <v>7.4999999999999997E-2</v>
      </c>
      <c r="C219" s="59">
        <v>7.6999999999999999E-2</v>
      </c>
      <c r="D219" s="59">
        <v>8.2000000000000003E-2</v>
      </c>
      <c r="E219" s="56">
        <f>AVERAGE(B219:D219)</f>
        <v>7.8E-2</v>
      </c>
      <c r="F219" s="56">
        <f>E219-E211</f>
        <v>3.1666666666666662E-2</v>
      </c>
      <c r="G219" s="60">
        <v>0.48</v>
      </c>
      <c r="H219">
        <v>0.02</v>
      </c>
      <c r="I219">
        <v>90</v>
      </c>
      <c r="J219" s="23">
        <f>1000*(F219/(G219*H219*I219))</f>
        <v>36.651234567901241</v>
      </c>
    </row>
    <row r="220" spans="1:14">
      <c r="A220">
        <v>2</v>
      </c>
      <c r="B220" s="59">
        <v>8.2000000000000003E-2</v>
      </c>
      <c r="C220" s="59">
        <v>8.4000000000000005E-2</v>
      </c>
      <c r="D220" s="59">
        <v>9.0999999999999998E-2</v>
      </c>
      <c r="E220" s="56">
        <f t="shared" ref="E220:E222" si="4">AVERAGE(B220:D220)</f>
        <v>8.5666666666666669E-2</v>
      </c>
      <c r="F220" s="56">
        <f>E220-E212</f>
        <v>3.9333333333333331E-2</v>
      </c>
      <c r="G220">
        <v>0.48</v>
      </c>
      <c r="H220">
        <v>0.02</v>
      </c>
      <c r="I220">
        <v>90</v>
      </c>
      <c r="J220" s="23">
        <f t="shared" ref="J220:J221" si="5">1000*(F220/(G220*H220*I220))</f>
        <v>45.52469135802469</v>
      </c>
    </row>
    <row r="221" spans="1:14">
      <c r="A221">
        <v>2</v>
      </c>
      <c r="B221" s="59">
        <v>7.5999999999999998E-2</v>
      </c>
      <c r="C221" s="59">
        <v>8.2000000000000003E-2</v>
      </c>
      <c r="D221" s="59">
        <v>8.1000000000000003E-2</v>
      </c>
      <c r="E221" s="56">
        <f t="shared" si="4"/>
        <v>7.9666666666666663E-2</v>
      </c>
      <c r="F221" s="56">
        <f>E221-E212</f>
        <v>3.3333333333333326E-2</v>
      </c>
      <c r="G221">
        <v>0.53</v>
      </c>
      <c r="H221">
        <v>0.02</v>
      </c>
      <c r="I221">
        <v>90</v>
      </c>
      <c r="J221" s="23">
        <f t="shared" si="5"/>
        <v>34.940600978336825</v>
      </c>
    </row>
    <row r="222" spans="1:14">
      <c r="A222">
        <v>3</v>
      </c>
      <c r="B222" s="62">
        <v>8.3000000000000004E-2</v>
      </c>
      <c r="C222" s="62">
        <v>8.4000000000000005E-2</v>
      </c>
      <c r="D222" s="62">
        <v>8.4000000000000005E-2</v>
      </c>
      <c r="E222" s="56">
        <f t="shared" si="4"/>
        <v>8.3666666666666667E-2</v>
      </c>
      <c r="F222" s="56">
        <f>E222-E213</f>
        <v>3.6999999999999998E-2</v>
      </c>
      <c r="G222" s="23">
        <v>0.48749999999999999</v>
      </c>
      <c r="H222">
        <v>0.02</v>
      </c>
      <c r="I222">
        <v>90</v>
      </c>
      <c r="J222" s="23">
        <f>1000*(F222/(G222*H222*I222))</f>
        <v>42.165242165242162</v>
      </c>
    </row>
    <row r="227" spans="1:14">
      <c r="A227" s="20" t="s">
        <v>71</v>
      </c>
    </row>
    <row r="228" spans="1:14">
      <c r="J228" s="31" t="s">
        <v>24</v>
      </c>
      <c r="L228" s="31" t="s">
        <v>24</v>
      </c>
      <c r="N228" s="31" t="s">
        <v>24</v>
      </c>
    </row>
    <row r="229" spans="1:14">
      <c r="A229" t="s">
        <v>56</v>
      </c>
      <c r="B229" t="s">
        <v>62</v>
      </c>
      <c r="C229" t="s">
        <v>63</v>
      </c>
      <c r="D229" t="s">
        <v>64</v>
      </c>
      <c r="E229" t="s">
        <v>60</v>
      </c>
      <c r="F229" t="s">
        <v>65</v>
      </c>
      <c r="G229" t="s">
        <v>66</v>
      </c>
      <c r="H229" t="s">
        <v>67</v>
      </c>
      <c r="I229" t="s">
        <v>68</v>
      </c>
      <c r="J229" t="s">
        <v>69</v>
      </c>
      <c r="L229" s="55" t="s">
        <v>60</v>
      </c>
      <c r="M229" s="55" t="s">
        <v>25</v>
      </c>
      <c r="N229" s="55" t="s">
        <v>70</v>
      </c>
    </row>
    <row r="230" spans="1:14">
      <c r="A230">
        <v>1</v>
      </c>
      <c r="B230" s="59">
        <v>0.16700000000000001</v>
      </c>
      <c r="C230" s="59">
        <v>0.18</v>
      </c>
      <c r="D230" s="59">
        <v>0.182</v>
      </c>
      <c r="E230" s="56">
        <f>AVERAGE(B230:D230)</f>
        <v>0.17633333333333331</v>
      </c>
      <c r="F230" s="56">
        <f>E230-E211</f>
        <v>0.12999999999999998</v>
      </c>
      <c r="G230" s="60">
        <v>0.46</v>
      </c>
      <c r="H230">
        <v>0.02</v>
      </c>
      <c r="I230">
        <v>90</v>
      </c>
      <c r="J230" s="23">
        <f>1000*(F230/(G230*H230*I230))</f>
        <v>157.00483091787436</v>
      </c>
      <c r="K230" s="74"/>
      <c r="L230" s="64">
        <f>AVERAGE(J230:J234)</f>
        <v>159.97468815272163</v>
      </c>
      <c r="M230" s="64">
        <f>STDEVA(J230:J234)</f>
        <v>11.469880661165636</v>
      </c>
      <c r="N230" s="64">
        <f>M230/SQRT(5)</f>
        <v>5.1294865704353185</v>
      </c>
    </row>
    <row r="231" spans="1:14">
      <c r="A231">
        <v>1</v>
      </c>
      <c r="B231" s="59">
        <v>0.19</v>
      </c>
      <c r="C231" s="59">
        <v>0.2</v>
      </c>
      <c r="D231" s="59">
        <v>0.215</v>
      </c>
      <c r="E231" s="56">
        <f>AVERAGE(B231:D231)</f>
        <v>0.20166666666666666</v>
      </c>
      <c r="F231" s="56">
        <f>E231-E211</f>
        <v>0.15533333333333332</v>
      </c>
      <c r="G231" s="60">
        <v>0.5</v>
      </c>
      <c r="H231">
        <v>0.02</v>
      </c>
      <c r="I231">
        <v>90</v>
      </c>
      <c r="J231" s="23">
        <f>1000*(F231/(G231*H231*I231))</f>
        <v>172.59259259259258</v>
      </c>
      <c r="K231" s="74"/>
    </row>
    <row r="232" spans="1:14">
      <c r="A232">
        <v>2</v>
      </c>
      <c r="B232" s="59">
        <v>0.187</v>
      </c>
      <c r="C232" s="59">
        <v>0.19</v>
      </c>
      <c r="D232" s="59">
        <v>0.20399999999999999</v>
      </c>
      <c r="E232" s="56">
        <f t="shared" ref="E232:E234" si="6">AVERAGE(B232:D232)</f>
        <v>0.19366666666666665</v>
      </c>
      <c r="F232" s="56">
        <f>E232-E212</f>
        <v>0.14733333333333332</v>
      </c>
      <c r="G232">
        <v>0.48</v>
      </c>
      <c r="H232">
        <v>0.02</v>
      </c>
      <c r="I232">
        <v>90</v>
      </c>
      <c r="J232" s="23">
        <f t="shared" ref="J232:J233" si="7">1000*(F232/(G232*H232*I232))</f>
        <v>170.52469135802471</v>
      </c>
      <c r="K232" s="74"/>
    </row>
    <row r="233" spans="1:14">
      <c r="A233">
        <v>2</v>
      </c>
      <c r="B233" s="59">
        <v>0.17100000000000001</v>
      </c>
      <c r="C233" s="59">
        <v>0.182</v>
      </c>
      <c r="D233" s="59">
        <v>0.186</v>
      </c>
      <c r="E233" s="56">
        <f t="shared" si="6"/>
        <v>0.17966666666666664</v>
      </c>
      <c r="F233" s="56">
        <f>E233-E212</f>
        <v>0.1333333333333333</v>
      </c>
      <c r="G233">
        <v>0.51</v>
      </c>
      <c r="H233">
        <v>0.02</v>
      </c>
      <c r="I233">
        <v>90</v>
      </c>
      <c r="J233" s="23">
        <f t="shared" si="7"/>
        <v>145.24328249818441</v>
      </c>
      <c r="K233" s="74"/>
    </row>
    <row r="234" spans="1:14">
      <c r="A234">
        <v>3</v>
      </c>
      <c r="B234" s="62">
        <v>0.18</v>
      </c>
      <c r="C234" s="62">
        <v>0.185</v>
      </c>
      <c r="D234" s="62">
        <v>0.188</v>
      </c>
      <c r="E234" s="56">
        <f t="shared" si="6"/>
        <v>0.18433333333333332</v>
      </c>
      <c r="F234" s="56">
        <f>E234-E213</f>
        <v>0.13766666666666666</v>
      </c>
      <c r="G234" s="23">
        <v>0.495</v>
      </c>
      <c r="H234">
        <v>0.02</v>
      </c>
      <c r="I234">
        <v>90</v>
      </c>
      <c r="J234" s="23">
        <f t="shared" ref="J234" si="8">1000*(F234/(G234*H234*I234))</f>
        <v>154.50804339693224</v>
      </c>
      <c r="K234" s="74"/>
    </row>
    <row r="238" spans="1:14">
      <c r="A238" s="20" t="s">
        <v>72</v>
      </c>
    </row>
    <row r="239" spans="1:14">
      <c r="J239" s="31" t="s">
        <v>24</v>
      </c>
      <c r="L239" s="31" t="s">
        <v>24</v>
      </c>
      <c r="N239" s="31" t="s">
        <v>24</v>
      </c>
    </row>
    <row r="240" spans="1:14">
      <c r="A240" t="s">
        <v>56</v>
      </c>
      <c r="B240" t="s">
        <v>62</v>
      </c>
      <c r="C240" t="s">
        <v>63</v>
      </c>
      <c r="D240" t="s">
        <v>64</v>
      </c>
      <c r="E240" s="34" t="s">
        <v>60</v>
      </c>
      <c r="F240" s="34" t="s">
        <v>65</v>
      </c>
      <c r="G240" s="34" t="s">
        <v>66</v>
      </c>
      <c r="H240" s="34" t="s">
        <v>67</v>
      </c>
      <c r="I240" s="34" t="s">
        <v>68</v>
      </c>
      <c r="J240" s="34" t="s">
        <v>69</v>
      </c>
      <c r="L240" s="55" t="s">
        <v>60</v>
      </c>
      <c r="M240" s="55" t="s">
        <v>25</v>
      </c>
      <c r="N240" s="55" t="s">
        <v>70</v>
      </c>
    </row>
    <row r="241" spans="1:14">
      <c r="A241">
        <v>1</v>
      </c>
      <c r="B241" s="59">
        <v>0.113</v>
      </c>
      <c r="C241" s="59">
        <v>0.11700000000000001</v>
      </c>
      <c r="D241" s="59">
        <v>0.11700000000000001</v>
      </c>
      <c r="E241" s="63">
        <f>AVERAGE(B241:D241)</f>
        <v>0.11566666666666668</v>
      </c>
      <c r="F241" s="63">
        <f>E241-E211</f>
        <v>6.9333333333333344E-2</v>
      </c>
      <c r="G241" s="60">
        <v>0.5</v>
      </c>
      <c r="H241" s="34">
        <v>0.02</v>
      </c>
      <c r="I241" s="34">
        <v>90</v>
      </c>
      <c r="J241" s="61">
        <f>1000*(F241/(G241*H241*I241))</f>
        <v>77.037037037037038</v>
      </c>
      <c r="K241" s="74"/>
      <c r="L241" s="64">
        <f>AVERAGE(J241:J245)</f>
        <v>86.499907097733185</v>
      </c>
      <c r="M241" s="64">
        <f>STDEVA(J241:J245)</f>
        <v>10.539422482106168</v>
      </c>
      <c r="N241" s="64">
        <f>M241/SQRT(5)</f>
        <v>4.7133730227157908</v>
      </c>
    </row>
    <row r="242" spans="1:14">
      <c r="A242">
        <v>1</v>
      </c>
      <c r="B242" s="59">
        <v>0.111</v>
      </c>
      <c r="C242" s="59">
        <v>0.114</v>
      </c>
      <c r="D242" s="59">
        <v>0.11799999999999999</v>
      </c>
      <c r="E242" s="63">
        <f>AVERAGE(B242:D242)</f>
        <v>0.11433333333333333</v>
      </c>
      <c r="F242" s="63">
        <f>E242-E211</f>
        <v>6.7999999999999991E-2</v>
      </c>
      <c r="G242" s="60">
        <v>0.46</v>
      </c>
      <c r="H242" s="34">
        <v>0.02</v>
      </c>
      <c r="I242" s="34">
        <v>90</v>
      </c>
      <c r="J242" s="61">
        <f>1000*(F242/(G242*H242*I242))</f>
        <v>82.125603864734288</v>
      </c>
      <c r="K242" s="74"/>
    </row>
    <row r="243" spans="1:14">
      <c r="A243">
        <v>2</v>
      </c>
      <c r="B243" s="59">
        <v>0.115</v>
      </c>
      <c r="C243" s="59">
        <v>0.11700000000000001</v>
      </c>
      <c r="D243" s="59">
        <v>0.122</v>
      </c>
      <c r="E243" s="63">
        <f t="shared" ref="E243:E245" si="9">AVERAGE(B243:D243)</f>
        <v>0.11799999999999999</v>
      </c>
      <c r="F243" s="56">
        <f>E243-E212</f>
        <v>7.1666666666666656E-2</v>
      </c>
      <c r="G243" s="60">
        <v>0.48</v>
      </c>
      <c r="H243" s="34">
        <v>0.02</v>
      </c>
      <c r="I243" s="34">
        <v>90</v>
      </c>
      <c r="J243" s="61">
        <f t="shared" ref="J243:J244" si="10">1000*(F243/(G243*H243*I243))</f>
        <v>82.947530864197518</v>
      </c>
      <c r="K243" s="74"/>
    </row>
    <row r="244" spans="1:14">
      <c r="A244">
        <v>2</v>
      </c>
      <c r="B244" s="59">
        <v>0.11700000000000001</v>
      </c>
      <c r="C244" s="59">
        <v>0.122</v>
      </c>
      <c r="D244" s="59">
        <v>0.13200000000000001</v>
      </c>
      <c r="E244" s="63">
        <f t="shared" si="9"/>
        <v>0.12366666666666666</v>
      </c>
      <c r="F244" s="56">
        <f>E244-E212</f>
        <v>7.7333333333333323E-2</v>
      </c>
      <c r="G244">
        <v>0.5</v>
      </c>
      <c r="H244" s="34">
        <v>0.02</v>
      </c>
      <c r="I244" s="34">
        <v>90</v>
      </c>
      <c r="J244" s="61">
        <f t="shared" si="10"/>
        <v>85.925925925925924</v>
      </c>
      <c r="K244" s="74"/>
    </row>
    <row r="245" spans="1:14">
      <c r="A245">
        <v>3</v>
      </c>
      <c r="B245" s="62">
        <v>0.14599999999999999</v>
      </c>
      <c r="C245" s="62">
        <v>0.13200000000000001</v>
      </c>
      <c r="D245" s="62">
        <v>0.13700000000000001</v>
      </c>
      <c r="E245" s="63">
        <f t="shared" si="9"/>
        <v>0.13833333333333334</v>
      </c>
      <c r="F245" s="56">
        <f>E245-E213</f>
        <v>9.1666666666666674E-2</v>
      </c>
      <c r="G245" s="23">
        <v>0.48750000000000004</v>
      </c>
      <c r="H245" s="34">
        <v>0.02</v>
      </c>
      <c r="I245" s="34">
        <v>90</v>
      </c>
      <c r="J245" s="61">
        <f t="shared" ref="J245" si="11">1000*(F245/(G245*H245*I245))</f>
        <v>104.46343779677112</v>
      </c>
      <c r="K245" s="74"/>
    </row>
  </sheetData>
  <phoneticPr fontId="1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1D394-3A76-EC41-8BEE-4FA6F5F43F73}">
  <dimension ref="A1:AQ97"/>
  <sheetViews>
    <sheetView topLeftCell="A84" zoomScaleNormal="55" workbookViewId="0">
      <selection activeCell="M85" sqref="M85"/>
    </sheetView>
  </sheetViews>
  <sheetFormatPr defaultColWidth="11" defaultRowHeight="15.75"/>
  <sheetData>
    <row r="1" spans="1:43">
      <c r="A1" s="20" t="s">
        <v>73</v>
      </c>
    </row>
    <row r="2" spans="1:43">
      <c r="A2" t="s">
        <v>74</v>
      </c>
    </row>
    <row r="4" spans="1:43">
      <c r="A4" t="s">
        <v>75</v>
      </c>
    </row>
    <row r="5" spans="1:43">
      <c r="AQ5" s="47" t="s">
        <v>76</v>
      </c>
    </row>
    <row r="6" spans="1:43">
      <c r="A6" s="3" t="s">
        <v>77</v>
      </c>
      <c r="D6" s="31" t="s">
        <v>24</v>
      </c>
      <c r="G6" s="31" t="s">
        <v>24</v>
      </c>
      <c r="J6" s="31" t="s">
        <v>24</v>
      </c>
      <c r="M6" s="31" t="s">
        <v>24</v>
      </c>
      <c r="AQ6" t="s">
        <v>78</v>
      </c>
    </row>
    <row r="7" spans="1:43">
      <c r="A7" s="30" t="s">
        <v>79</v>
      </c>
      <c r="B7" s="84" t="s">
        <v>80</v>
      </c>
      <c r="C7" s="84"/>
      <c r="D7" s="84"/>
      <c r="E7" s="84" t="s">
        <v>81</v>
      </c>
      <c r="F7" s="84"/>
      <c r="G7" s="84"/>
      <c r="H7" s="84" t="s">
        <v>82</v>
      </c>
      <c r="I7" s="84"/>
      <c r="J7" s="84"/>
      <c r="K7" s="84" t="s">
        <v>83</v>
      </c>
      <c r="L7" s="84"/>
      <c r="M7" s="84"/>
      <c r="O7" s="30"/>
      <c r="P7" s="30"/>
      <c r="Q7" s="32"/>
      <c r="R7" s="32"/>
      <c r="S7" s="32"/>
      <c r="T7" s="30"/>
      <c r="AQ7" t="s">
        <v>84</v>
      </c>
    </row>
    <row r="8" spans="1:43">
      <c r="A8" s="33" t="s">
        <v>85</v>
      </c>
      <c r="B8" s="34" t="s">
        <v>86</v>
      </c>
      <c r="C8" s="34" t="s">
        <v>87</v>
      </c>
      <c r="D8" s="35" t="s">
        <v>88</v>
      </c>
      <c r="E8" s="34" t="s">
        <v>86</v>
      </c>
      <c r="F8" s="34" t="s">
        <v>87</v>
      </c>
      <c r="G8" s="35" t="s">
        <v>88</v>
      </c>
      <c r="H8" s="34" t="s">
        <v>86</v>
      </c>
      <c r="I8" s="34" t="s">
        <v>87</v>
      </c>
      <c r="J8" s="35" t="s">
        <v>88</v>
      </c>
      <c r="K8" s="34" t="s">
        <v>86</v>
      </c>
      <c r="L8" s="34" t="s">
        <v>87</v>
      </c>
      <c r="M8" s="35" t="s">
        <v>88</v>
      </c>
      <c r="N8" s="36" t="s">
        <v>89</v>
      </c>
      <c r="O8" s="37" t="s">
        <v>90</v>
      </c>
      <c r="P8" s="37" t="s">
        <v>91</v>
      </c>
      <c r="Q8" s="38" t="s">
        <v>92</v>
      </c>
      <c r="R8" s="39" t="s">
        <v>93</v>
      </c>
      <c r="S8" s="39" t="s">
        <v>94</v>
      </c>
      <c r="T8" s="39" t="s">
        <v>95</v>
      </c>
      <c r="AQ8" t="s">
        <v>96</v>
      </c>
    </row>
    <row r="9" spans="1:43">
      <c r="A9" s="40">
        <v>0</v>
      </c>
      <c r="B9" s="34">
        <v>0</v>
      </c>
      <c r="C9" s="34">
        <v>0</v>
      </c>
      <c r="D9" s="41">
        <v>0</v>
      </c>
      <c r="E9" s="34">
        <v>0</v>
      </c>
      <c r="F9" s="34">
        <v>0</v>
      </c>
      <c r="G9" s="41">
        <v>0</v>
      </c>
      <c r="H9" s="34">
        <v>0</v>
      </c>
      <c r="I9" s="34">
        <v>0</v>
      </c>
      <c r="J9" s="41">
        <v>0</v>
      </c>
      <c r="K9" s="34">
        <v>0</v>
      </c>
      <c r="L9" s="34">
        <v>0</v>
      </c>
      <c r="M9" s="41">
        <v>0</v>
      </c>
      <c r="N9" s="42">
        <v>0</v>
      </c>
      <c r="O9" s="43">
        <v>0</v>
      </c>
      <c r="P9" s="43">
        <v>0</v>
      </c>
      <c r="Q9" s="45">
        <v>0</v>
      </c>
      <c r="R9" s="46">
        <v>0</v>
      </c>
      <c r="S9" s="46">
        <v>0</v>
      </c>
      <c r="T9" s="44">
        <v>0</v>
      </c>
      <c r="AQ9" t="s">
        <v>97</v>
      </c>
    </row>
    <row r="10" spans="1:43">
      <c r="A10" s="40">
        <v>120</v>
      </c>
      <c r="B10" s="34">
        <v>11490.146000000001</v>
      </c>
      <c r="C10" s="34">
        <v>1933.2760000000001</v>
      </c>
      <c r="D10" s="41">
        <v>0.14402259000000001</v>
      </c>
      <c r="E10" s="34">
        <v>10437.731</v>
      </c>
      <c r="F10" s="34">
        <v>1237.7190000000001</v>
      </c>
      <c r="G10" s="41">
        <v>0.106010389</v>
      </c>
      <c r="H10" s="34">
        <v>8614.9740000000002</v>
      </c>
      <c r="I10" s="34">
        <v>1918.326</v>
      </c>
      <c r="J10" s="41">
        <v>0.18212013299999999</v>
      </c>
      <c r="K10" s="34">
        <v>9459.66</v>
      </c>
      <c r="L10" s="34">
        <v>948.06200000000001</v>
      </c>
      <c r="M10" s="41">
        <v>9.1092171999999999E-2</v>
      </c>
      <c r="N10" s="42">
        <f>AVERAGE(D10,G10,J10,M10)</f>
        <v>0.13081132099999998</v>
      </c>
      <c r="O10" s="43">
        <f>STDEVA(D10,G10,J10,M10)</f>
        <v>4.0824130294041187E-2</v>
      </c>
      <c r="P10" s="43">
        <f>O10/SQRT(4)</f>
        <v>2.0412065147020594E-2</v>
      </c>
      <c r="Q10" s="45">
        <f>MAX(D10,G10,J10,M10)</f>
        <v>0.18212013299999999</v>
      </c>
      <c r="R10" s="46">
        <f>MIN(D10,G10,J10,M10)</f>
        <v>9.1092171999999999E-2</v>
      </c>
      <c r="S10" s="46">
        <f>Q10-R10</f>
        <v>9.1027960999999991E-2</v>
      </c>
      <c r="T10" s="44">
        <f>S10/2</f>
        <v>4.5513980499999995E-2</v>
      </c>
      <c r="AQ10" t="s">
        <v>98</v>
      </c>
    </row>
    <row r="11" spans="1:43">
      <c r="A11" s="40">
        <v>300</v>
      </c>
      <c r="B11" s="34">
        <v>9673.0949999999993</v>
      </c>
      <c r="C11" s="34">
        <v>3813.7109999999998</v>
      </c>
      <c r="D11" s="41">
        <v>0.282773475</v>
      </c>
      <c r="E11" s="34">
        <v>8672.9529999999995</v>
      </c>
      <c r="F11" s="34">
        <v>3458.1750000000002</v>
      </c>
      <c r="G11" s="41">
        <v>0.28506623599999997</v>
      </c>
      <c r="H11" s="34">
        <v>8447.0750000000007</v>
      </c>
      <c r="I11" s="34">
        <v>3925.7820000000002</v>
      </c>
      <c r="J11" s="41">
        <v>0.31728985500000001</v>
      </c>
      <c r="K11" s="34">
        <v>9056.66</v>
      </c>
      <c r="L11" s="34">
        <v>2743.9830000000002</v>
      </c>
      <c r="M11" s="41">
        <v>0.23252826100000001</v>
      </c>
      <c r="N11" s="42">
        <f t="shared" ref="N11:N19" si="0">AVERAGE(D11,G11,J11,M11)</f>
        <v>0.27941445674999998</v>
      </c>
      <c r="O11" s="43">
        <f t="shared" ref="O11:O19" si="1">STDEVA(D11,G11,J11,M11)</f>
        <v>3.5005174649842749E-2</v>
      </c>
      <c r="P11" s="43">
        <f t="shared" ref="P11:P19" si="2">O11/SQRT(4)</f>
        <v>1.7502587324921375E-2</v>
      </c>
      <c r="Q11" s="45">
        <f t="shared" ref="Q11:Q19" si="3">MAX(D11,G11,J11,M11)</f>
        <v>0.31728985500000001</v>
      </c>
      <c r="R11" s="46">
        <f t="shared" ref="R11:R19" si="4">MIN(D11,G11,J11,M11)</f>
        <v>0.23252826100000001</v>
      </c>
      <c r="S11" s="46">
        <f t="shared" ref="S11:S19" si="5">Q11-R11</f>
        <v>8.4761593999999996E-2</v>
      </c>
      <c r="T11" s="44">
        <f t="shared" ref="T11:T19" si="6">S11/2</f>
        <v>4.2380796999999998E-2</v>
      </c>
      <c r="AQ11" t="s">
        <v>99</v>
      </c>
    </row>
    <row r="12" spans="1:43">
      <c r="A12" s="40">
        <v>600</v>
      </c>
      <c r="B12" s="34">
        <v>7188.1459999999997</v>
      </c>
      <c r="C12" s="34">
        <v>5942.61</v>
      </c>
      <c r="D12" s="41">
        <v>0.45257180899999999</v>
      </c>
      <c r="E12" s="34">
        <v>6744.0039999999999</v>
      </c>
      <c r="F12" s="34">
        <v>5566.125</v>
      </c>
      <c r="G12" s="41">
        <v>0.45215813700000002</v>
      </c>
      <c r="H12" s="34">
        <v>6657.7110000000002</v>
      </c>
      <c r="I12" s="34">
        <v>5718.6809999999996</v>
      </c>
      <c r="J12" s="41">
        <v>0.46206366100000001</v>
      </c>
      <c r="K12" s="34">
        <v>7038.2960000000003</v>
      </c>
      <c r="L12" s="34">
        <v>5227.5889999999999</v>
      </c>
      <c r="M12" s="41">
        <v>0.42618930500000002</v>
      </c>
      <c r="N12" s="42">
        <f t="shared" si="0"/>
        <v>0.44824572800000001</v>
      </c>
      <c r="O12" s="43">
        <f t="shared" si="1"/>
        <v>1.5399599442293509E-2</v>
      </c>
      <c r="P12" s="43">
        <f t="shared" si="2"/>
        <v>7.6997997211467545E-3</v>
      </c>
      <c r="Q12" s="45">
        <f t="shared" si="3"/>
        <v>0.46206366100000001</v>
      </c>
      <c r="R12" s="46">
        <f t="shared" si="4"/>
        <v>0.42618930500000002</v>
      </c>
      <c r="S12" s="46">
        <f t="shared" si="5"/>
        <v>3.5874355999999996E-2</v>
      </c>
      <c r="T12" s="44">
        <f t="shared" si="6"/>
        <v>1.7937177999999998E-2</v>
      </c>
      <c r="AQ12" t="s">
        <v>100</v>
      </c>
    </row>
    <row r="13" spans="1:43">
      <c r="A13" s="40">
        <v>1200</v>
      </c>
      <c r="B13" s="34">
        <v>4324.5389999999998</v>
      </c>
      <c r="C13" s="34">
        <v>8594.8529999999992</v>
      </c>
      <c r="D13" s="41">
        <v>0.66526760699999998</v>
      </c>
      <c r="E13" s="34">
        <v>4563.2250000000004</v>
      </c>
      <c r="F13" s="34">
        <v>7876.61</v>
      </c>
      <c r="G13" s="41">
        <v>0.63317640500000005</v>
      </c>
      <c r="H13" s="34">
        <v>4593.7610000000004</v>
      </c>
      <c r="I13" s="34">
        <v>8513.4590000000007</v>
      </c>
      <c r="J13" s="41">
        <v>0.64952438400000001</v>
      </c>
      <c r="K13" s="34">
        <v>4419.8819999999996</v>
      </c>
      <c r="L13" s="34">
        <v>8374.8529999999992</v>
      </c>
      <c r="M13" s="41">
        <v>0.654554627</v>
      </c>
      <c r="N13" s="42">
        <f t="shared" si="0"/>
        <v>0.65063075574999996</v>
      </c>
      <c r="O13" s="43">
        <f t="shared" si="1"/>
        <v>1.3360546379226965E-2</v>
      </c>
      <c r="P13" s="43">
        <f t="shared" si="2"/>
        <v>6.6802731896134825E-3</v>
      </c>
      <c r="Q13" s="45">
        <f t="shared" si="3"/>
        <v>0.66526760699999998</v>
      </c>
      <c r="R13" s="46">
        <f t="shared" si="4"/>
        <v>0.63317640500000005</v>
      </c>
      <c r="S13" s="46">
        <f t="shared" si="5"/>
        <v>3.209120199999993E-2</v>
      </c>
      <c r="T13" s="44">
        <f t="shared" si="6"/>
        <v>1.6045600999999965E-2</v>
      </c>
      <c r="AQ13" t="s">
        <v>101</v>
      </c>
    </row>
    <row r="14" spans="1:43">
      <c r="A14" s="40">
        <v>1800</v>
      </c>
      <c r="B14" s="34">
        <v>2444.8609999999999</v>
      </c>
      <c r="C14" s="34">
        <v>9655.51</v>
      </c>
      <c r="D14" s="41">
        <v>0.79795156700000003</v>
      </c>
      <c r="E14" s="34">
        <v>3188.2759999999998</v>
      </c>
      <c r="F14" s="34">
        <v>9680.0949999999993</v>
      </c>
      <c r="G14" s="41">
        <v>0.75223934699999995</v>
      </c>
      <c r="H14" s="34">
        <v>2972.8110000000001</v>
      </c>
      <c r="I14" s="34">
        <v>9700.51</v>
      </c>
      <c r="J14" s="41">
        <v>0.76542762499999994</v>
      </c>
      <c r="K14" s="34">
        <v>2938.761</v>
      </c>
      <c r="L14" s="34">
        <v>9881.4590000000007</v>
      </c>
      <c r="M14" s="41">
        <v>0.77077140600000005</v>
      </c>
      <c r="N14" s="42">
        <f t="shared" si="0"/>
        <v>0.77159748625000002</v>
      </c>
      <c r="O14" s="43">
        <f t="shared" si="1"/>
        <v>1.9218261487654625E-2</v>
      </c>
      <c r="P14" s="43">
        <f t="shared" si="2"/>
        <v>9.6091307438273127E-3</v>
      </c>
      <c r="Q14" s="45">
        <f t="shared" si="3"/>
        <v>0.79795156700000003</v>
      </c>
      <c r="R14" s="46">
        <f t="shared" si="4"/>
        <v>0.75223934699999995</v>
      </c>
      <c r="S14" s="46">
        <f t="shared" si="5"/>
        <v>4.5712220000000081E-2</v>
      </c>
      <c r="T14" s="44">
        <f t="shared" si="6"/>
        <v>2.2856110000000041E-2</v>
      </c>
      <c r="AQ14" t="s">
        <v>102</v>
      </c>
    </row>
    <row r="15" spans="1:43">
      <c r="A15" s="40">
        <v>2700</v>
      </c>
      <c r="B15" s="34">
        <v>1610.4469999999999</v>
      </c>
      <c r="C15" s="34">
        <v>10016.094999999999</v>
      </c>
      <c r="D15" s="41">
        <v>0.86148529799999995</v>
      </c>
      <c r="E15" s="34">
        <v>2175.4969999999998</v>
      </c>
      <c r="F15" s="34">
        <v>9992.0239999999994</v>
      </c>
      <c r="G15" s="41">
        <v>0.82120458200000002</v>
      </c>
      <c r="H15" s="34">
        <v>1626.569</v>
      </c>
      <c r="I15" s="34">
        <v>11517.995000000001</v>
      </c>
      <c r="J15" s="41">
        <v>0.87625538599999997</v>
      </c>
      <c r="K15" s="34">
        <v>1349.376</v>
      </c>
      <c r="L15" s="34">
        <v>10277.752</v>
      </c>
      <c r="M15" s="41">
        <v>0.88394588900000004</v>
      </c>
      <c r="N15" s="42">
        <f t="shared" si="0"/>
        <v>0.86072278874999997</v>
      </c>
      <c r="O15" s="43">
        <f t="shared" si="1"/>
        <v>2.7945447140481507E-2</v>
      </c>
      <c r="P15" s="43">
        <f t="shared" si="2"/>
        <v>1.3972723570240753E-2</v>
      </c>
      <c r="Q15" s="45">
        <f t="shared" si="3"/>
        <v>0.88394588900000004</v>
      </c>
      <c r="R15" s="46">
        <f t="shared" si="4"/>
        <v>0.82120458200000002</v>
      </c>
      <c r="S15" s="46">
        <f t="shared" si="5"/>
        <v>6.2741307000000024E-2</v>
      </c>
      <c r="T15" s="44">
        <f t="shared" si="6"/>
        <v>3.1370653500000012E-2</v>
      </c>
      <c r="AQ15" t="s">
        <v>103</v>
      </c>
    </row>
    <row r="16" spans="1:43">
      <c r="A16" s="40">
        <v>3600</v>
      </c>
      <c r="B16" s="34">
        <v>1158.6690000000001</v>
      </c>
      <c r="C16" s="34">
        <v>10460.752</v>
      </c>
      <c r="D16" s="41">
        <v>0.90028169199999997</v>
      </c>
      <c r="E16" s="34">
        <v>1376.134</v>
      </c>
      <c r="F16" s="34">
        <v>10583.924000000001</v>
      </c>
      <c r="G16" s="41">
        <v>0.88493918699999996</v>
      </c>
      <c r="H16" s="34">
        <v>1045.8910000000001</v>
      </c>
      <c r="I16" s="34">
        <v>12355.945</v>
      </c>
      <c r="J16" s="41">
        <v>0.92195912599999996</v>
      </c>
      <c r="K16" s="34">
        <v>947.77</v>
      </c>
      <c r="L16" s="34">
        <v>10590.338</v>
      </c>
      <c r="M16" s="41">
        <v>0.91785741600000004</v>
      </c>
      <c r="N16" s="42">
        <f t="shared" si="0"/>
        <v>0.9062593552499999</v>
      </c>
      <c r="O16" s="43">
        <f t="shared" si="1"/>
        <v>1.7041907628959428E-2</v>
      </c>
      <c r="P16" s="43">
        <f t="shared" si="2"/>
        <v>8.5209538144797141E-3</v>
      </c>
      <c r="Q16" s="45">
        <f t="shared" si="3"/>
        <v>0.92195912599999996</v>
      </c>
      <c r="R16" s="46">
        <f t="shared" si="4"/>
        <v>0.88493918699999996</v>
      </c>
      <c r="S16" s="46">
        <f t="shared" si="5"/>
        <v>3.7019939000000002E-2</v>
      </c>
      <c r="T16" s="44">
        <f t="shared" si="6"/>
        <v>1.8509969500000001E-2</v>
      </c>
      <c r="AQ16" t="s">
        <v>104</v>
      </c>
    </row>
    <row r="17" spans="1:20">
      <c r="A17" s="40">
        <v>5400</v>
      </c>
      <c r="B17" s="34">
        <v>666.64800000000002</v>
      </c>
      <c r="C17" s="34">
        <v>10792.823</v>
      </c>
      <c r="D17" s="41">
        <v>0.94182558699999996</v>
      </c>
      <c r="E17" s="34">
        <v>981.47699999999998</v>
      </c>
      <c r="F17" s="34">
        <v>11274.51</v>
      </c>
      <c r="G17" s="41">
        <v>0.91991856699999996</v>
      </c>
      <c r="H17" s="34">
        <v>582.74900000000002</v>
      </c>
      <c r="I17" s="34">
        <v>12391.772999999999</v>
      </c>
      <c r="J17" s="41">
        <v>0.95508512800000001</v>
      </c>
      <c r="K17" s="34">
        <v>783.06200000000001</v>
      </c>
      <c r="L17" s="34">
        <v>11050.146000000001</v>
      </c>
      <c r="M17" s="41">
        <v>0.93382504600000005</v>
      </c>
      <c r="N17" s="42">
        <f t="shared" si="0"/>
        <v>0.937663582</v>
      </c>
      <c r="O17" s="43">
        <f t="shared" si="1"/>
        <v>1.4724723728292978E-2</v>
      </c>
      <c r="P17" s="43">
        <f t="shared" si="2"/>
        <v>7.3623618641464892E-3</v>
      </c>
      <c r="Q17" s="45">
        <f t="shared" si="3"/>
        <v>0.95508512800000001</v>
      </c>
      <c r="R17" s="46">
        <f t="shared" si="4"/>
        <v>0.91991856699999996</v>
      </c>
      <c r="S17" s="46">
        <f t="shared" si="5"/>
        <v>3.5166561000000041E-2</v>
      </c>
      <c r="T17" s="44">
        <f t="shared" si="6"/>
        <v>1.758328050000002E-2</v>
      </c>
    </row>
    <row r="18" spans="1:20">
      <c r="A18" s="40">
        <v>7200</v>
      </c>
      <c r="B18" s="34">
        <v>397.04199999999997</v>
      </c>
      <c r="C18" s="34">
        <v>10234.803</v>
      </c>
      <c r="D18" s="41">
        <v>0.96265540000000005</v>
      </c>
      <c r="E18" s="34">
        <v>644.45600000000002</v>
      </c>
      <c r="F18" s="34">
        <v>11576.803</v>
      </c>
      <c r="G18" s="41">
        <v>0.94726762600000003</v>
      </c>
      <c r="H18" s="34">
        <v>263.678</v>
      </c>
      <c r="I18" s="34">
        <v>12297.772999999999</v>
      </c>
      <c r="J18" s="41">
        <v>0.97900895399999999</v>
      </c>
      <c r="K18" s="34">
        <v>623.33500000000004</v>
      </c>
      <c r="L18" s="34">
        <v>11525.459000000001</v>
      </c>
      <c r="M18" s="41">
        <v>0.94869161499999999</v>
      </c>
      <c r="N18" s="42">
        <f t="shared" si="0"/>
        <v>0.95940589874999993</v>
      </c>
      <c r="O18" s="43">
        <f t="shared" si="1"/>
        <v>1.4798339716977376E-2</v>
      </c>
      <c r="P18" s="43">
        <f t="shared" si="2"/>
        <v>7.3991698584886878E-3</v>
      </c>
      <c r="Q18" s="45">
        <f t="shared" si="3"/>
        <v>0.97900895399999999</v>
      </c>
      <c r="R18" s="46">
        <f t="shared" si="4"/>
        <v>0.94726762600000003</v>
      </c>
      <c r="S18" s="46">
        <f t="shared" si="5"/>
        <v>3.1741327999999958E-2</v>
      </c>
      <c r="T18" s="44">
        <f t="shared" si="6"/>
        <v>1.5870663999999979E-2</v>
      </c>
    </row>
    <row r="19" spans="1:20">
      <c r="A19" s="40">
        <v>10800</v>
      </c>
      <c r="B19" s="34">
        <v>418.40600000000001</v>
      </c>
      <c r="C19" s="34">
        <v>9943.3379999999997</v>
      </c>
      <c r="D19" s="41">
        <v>0.95962011800000002</v>
      </c>
      <c r="E19" s="34">
        <v>469.92</v>
      </c>
      <c r="F19" s="34">
        <v>10842.316999999999</v>
      </c>
      <c r="G19" s="41">
        <v>0.95845914499999996</v>
      </c>
      <c r="H19" s="34">
        <v>428.50599999999997</v>
      </c>
      <c r="I19" s="34">
        <v>11848.701999999999</v>
      </c>
      <c r="J19" s="41">
        <v>0.965097439</v>
      </c>
      <c r="K19" s="34">
        <v>552.33500000000004</v>
      </c>
      <c r="L19" s="34">
        <v>12289.630999999999</v>
      </c>
      <c r="M19" s="41">
        <v>0.95698984099999995</v>
      </c>
      <c r="N19" s="42">
        <f t="shared" si="0"/>
        <v>0.96004163575000001</v>
      </c>
      <c r="O19" s="43">
        <f t="shared" si="1"/>
        <v>3.5381987831022712E-3</v>
      </c>
      <c r="P19" s="43">
        <f t="shared" si="2"/>
        <v>1.7690993915511356E-3</v>
      </c>
      <c r="Q19" s="45">
        <f t="shared" si="3"/>
        <v>0.965097439</v>
      </c>
      <c r="R19" s="46">
        <f t="shared" si="4"/>
        <v>0.95698984099999995</v>
      </c>
      <c r="S19" s="46">
        <f t="shared" si="5"/>
        <v>8.1075980000000492E-3</v>
      </c>
      <c r="T19" s="44">
        <f t="shared" si="6"/>
        <v>4.0537990000000246E-3</v>
      </c>
    </row>
    <row r="21" spans="1:20">
      <c r="A21" s="20" t="s">
        <v>105</v>
      </c>
      <c r="D21" s="31" t="s">
        <v>24</v>
      </c>
      <c r="G21" s="31" t="s">
        <v>24</v>
      </c>
    </row>
    <row r="22" spans="1:20">
      <c r="A22" s="30" t="s">
        <v>79</v>
      </c>
      <c r="B22" s="83" t="s">
        <v>106</v>
      </c>
      <c r="C22" s="83"/>
      <c r="D22" s="83"/>
      <c r="E22" s="83" t="s">
        <v>107</v>
      </c>
      <c r="F22" s="83"/>
      <c r="G22" s="83"/>
      <c r="I22" s="3"/>
      <c r="J22" s="3"/>
      <c r="K22" s="3"/>
      <c r="L22" s="3"/>
      <c r="N22" s="83"/>
      <c r="O22" s="83"/>
      <c r="P22" s="83"/>
    </row>
    <row r="23" spans="1:20">
      <c r="A23" s="48" t="s">
        <v>85</v>
      </c>
      <c r="B23" t="s">
        <v>86</v>
      </c>
      <c r="C23" t="s">
        <v>87</v>
      </c>
      <c r="D23" s="26" t="s">
        <v>88</v>
      </c>
      <c r="E23" t="s">
        <v>86</v>
      </c>
      <c r="F23" t="s">
        <v>87</v>
      </c>
      <c r="G23" s="26" t="s">
        <v>88</v>
      </c>
      <c r="H23" s="49" t="s">
        <v>89</v>
      </c>
      <c r="I23" s="49" t="s">
        <v>90</v>
      </c>
      <c r="J23" s="49" t="s">
        <v>91</v>
      </c>
      <c r="K23" s="50" t="s">
        <v>92</v>
      </c>
      <c r="L23" s="50" t="s">
        <v>93</v>
      </c>
      <c r="M23" s="50" t="s">
        <v>94</v>
      </c>
      <c r="N23" s="50" t="s">
        <v>95</v>
      </c>
    </row>
    <row r="24" spans="1:20">
      <c r="A24" s="48">
        <v>0</v>
      </c>
      <c r="B24">
        <v>100</v>
      </c>
      <c r="C24">
        <v>0</v>
      </c>
      <c r="D24" s="26">
        <v>0</v>
      </c>
      <c r="E24">
        <v>100</v>
      </c>
      <c r="F24">
        <v>0</v>
      </c>
      <c r="G24" s="26">
        <v>0</v>
      </c>
      <c r="H24" s="49">
        <f>AVERAGE(D24,G24)</f>
        <v>0</v>
      </c>
      <c r="I24" s="49">
        <f>STDEV(D24,G24)</f>
        <v>0</v>
      </c>
      <c r="J24" s="49">
        <f>STDEV(D24,G24)/SQRT(COUNT(D24,G24))</f>
        <v>0</v>
      </c>
      <c r="K24" s="51">
        <f>MAX($D24,$G24)</f>
        <v>0</v>
      </c>
      <c r="L24" s="51">
        <f>MIN($D24,$G24)</f>
        <v>0</v>
      </c>
      <c r="M24" s="51">
        <f>K24-L24</f>
        <v>0</v>
      </c>
      <c r="N24" s="50">
        <f>M24/2</f>
        <v>0</v>
      </c>
    </row>
    <row r="25" spans="1:20">
      <c r="A25" s="48">
        <v>120</v>
      </c>
      <c r="B25">
        <v>12641.468000000001</v>
      </c>
      <c r="C25">
        <v>0</v>
      </c>
      <c r="D25" s="26">
        <f t="shared" ref="D25:D34" si="7">C25/(B25+C25)</f>
        <v>0</v>
      </c>
      <c r="E25">
        <v>8018.2960000000003</v>
      </c>
      <c r="F25">
        <v>0</v>
      </c>
      <c r="G25" s="26">
        <f t="shared" ref="G25:G34" si="8">F25/(E25+F25)</f>
        <v>0</v>
      </c>
      <c r="H25" s="49">
        <f t="shared" ref="H25:H34" si="9">AVERAGE(D25,G25)</f>
        <v>0</v>
      </c>
      <c r="I25" s="49">
        <f t="shared" ref="I25:I34" si="10">STDEV(D25,G25)</f>
        <v>0</v>
      </c>
      <c r="J25" s="49">
        <f t="shared" ref="J25:J34" si="11">STDEV(D25,G25)/SQRT(COUNT(D25,G25))</f>
        <v>0</v>
      </c>
      <c r="K25" s="51">
        <f t="shared" ref="K25:K34" si="12">MAX($D25,$G25)</f>
        <v>0</v>
      </c>
      <c r="L25" s="51">
        <f t="shared" ref="L25:L33" si="13">MIN($D25,$G25)</f>
        <v>0</v>
      </c>
      <c r="M25" s="51">
        <f t="shared" ref="M25:M33" si="14">K25-L25</f>
        <v>0</v>
      </c>
      <c r="N25" s="50">
        <f t="shared" ref="N25:N33" si="15">M25/2</f>
        <v>0</v>
      </c>
    </row>
    <row r="26" spans="1:20">
      <c r="A26" s="48">
        <v>300</v>
      </c>
      <c r="B26">
        <v>11971.64</v>
      </c>
      <c r="C26">
        <v>486.09199999999998</v>
      </c>
      <c r="D26" s="26">
        <f t="shared" si="7"/>
        <v>3.9019301426616013E-2</v>
      </c>
      <c r="E26">
        <v>8740.2960000000003</v>
      </c>
      <c r="F26">
        <v>301.84899999999999</v>
      </c>
      <c r="G26" s="26">
        <f t="shared" si="8"/>
        <v>3.3382455158593449E-2</v>
      </c>
      <c r="H26" s="49">
        <f>AVERAGE(D26,G26)</f>
        <v>3.6200878292604731E-2</v>
      </c>
      <c r="I26" s="49">
        <f>STDEV(D26,G26)</f>
        <v>3.9858522206248376E-3</v>
      </c>
      <c r="J26" s="49">
        <f t="shared" si="11"/>
        <v>2.8184231340112813E-3</v>
      </c>
      <c r="K26" s="51">
        <f t="shared" si="12"/>
        <v>3.9019301426616013E-2</v>
      </c>
      <c r="L26" s="51">
        <f t="shared" si="13"/>
        <v>3.3382455158593449E-2</v>
      </c>
      <c r="M26" s="51">
        <f t="shared" si="14"/>
        <v>5.6368462680225634E-3</v>
      </c>
      <c r="N26" s="50">
        <f t="shared" si="15"/>
        <v>2.8184231340112817E-3</v>
      </c>
    </row>
    <row r="27" spans="1:20">
      <c r="A27" s="48">
        <v>600</v>
      </c>
      <c r="B27">
        <v>13349.761</v>
      </c>
      <c r="C27">
        <v>1100.2339999999999</v>
      </c>
      <c r="D27" s="26">
        <f t="shared" si="7"/>
        <v>7.6140787591968018E-2</v>
      </c>
      <c r="E27">
        <v>8788.5390000000007</v>
      </c>
      <c r="F27">
        <v>562.91999999999996</v>
      </c>
      <c r="G27" s="26">
        <f t="shared" si="8"/>
        <v>6.0195954449460763E-2</v>
      </c>
      <c r="H27" s="49">
        <f t="shared" si="9"/>
        <v>6.8168371020714394E-2</v>
      </c>
      <c r="I27" s="49">
        <f t="shared" si="10"/>
        <v>1.1274699639954824E-2</v>
      </c>
      <c r="J27" s="49">
        <f t="shared" si="11"/>
        <v>7.9724165712535822E-3</v>
      </c>
      <c r="K27" s="51">
        <f t="shared" si="12"/>
        <v>7.6140787591968018E-2</v>
      </c>
      <c r="L27" s="51">
        <f t="shared" si="13"/>
        <v>6.0195954449460763E-2</v>
      </c>
      <c r="M27" s="51">
        <f t="shared" si="14"/>
        <v>1.5944833142507255E-2</v>
      </c>
      <c r="N27" s="50">
        <f t="shared" si="15"/>
        <v>7.9724165712536273E-3</v>
      </c>
    </row>
    <row r="28" spans="1:20">
      <c r="A28" s="48">
        <v>1200</v>
      </c>
      <c r="B28">
        <v>12668.933000000001</v>
      </c>
      <c r="C28">
        <v>1867.6690000000001</v>
      </c>
      <c r="D28" s="26">
        <f t="shared" si="7"/>
        <v>0.12848043855090757</v>
      </c>
      <c r="E28">
        <v>8298.4680000000008</v>
      </c>
      <c r="F28">
        <v>906.23400000000004</v>
      </c>
      <c r="G28" s="26">
        <f t="shared" si="8"/>
        <v>9.8453377415151505E-2</v>
      </c>
      <c r="H28" s="49">
        <f t="shared" si="9"/>
        <v>0.11346690798302954</v>
      </c>
      <c r="I28" s="49">
        <f t="shared" si="10"/>
        <v>2.1232338548196162E-2</v>
      </c>
      <c r="J28" s="49">
        <f t="shared" si="11"/>
        <v>1.501353056787804E-2</v>
      </c>
      <c r="K28" s="51">
        <f t="shared" si="12"/>
        <v>0.12848043855090757</v>
      </c>
      <c r="L28" s="51">
        <f t="shared" si="13"/>
        <v>9.8453377415151505E-2</v>
      </c>
      <c r="M28" s="51">
        <f t="shared" si="14"/>
        <v>3.0027061135756067E-2</v>
      </c>
      <c r="N28" s="50">
        <f t="shared" si="15"/>
        <v>1.5013530567878033E-2</v>
      </c>
    </row>
    <row r="29" spans="1:20">
      <c r="A29" s="48">
        <v>1800</v>
      </c>
      <c r="B29">
        <v>12780.418</v>
      </c>
      <c r="C29">
        <v>2439.6689999999999</v>
      </c>
      <c r="D29" s="26">
        <f t="shared" si="7"/>
        <v>0.16029271054758096</v>
      </c>
      <c r="E29">
        <v>7555.518</v>
      </c>
      <c r="F29">
        <v>1420.598</v>
      </c>
      <c r="G29" s="26">
        <f t="shared" si="8"/>
        <v>0.15826422029305326</v>
      </c>
      <c r="H29" s="49">
        <f t="shared" si="9"/>
        <v>0.15927846542031709</v>
      </c>
      <c r="I29" s="49">
        <f t="shared" si="10"/>
        <v>1.4343592145473613E-3</v>
      </c>
      <c r="J29" s="49">
        <f t="shared" si="11"/>
        <v>1.0142451272638492E-3</v>
      </c>
      <c r="K29" s="51">
        <f t="shared" si="12"/>
        <v>0.16029271054758096</v>
      </c>
      <c r="L29" s="51">
        <f t="shared" si="13"/>
        <v>0.15826422029305326</v>
      </c>
      <c r="M29" s="51">
        <f t="shared" si="14"/>
        <v>2.0284902545276984E-3</v>
      </c>
      <c r="N29" s="50">
        <f t="shared" si="15"/>
        <v>1.0142451272638492E-3</v>
      </c>
    </row>
    <row r="30" spans="1:20">
      <c r="A30" s="48">
        <v>2700</v>
      </c>
      <c r="B30">
        <v>11688.811</v>
      </c>
      <c r="C30">
        <v>3350.6190000000001</v>
      </c>
      <c r="D30" s="26">
        <f t="shared" si="7"/>
        <v>0.22278896208167465</v>
      </c>
      <c r="E30">
        <v>7127.69</v>
      </c>
      <c r="F30">
        <v>2064.4259999999999</v>
      </c>
      <c r="G30" s="26">
        <f t="shared" si="8"/>
        <v>0.22458659137895995</v>
      </c>
      <c r="H30" s="49">
        <f t="shared" si="9"/>
        <v>0.22368777673031731</v>
      </c>
      <c r="I30" s="49">
        <f t="shared" si="10"/>
        <v>1.2711158661700456E-3</v>
      </c>
      <c r="J30" s="49">
        <f t="shared" si="11"/>
        <v>8.9881464864265115E-4</v>
      </c>
      <c r="K30" s="51">
        <f t="shared" si="12"/>
        <v>0.22458659137895995</v>
      </c>
      <c r="L30" s="51">
        <f t="shared" si="13"/>
        <v>0.22278896208167465</v>
      </c>
      <c r="M30" s="51">
        <f t="shared" si="14"/>
        <v>1.7976292972853025E-3</v>
      </c>
      <c r="N30" s="50">
        <f t="shared" si="15"/>
        <v>8.9881464864265126E-4</v>
      </c>
    </row>
    <row r="31" spans="1:20">
      <c r="A31" s="48">
        <v>3600</v>
      </c>
      <c r="B31">
        <v>10805.811</v>
      </c>
      <c r="C31">
        <v>3738.326</v>
      </c>
      <c r="D31" s="26">
        <f t="shared" si="7"/>
        <v>0.25703319488808446</v>
      </c>
      <c r="E31">
        <v>6853.2250000000004</v>
      </c>
      <c r="F31">
        <v>2919.79</v>
      </c>
      <c r="G31" s="26">
        <f t="shared" si="8"/>
        <v>0.29876041323992647</v>
      </c>
      <c r="H31" s="49">
        <f t="shared" si="9"/>
        <v>0.27789680406400546</v>
      </c>
      <c r="I31" s="49">
        <f t="shared" si="10"/>
        <v>2.9505599056639239E-2</v>
      </c>
      <c r="J31" s="49">
        <f t="shared" si="11"/>
        <v>2.0863609175921005E-2</v>
      </c>
      <c r="K31" s="51">
        <f t="shared" si="12"/>
        <v>0.29876041323992647</v>
      </c>
      <c r="L31" s="51">
        <f t="shared" si="13"/>
        <v>0.25703319488808446</v>
      </c>
      <c r="M31" s="51">
        <f t="shared" si="14"/>
        <v>4.172721835184201E-2</v>
      </c>
      <c r="N31" s="50">
        <f t="shared" si="15"/>
        <v>2.0863609175921005E-2</v>
      </c>
    </row>
    <row r="32" spans="1:20">
      <c r="A32" s="48">
        <v>5400</v>
      </c>
      <c r="B32">
        <v>8797.8610000000008</v>
      </c>
      <c r="C32">
        <v>4861.5690000000004</v>
      </c>
      <c r="D32" s="26">
        <f t="shared" si="7"/>
        <v>0.35591302126077007</v>
      </c>
      <c r="E32">
        <v>5949.933</v>
      </c>
      <c r="F32">
        <v>4030.0329999999999</v>
      </c>
      <c r="G32" s="26">
        <f t="shared" si="8"/>
        <v>0.40381229755692555</v>
      </c>
      <c r="H32" s="49">
        <f t="shared" si="9"/>
        <v>0.37986265940884778</v>
      </c>
      <c r="I32" s="49">
        <f t="shared" si="10"/>
        <v>3.3869903082939593E-2</v>
      </c>
      <c r="J32" s="49">
        <f t="shared" si="11"/>
        <v>2.3949638148077736E-2</v>
      </c>
      <c r="K32" s="51">
        <f t="shared" si="12"/>
        <v>0.40381229755692555</v>
      </c>
      <c r="L32" s="51">
        <f t="shared" si="13"/>
        <v>0.35591302126077007</v>
      </c>
      <c r="M32" s="51">
        <f t="shared" si="14"/>
        <v>4.789927629615548E-2</v>
      </c>
      <c r="N32" s="50">
        <f t="shared" si="15"/>
        <v>2.394963814807774E-2</v>
      </c>
    </row>
    <row r="33" spans="1:16">
      <c r="A33" s="48">
        <v>7200</v>
      </c>
      <c r="B33">
        <v>6907.6189999999997</v>
      </c>
      <c r="C33">
        <v>4867.2759999999998</v>
      </c>
      <c r="D33" s="26">
        <f t="shared" si="7"/>
        <v>0.41336045884060957</v>
      </c>
      <c r="E33">
        <v>4748.326</v>
      </c>
      <c r="F33">
        <v>4787.4470000000001</v>
      </c>
      <c r="G33" s="26">
        <f t="shared" si="8"/>
        <v>0.50205127575918596</v>
      </c>
      <c r="H33" s="49">
        <f t="shared" si="9"/>
        <v>0.45770586729989776</v>
      </c>
      <c r="I33" s="49">
        <f t="shared" si="10"/>
        <v>6.2713878072099938E-2</v>
      </c>
      <c r="J33" s="49">
        <f t="shared" si="11"/>
        <v>4.4345408459288187E-2</v>
      </c>
      <c r="K33" s="51">
        <f t="shared" si="12"/>
        <v>0.50205127575918596</v>
      </c>
      <c r="L33" s="51">
        <f t="shared" si="13"/>
        <v>0.41336045884060957</v>
      </c>
      <c r="M33" s="51">
        <f t="shared" si="14"/>
        <v>8.8690816918576387E-2</v>
      </c>
      <c r="N33" s="50">
        <f t="shared" si="15"/>
        <v>4.4345408459288194E-2</v>
      </c>
    </row>
    <row r="34" spans="1:16">
      <c r="A34" s="48">
        <v>10800</v>
      </c>
      <c r="B34">
        <v>4817.4970000000003</v>
      </c>
      <c r="C34">
        <v>5735.4679999999998</v>
      </c>
      <c r="D34" s="26">
        <f t="shared" si="7"/>
        <v>0.54349351106537358</v>
      </c>
      <c r="E34">
        <v>3063.0329999999999</v>
      </c>
      <c r="F34">
        <v>3645.569</v>
      </c>
      <c r="G34" s="26">
        <f t="shared" si="8"/>
        <v>0.54341709345702727</v>
      </c>
      <c r="H34" s="49">
        <f t="shared" si="9"/>
        <v>0.54345530226120042</v>
      </c>
      <c r="I34" s="49">
        <f t="shared" si="10"/>
        <v>5.4035409063735678E-5</v>
      </c>
      <c r="J34" s="49">
        <f t="shared" si="11"/>
        <v>3.820880417315653E-5</v>
      </c>
      <c r="K34" s="51">
        <f t="shared" si="12"/>
        <v>0.54349351106537358</v>
      </c>
      <c r="L34" s="51">
        <f>MIN($D34,$G34)</f>
        <v>0.54341709345702727</v>
      </c>
      <c r="M34" s="51">
        <f>K34-L34</f>
        <v>7.641760834631306E-5</v>
      </c>
      <c r="N34" s="50">
        <f>M34/2</f>
        <v>3.820880417315653E-5</v>
      </c>
    </row>
    <row r="36" spans="1:16">
      <c r="A36" s="20" t="s">
        <v>108</v>
      </c>
      <c r="D36" s="31" t="s">
        <v>24</v>
      </c>
      <c r="G36" s="31" t="s">
        <v>24</v>
      </c>
    </row>
    <row r="37" spans="1:16">
      <c r="A37" s="30" t="s">
        <v>79</v>
      </c>
      <c r="B37" s="83" t="s">
        <v>109</v>
      </c>
      <c r="C37" s="83"/>
      <c r="D37" s="83"/>
      <c r="E37" s="83" t="s">
        <v>110</v>
      </c>
      <c r="F37" s="83"/>
      <c r="G37" s="83"/>
      <c r="H37" s="3"/>
      <c r="I37" s="3"/>
      <c r="J37" s="3"/>
      <c r="K37" s="47"/>
      <c r="L37" s="47"/>
      <c r="M37" s="3"/>
      <c r="N37" s="83"/>
      <c r="O37" s="83"/>
      <c r="P37" s="83"/>
    </row>
    <row r="38" spans="1:16">
      <c r="A38" s="48" t="s">
        <v>85</v>
      </c>
      <c r="B38" t="s">
        <v>86</v>
      </c>
      <c r="C38" t="s">
        <v>87</v>
      </c>
      <c r="D38" s="26" t="s">
        <v>88</v>
      </c>
      <c r="E38" t="s">
        <v>86</v>
      </c>
      <c r="F38" t="s">
        <v>87</v>
      </c>
      <c r="G38" s="26" t="s">
        <v>88</v>
      </c>
      <c r="H38" s="49" t="s">
        <v>89</v>
      </c>
      <c r="I38" s="49" t="s">
        <v>90</v>
      </c>
      <c r="J38" s="49" t="s">
        <v>91</v>
      </c>
      <c r="K38" s="50" t="s">
        <v>92</v>
      </c>
      <c r="L38" s="50" t="s">
        <v>93</v>
      </c>
      <c r="M38" s="50" t="s">
        <v>94</v>
      </c>
      <c r="N38" s="50" t="s">
        <v>95</v>
      </c>
    </row>
    <row r="39" spans="1:16">
      <c r="A39" s="48">
        <v>0</v>
      </c>
      <c r="B39">
        <v>100</v>
      </c>
      <c r="C39">
        <v>0</v>
      </c>
      <c r="D39" s="26">
        <v>0</v>
      </c>
      <c r="E39">
        <v>100</v>
      </c>
      <c r="F39">
        <v>0</v>
      </c>
      <c r="G39" s="26">
        <v>0</v>
      </c>
      <c r="H39" s="49">
        <f>AVERAGE(D39,G39)</f>
        <v>0</v>
      </c>
      <c r="I39" s="49">
        <f>STDEV(D39,G39)</f>
        <v>0</v>
      </c>
      <c r="J39" s="49">
        <f>STDEV(D39,G39)/SQRT(COUNT(D39,G39))</f>
        <v>0</v>
      </c>
      <c r="K39" s="51">
        <f>MAX($D39,$G39)</f>
        <v>0</v>
      </c>
      <c r="L39" s="51">
        <f>MIN($D39,$G39)</f>
        <v>0</v>
      </c>
      <c r="M39" s="51">
        <f>K39-L39</f>
        <v>0</v>
      </c>
      <c r="N39" s="50">
        <f>M39/2</f>
        <v>0</v>
      </c>
    </row>
    <row r="40" spans="1:16">
      <c r="A40" s="48">
        <v>120</v>
      </c>
      <c r="B40">
        <v>12889.64</v>
      </c>
      <c r="C40">
        <v>1070.82</v>
      </c>
      <c r="D40" s="26">
        <f t="shared" ref="D40:D49" si="16">C40/(B40+C40)</f>
        <v>7.6703776236599658E-2</v>
      </c>
      <c r="E40">
        <v>12541.103999999999</v>
      </c>
      <c r="F40">
        <v>792.16300000000001</v>
      </c>
      <c r="G40" s="26">
        <f t="shared" ref="G40:G49" si="17">F40/(E40+F40)</f>
        <v>5.9412520577289872E-2</v>
      </c>
      <c r="H40" s="49">
        <f t="shared" ref="H40:H49" si="18">AVERAGE(D40,G40)</f>
        <v>6.8058148406944768E-2</v>
      </c>
      <c r="I40" s="49">
        <f t="shared" ref="I40:I49" si="19">STDEV(D40,G40)</f>
        <v>1.2226764131928206E-2</v>
      </c>
      <c r="J40" s="49">
        <f t="shared" ref="J40:J49" si="20">STDEV(D40,G40)/SQRT(COUNT(D40,G40))</f>
        <v>8.6456278296548842E-3</v>
      </c>
      <c r="K40" s="51">
        <f t="shared" ref="K40:K49" si="21">MAX($D40,$G40)</f>
        <v>7.6703776236599658E-2</v>
      </c>
      <c r="L40" s="51">
        <f t="shared" ref="L40:L49" si="22">MIN($D40,$G40)</f>
        <v>5.9412520577289872E-2</v>
      </c>
      <c r="M40" s="51">
        <f>K40-L40</f>
        <v>1.7291255659309786E-2</v>
      </c>
      <c r="N40" s="50">
        <f t="shared" ref="N40:N48" si="23">M40/2</f>
        <v>8.6456278296548929E-3</v>
      </c>
    </row>
    <row r="41" spans="1:16">
      <c r="A41" s="48">
        <v>300</v>
      </c>
      <c r="B41">
        <v>12610.811</v>
      </c>
      <c r="C41">
        <v>1738.548</v>
      </c>
      <c r="D41" s="26">
        <f t="shared" si="16"/>
        <v>0.1211585827631743</v>
      </c>
      <c r="E41">
        <v>11575.518</v>
      </c>
      <c r="F41">
        <v>1156.0619999999999</v>
      </c>
      <c r="G41" s="26">
        <f t="shared" si="17"/>
        <v>9.0802712624827392E-2</v>
      </c>
      <c r="H41" s="49">
        <f t="shared" si="18"/>
        <v>0.10598064769400084</v>
      </c>
      <c r="I41" s="49">
        <f t="shared" si="19"/>
        <v>2.1464841623643375E-2</v>
      </c>
      <c r="J41" s="49">
        <f t="shared" si="20"/>
        <v>1.5177935069173492E-2</v>
      </c>
      <c r="K41" s="51">
        <f t="shared" si="21"/>
        <v>0.1211585827631743</v>
      </c>
      <c r="L41" s="51">
        <f>MIN($D41,$G41)</f>
        <v>9.0802712624827392E-2</v>
      </c>
      <c r="M41" s="51">
        <f t="shared" ref="M41:M49" si="24">K41-L41</f>
        <v>3.035587013834691E-2</v>
      </c>
      <c r="N41" s="50">
        <f t="shared" si="23"/>
        <v>1.5177935069173455E-2</v>
      </c>
    </row>
    <row r="42" spans="1:16">
      <c r="A42" s="48">
        <v>600</v>
      </c>
      <c r="B42">
        <v>12188.054</v>
      </c>
      <c r="C42">
        <v>2453.7399999999998</v>
      </c>
      <c r="D42" s="26">
        <f t="shared" si="16"/>
        <v>0.16758465526833663</v>
      </c>
      <c r="E42">
        <v>10646.225</v>
      </c>
      <c r="F42">
        <v>2109.9119999999998</v>
      </c>
      <c r="G42" s="26">
        <f t="shared" si="17"/>
        <v>0.165403679813097</v>
      </c>
      <c r="H42" s="49">
        <f t="shared" si="18"/>
        <v>0.16649416754071683</v>
      </c>
      <c r="I42" s="49">
        <f t="shared" si="19"/>
        <v>1.5421825340013566E-3</v>
      </c>
      <c r="J42" s="49">
        <f t="shared" si="20"/>
        <v>1.0904877276198125E-3</v>
      </c>
      <c r="K42" s="51">
        <f t="shared" si="21"/>
        <v>0.16758465526833663</v>
      </c>
      <c r="L42" s="51">
        <f t="shared" si="22"/>
        <v>0.165403679813097</v>
      </c>
      <c r="M42" s="51">
        <f t="shared" si="24"/>
        <v>2.1809754552396254E-3</v>
      </c>
      <c r="N42" s="50">
        <f t="shared" si="23"/>
        <v>1.0904877276198127E-3</v>
      </c>
    </row>
    <row r="43" spans="1:16">
      <c r="A43" s="48">
        <v>1200</v>
      </c>
      <c r="B43">
        <v>11554.225</v>
      </c>
      <c r="C43">
        <v>3683.2759999999998</v>
      </c>
      <c r="D43" s="26">
        <f t="shared" si="16"/>
        <v>0.24172441399675706</v>
      </c>
      <c r="E43">
        <v>10665.397000000001</v>
      </c>
      <c r="F43">
        <v>3790.4470000000001</v>
      </c>
      <c r="G43" s="26">
        <f t="shared" si="17"/>
        <v>0.2622086264904353</v>
      </c>
      <c r="H43" s="49">
        <f t="shared" si="18"/>
        <v>0.25196652024359617</v>
      </c>
      <c r="I43" s="49">
        <f t="shared" si="19"/>
        <v>1.4484525561546082E-2</v>
      </c>
      <c r="J43" s="49">
        <f t="shared" si="20"/>
        <v>1.0242106246839119E-2</v>
      </c>
      <c r="K43" s="51">
        <f t="shared" si="21"/>
        <v>0.2622086264904353</v>
      </c>
      <c r="L43" s="51">
        <f t="shared" si="22"/>
        <v>0.24172441399675706</v>
      </c>
      <c r="M43" s="51">
        <f t="shared" si="24"/>
        <v>2.0484212493678239E-2</v>
      </c>
      <c r="N43" s="50">
        <f t="shared" si="23"/>
        <v>1.0242106246839119E-2</v>
      </c>
    </row>
    <row r="44" spans="1:16">
      <c r="A44" s="48">
        <v>1800</v>
      </c>
      <c r="B44">
        <v>10315.054</v>
      </c>
      <c r="C44">
        <v>4833.2250000000004</v>
      </c>
      <c r="D44" s="26">
        <f t="shared" si="16"/>
        <v>0.31906099696209717</v>
      </c>
      <c r="E44">
        <v>9166.69</v>
      </c>
      <c r="F44">
        <v>4773.1540000000005</v>
      </c>
      <c r="G44" s="26">
        <f t="shared" si="17"/>
        <v>0.3424108619866908</v>
      </c>
      <c r="H44" s="49">
        <f t="shared" si="18"/>
        <v>0.33073592947439401</v>
      </c>
      <c r="I44" s="49">
        <f t="shared" si="19"/>
        <v>1.6510847898680747E-2</v>
      </c>
      <c r="J44" s="49">
        <f t="shared" si="20"/>
        <v>1.1674932512296813E-2</v>
      </c>
      <c r="K44" s="51">
        <f t="shared" si="21"/>
        <v>0.3424108619866908</v>
      </c>
      <c r="L44" s="51">
        <f t="shared" si="22"/>
        <v>0.31906099696209717</v>
      </c>
      <c r="M44" s="51">
        <f t="shared" si="24"/>
        <v>2.334986502459363E-2</v>
      </c>
      <c r="N44" s="50">
        <f t="shared" si="23"/>
        <v>1.1674932512296815E-2</v>
      </c>
    </row>
    <row r="45" spans="1:16">
      <c r="A45" s="48">
        <v>2700</v>
      </c>
      <c r="B45">
        <v>8760.3970000000008</v>
      </c>
      <c r="C45">
        <v>6015.933</v>
      </c>
      <c r="D45" s="26">
        <f t="shared" si="16"/>
        <v>0.40713309732524916</v>
      </c>
      <c r="E45">
        <v>7514.2759999999998</v>
      </c>
      <c r="F45">
        <v>5588.9830000000002</v>
      </c>
      <c r="G45" s="26">
        <f t="shared" si="17"/>
        <v>0.42653381116865663</v>
      </c>
      <c r="H45" s="49">
        <f t="shared" si="18"/>
        <v>0.41683345424695289</v>
      </c>
      <c r="I45" s="49">
        <f t="shared" si="19"/>
        <v>1.3718376318533149E-2</v>
      </c>
      <c r="J45" s="49">
        <f t="shared" si="20"/>
        <v>9.7003569217037344E-3</v>
      </c>
      <c r="K45" s="51">
        <f t="shared" si="21"/>
        <v>0.42653381116865663</v>
      </c>
      <c r="L45" s="51">
        <f t="shared" si="22"/>
        <v>0.40713309732524916</v>
      </c>
      <c r="M45" s="51">
        <f t="shared" si="24"/>
        <v>1.9400713843407469E-2</v>
      </c>
      <c r="N45" s="50">
        <f t="shared" si="23"/>
        <v>9.7003569217037344E-3</v>
      </c>
    </row>
    <row r="46" spans="1:16">
      <c r="A46" s="48">
        <v>3600</v>
      </c>
      <c r="B46">
        <v>7246.9830000000002</v>
      </c>
      <c r="C46">
        <v>6282.2250000000004</v>
      </c>
      <c r="D46" s="26">
        <f t="shared" si="16"/>
        <v>0.46434536301016294</v>
      </c>
      <c r="E46">
        <v>6588.4470000000001</v>
      </c>
      <c r="F46">
        <v>6618.64</v>
      </c>
      <c r="G46" s="26">
        <f t="shared" si="17"/>
        <v>0.5011430605401479</v>
      </c>
      <c r="H46" s="49">
        <f t="shared" si="18"/>
        <v>0.48274421177515542</v>
      </c>
      <c r="I46" s="49">
        <f t="shared" si="19"/>
        <v>2.6019901455503838E-2</v>
      </c>
      <c r="J46" s="49">
        <f t="shared" si="20"/>
        <v>1.8398848764992481E-2</v>
      </c>
      <c r="K46" s="51">
        <f t="shared" si="21"/>
        <v>0.5011430605401479</v>
      </c>
      <c r="L46" s="51">
        <f t="shared" si="22"/>
        <v>0.46434536301016294</v>
      </c>
      <c r="M46" s="51">
        <f t="shared" si="24"/>
        <v>3.6797697529984963E-2</v>
      </c>
      <c r="N46" s="50">
        <f t="shared" si="23"/>
        <v>1.8398848764992481E-2</v>
      </c>
    </row>
    <row r="47" spans="1:16">
      <c r="A47" s="48">
        <v>5400</v>
      </c>
      <c r="B47">
        <v>5314.6189999999997</v>
      </c>
      <c r="C47">
        <v>7136.933</v>
      </c>
      <c r="D47" s="26">
        <f t="shared" si="16"/>
        <v>0.57317617916224417</v>
      </c>
      <c r="E47">
        <v>4437.79</v>
      </c>
      <c r="F47">
        <v>7008.1540000000005</v>
      </c>
      <c r="G47" s="26">
        <f t="shared" si="17"/>
        <v>0.61228274400084437</v>
      </c>
      <c r="H47" s="49">
        <f t="shared" si="18"/>
        <v>0.59272946158154427</v>
      </c>
      <c r="I47" s="49">
        <f t="shared" si="19"/>
        <v>2.7652517186285606E-2</v>
      </c>
      <c r="J47" s="49">
        <f t="shared" si="20"/>
        <v>1.95532824193001E-2</v>
      </c>
      <c r="K47" s="51">
        <f t="shared" si="21"/>
        <v>0.61228274400084437</v>
      </c>
      <c r="L47" s="51">
        <f t="shared" si="22"/>
        <v>0.57317617916224417</v>
      </c>
      <c r="M47" s="51">
        <f t="shared" si="24"/>
        <v>3.91065648386002E-2</v>
      </c>
      <c r="N47" s="50">
        <f t="shared" si="23"/>
        <v>1.95532824193001E-2</v>
      </c>
    </row>
    <row r="48" spans="1:16">
      <c r="A48" s="48">
        <v>7200</v>
      </c>
      <c r="B48">
        <v>4041.2049999999999</v>
      </c>
      <c r="C48">
        <v>7626.518</v>
      </c>
      <c r="D48" s="26">
        <f t="shared" si="16"/>
        <v>0.65364236021029987</v>
      </c>
      <c r="E48">
        <v>3378.2550000000001</v>
      </c>
      <c r="F48">
        <v>7437.2250000000004</v>
      </c>
      <c r="G48" s="26">
        <f t="shared" si="17"/>
        <v>0.68764631805523202</v>
      </c>
      <c r="H48" s="49">
        <f t="shared" si="18"/>
        <v>0.67064433913276589</v>
      </c>
      <c r="I48" s="49">
        <f t="shared" si="19"/>
        <v>2.4044429179333027E-2</v>
      </c>
      <c r="J48" s="49">
        <f t="shared" si="20"/>
        <v>1.7001978922466077E-2</v>
      </c>
      <c r="K48" s="51">
        <f t="shared" si="21"/>
        <v>0.68764631805523202</v>
      </c>
      <c r="L48" s="51">
        <f t="shared" si="22"/>
        <v>0.65364236021029987</v>
      </c>
      <c r="M48" s="51">
        <f t="shared" si="24"/>
        <v>3.4003957844932153E-2</v>
      </c>
      <c r="N48" s="50">
        <f t="shared" si="23"/>
        <v>1.7001978922466077E-2</v>
      </c>
    </row>
    <row r="49" spans="1:27">
      <c r="A49" s="48">
        <v>10800</v>
      </c>
      <c r="B49">
        <v>2695.962</v>
      </c>
      <c r="C49">
        <v>7880.64</v>
      </c>
      <c r="D49" s="26">
        <f t="shared" si="16"/>
        <v>0.74510130947538722</v>
      </c>
      <c r="E49">
        <v>2475.3760000000002</v>
      </c>
      <c r="F49">
        <v>7582.9830000000002</v>
      </c>
      <c r="G49" s="26">
        <f t="shared" si="17"/>
        <v>0.75389862302588329</v>
      </c>
      <c r="H49" s="49">
        <f t="shared" si="18"/>
        <v>0.7494999662506352</v>
      </c>
      <c r="I49" s="49">
        <f t="shared" si="19"/>
        <v>6.2206400677800719E-3</v>
      </c>
      <c r="J49" s="49">
        <f t="shared" si="20"/>
        <v>4.3986567752480332E-3</v>
      </c>
      <c r="K49" s="51">
        <f t="shared" si="21"/>
        <v>0.75389862302588329</v>
      </c>
      <c r="L49" s="51">
        <f t="shared" si="22"/>
        <v>0.74510130947538722</v>
      </c>
      <c r="M49" s="51">
        <f t="shared" si="24"/>
        <v>8.7973135504960664E-3</v>
      </c>
      <c r="N49" s="50">
        <f>M49/2</f>
        <v>4.3986567752480332E-3</v>
      </c>
    </row>
    <row r="51" spans="1:27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7">
      <c r="A52" s="20" t="s">
        <v>111</v>
      </c>
    </row>
    <row r="54" spans="1:27">
      <c r="A54" s="20" t="s">
        <v>77</v>
      </c>
      <c r="D54" s="31" t="s">
        <v>24</v>
      </c>
      <c r="G54" s="31" t="s">
        <v>24</v>
      </c>
      <c r="J54" s="31" t="s">
        <v>24</v>
      </c>
      <c r="M54" s="31" t="s">
        <v>24</v>
      </c>
      <c r="P54" s="31" t="s">
        <v>24</v>
      </c>
      <c r="S54" s="31" t="s">
        <v>24</v>
      </c>
      <c r="V54" s="31" t="s">
        <v>24</v>
      </c>
    </row>
    <row r="55" spans="1:27">
      <c r="A55" s="30" t="s">
        <v>79</v>
      </c>
      <c r="B55" s="85" t="s">
        <v>112</v>
      </c>
      <c r="C55" s="85"/>
      <c r="D55" s="85"/>
      <c r="E55" s="85" t="s">
        <v>113</v>
      </c>
      <c r="F55" s="85"/>
      <c r="G55" s="85"/>
      <c r="H55" s="85" t="s">
        <v>114</v>
      </c>
      <c r="I55" s="85"/>
      <c r="J55" s="85"/>
      <c r="K55" s="85" t="s">
        <v>115</v>
      </c>
      <c r="L55" s="85"/>
      <c r="M55" s="85"/>
      <c r="N55" s="85" t="s">
        <v>116</v>
      </c>
      <c r="O55" s="85"/>
      <c r="P55" s="85"/>
      <c r="Q55" s="85" t="s">
        <v>117</v>
      </c>
      <c r="R55" s="85"/>
      <c r="S55" s="85"/>
      <c r="T55" s="85" t="s">
        <v>118</v>
      </c>
      <c r="U55" s="85"/>
      <c r="V55" s="85"/>
    </row>
    <row r="56" spans="1:27">
      <c r="A56" s="48" t="s">
        <v>85</v>
      </c>
      <c r="B56" t="s">
        <v>119</v>
      </c>
      <c r="C56" t="s">
        <v>120</v>
      </c>
      <c r="D56" s="26" t="s">
        <v>88</v>
      </c>
      <c r="E56" t="s">
        <v>119</v>
      </c>
      <c r="F56" t="s">
        <v>120</v>
      </c>
      <c r="G56" s="26" t="s">
        <v>88</v>
      </c>
      <c r="H56" t="s">
        <v>119</v>
      </c>
      <c r="I56" t="s">
        <v>120</v>
      </c>
      <c r="J56" s="26" t="s">
        <v>88</v>
      </c>
      <c r="K56" t="s">
        <v>119</v>
      </c>
      <c r="L56" t="s">
        <v>120</v>
      </c>
      <c r="M56" s="26" t="s">
        <v>88</v>
      </c>
      <c r="N56" t="s">
        <v>119</v>
      </c>
      <c r="O56" t="s">
        <v>120</v>
      </c>
      <c r="P56" s="26" t="s">
        <v>88</v>
      </c>
      <c r="Q56" t="s">
        <v>119</v>
      </c>
      <c r="R56" t="s">
        <v>120</v>
      </c>
      <c r="S56" s="26" t="s">
        <v>88</v>
      </c>
      <c r="T56" t="s">
        <v>119</v>
      </c>
      <c r="U56" t="s">
        <v>120</v>
      </c>
      <c r="V56" s="26" t="s">
        <v>88</v>
      </c>
      <c r="W56" s="49" t="s">
        <v>89</v>
      </c>
      <c r="X56" s="49" t="s">
        <v>90</v>
      </c>
      <c r="Y56" s="52" t="s">
        <v>91</v>
      </c>
      <c r="Z56" s="53" t="s">
        <v>121</v>
      </c>
      <c r="AA56" s="53" t="s">
        <v>122</v>
      </c>
    </row>
    <row r="57" spans="1:27">
      <c r="A57" s="48">
        <v>0</v>
      </c>
      <c r="B57">
        <v>0</v>
      </c>
      <c r="C57">
        <v>0</v>
      </c>
      <c r="D57" s="26">
        <v>0</v>
      </c>
      <c r="E57">
        <v>0</v>
      </c>
      <c r="F57">
        <v>0</v>
      </c>
      <c r="G57" s="26">
        <v>0</v>
      </c>
      <c r="H57">
        <v>0</v>
      </c>
      <c r="I57">
        <v>0</v>
      </c>
      <c r="J57" s="26">
        <v>0</v>
      </c>
      <c r="K57">
        <v>0</v>
      </c>
      <c r="L57">
        <v>0</v>
      </c>
      <c r="M57" s="26">
        <v>0</v>
      </c>
      <c r="N57">
        <v>0</v>
      </c>
      <c r="O57">
        <v>0</v>
      </c>
      <c r="P57" s="26">
        <v>0</v>
      </c>
      <c r="Q57">
        <v>0</v>
      </c>
      <c r="R57">
        <v>0</v>
      </c>
      <c r="S57" s="26">
        <v>0</v>
      </c>
      <c r="T57">
        <v>0</v>
      </c>
      <c r="U57">
        <v>0</v>
      </c>
      <c r="V57" s="26">
        <v>0</v>
      </c>
      <c r="W57" s="49">
        <f>AVERAGE(D57,G57,J57,M57,P57,S57,V57)</f>
        <v>0</v>
      </c>
      <c r="X57" s="49">
        <f>STDEV(D57,G57,J57,M57,N57,S57,V57)</f>
        <v>0</v>
      </c>
      <c r="Y57" s="52">
        <f>STDEV(D57,G57,J57,M57,P57,S57,V57)/(SQRT(COUNT(D57,G57,J57,M57,P57,S57,V57)))</f>
        <v>0</v>
      </c>
      <c r="Z57" s="54">
        <f>MAX(D57,G57,J57,M57,P57,S57,V57)-MIN(D57,G57,J57,M57,P57,S57,V57)</f>
        <v>0</v>
      </c>
      <c r="AA57" s="54">
        <f>Z57/2</f>
        <v>0</v>
      </c>
    </row>
    <row r="58" spans="1:27">
      <c r="A58" s="48">
        <v>120</v>
      </c>
      <c r="B58">
        <v>9511.51</v>
      </c>
      <c r="C58">
        <v>116.021</v>
      </c>
      <c r="D58" s="26">
        <f>C58/SUM(B58:C58)</f>
        <v>1.2050960936921417E-2</v>
      </c>
      <c r="E58">
        <v>11597.388000000001</v>
      </c>
      <c r="F58">
        <v>85.364000000000004</v>
      </c>
      <c r="G58" s="26">
        <f>F58/SUM(E58:F58)</f>
        <v>7.3068400322115886E-3</v>
      </c>
      <c r="H58">
        <v>10441.803</v>
      </c>
      <c r="I58">
        <v>133.364</v>
      </c>
      <c r="J58" s="26">
        <f>I58/SUM(H58:I58)</f>
        <v>1.261105380179812E-2</v>
      </c>
      <c r="K58">
        <v>8387.9240000000009</v>
      </c>
      <c r="L58">
        <v>355.678</v>
      </c>
      <c r="M58" s="26">
        <f>L58/SUM(K58:L58)</f>
        <v>4.0678658520824709E-2</v>
      </c>
      <c r="N58">
        <v>9132.2880000000005</v>
      </c>
      <c r="O58">
        <v>140.19200000000001</v>
      </c>
      <c r="P58" s="26">
        <f>O58/SUM(N58:O58)</f>
        <v>1.5119148275326559E-2</v>
      </c>
      <c r="Q58">
        <v>12847.53</v>
      </c>
      <c r="R58">
        <v>292.16300000000001</v>
      </c>
      <c r="S58" s="26">
        <f>R58/SUM(Q58:R58)</f>
        <v>2.2235146589802364E-2</v>
      </c>
      <c r="T58">
        <v>8311.3880000000008</v>
      </c>
      <c r="U58">
        <v>334.09199999999998</v>
      </c>
      <c r="V58" s="26">
        <f>U58/SUM(T58:U58)</f>
        <v>3.8643545528993177E-2</v>
      </c>
      <c r="W58" s="49">
        <f>AVERAGE(D58,G58,J58,M58,P58,S58,V58)</f>
        <v>2.1235050526553993E-2</v>
      </c>
      <c r="X58" s="49">
        <f>STDEV(D58,G58,J58,M58,P58,S58,V58)</f>
        <v>1.3368058393304657E-2</v>
      </c>
      <c r="Y58" s="52">
        <f>STDEV(D58,G58,J58,M58,P58,S58,V58)/(SQRT(COUNT(D58,G58,J58,M58,P58,S58,V58)))</f>
        <v>5.0526511457819707E-3</v>
      </c>
      <c r="Z58" s="54">
        <f>MAX(D58,G58,J58,M58,P58,S58,V58)-MIN(D58,G58,J58,M58,P58,S58,V58)</f>
        <v>3.337181848861312E-2</v>
      </c>
      <c r="AA58" s="54">
        <f t="shared" ref="AA58:AA67" si="25">Z58/2</f>
        <v>1.668590924430656E-2</v>
      </c>
    </row>
    <row r="59" spans="1:27">
      <c r="A59" s="48">
        <v>300</v>
      </c>
      <c r="B59">
        <v>9118.6810000000005</v>
      </c>
      <c r="C59">
        <v>615.91999999999996</v>
      </c>
      <c r="D59" s="26">
        <f t="shared" ref="D59:D67" si="26">C59/SUM(B59:C59)</f>
        <v>6.3271211629526466E-2</v>
      </c>
      <c r="E59">
        <v>12175.288</v>
      </c>
      <c r="F59">
        <v>654.91999999999996</v>
      </c>
      <c r="G59" s="26">
        <f t="shared" ref="G59:G67" si="27">F59/SUM(E59:F59)</f>
        <v>5.1045158426114366E-2</v>
      </c>
      <c r="H59">
        <v>11449.924000000001</v>
      </c>
      <c r="I59">
        <v>587.74900000000002</v>
      </c>
      <c r="J59" s="26">
        <f t="shared" ref="J59:J67" si="28">I59/SUM(H59:I59)</f>
        <v>4.8825798806795967E-2</v>
      </c>
      <c r="K59">
        <v>8586.2880000000005</v>
      </c>
      <c r="L59">
        <v>1762.7190000000001</v>
      </c>
      <c r="M59" s="26">
        <f t="shared" ref="M59:M67" si="29">L59/SUM(K59:L59)</f>
        <v>0.17032735604488428</v>
      </c>
      <c r="N59">
        <v>8679.2880000000005</v>
      </c>
      <c r="O59">
        <v>408.33499999999998</v>
      </c>
      <c r="P59" s="26">
        <f t="shared" ref="P59:P67" si="30">O59/SUM(N59:O59)</f>
        <v>4.4933091964752502E-2</v>
      </c>
      <c r="Q59">
        <v>15105.752</v>
      </c>
      <c r="R59">
        <v>1319.4259999999999</v>
      </c>
      <c r="S59" s="26">
        <f t="shared" ref="S59:S67" si="31">R59/SUM(Q59:R59)</f>
        <v>8.0329479534407472E-2</v>
      </c>
      <c r="T59">
        <v>8363.0239999999994</v>
      </c>
      <c r="U59">
        <v>1286.134</v>
      </c>
      <c r="V59" s="26">
        <f t="shared" ref="V59:V67" si="32">U59/SUM(T59:U59)</f>
        <v>0.13328976476496707</v>
      </c>
      <c r="W59" s="49">
        <f t="shared" ref="W59:W67" si="33">AVERAGE(D59,G59,J59,M59,P59,S59,V59)</f>
        <v>8.4574551595921157E-2</v>
      </c>
      <c r="X59" s="49">
        <f t="shared" ref="X59:X67" si="34">STDEV(D59,G59,J59,M59,P59,S59,V59)</f>
        <v>4.8600766882670302E-2</v>
      </c>
      <c r="Y59" s="52">
        <f t="shared" ref="Y59:Y67" si="35">STDEV(D59,G59,J59,M59,P59,S59,V59)/(SQRT(COUNT(D59,G59,J59,M59,P59,S59,V59)))</f>
        <v>1.8369363242652783E-2</v>
      </c>
      <c r="Z59" s="54">
        <f t="shared" ref="Z59:Z67" si="36">MAX(D59,G59,J59,M59,P59,S59,V59)-MIN(D59,G59,J59,M59,P59,S59,V59)</f>
        <v>0.12539426408013177</v>
      </c>
      <c r="AA59" s="54">
        <f t="shared" si="25"/>
        <v>6.2697132040065884E-2</v>
      </c>
    </row>
    <row r="60" spans="1:27">
      <c r="A60" s="48">
        <v>600</v>
      </c>
      <c r="B60">
        <v>11127.874</v>
      </c>
      <c r="C60">
        <v>1420.2550000000001</v>
      </c>
      <c r="D60" s="26">
        <f t="shared" si="26"/>
        <v>0.11318460305914929</v>
      </c>
      <c r="E60">
        <v>11482.581</v>
      </c>
      <c r="F60">
        <v>981.64800000000002</v>
      </c>
      <c r="G60" s="26">
        <f t="shared" si="27"/>
        <v>7.8757217955478839E-2</v>
      </c>
      <c r="H60">
        <v>11098.852999999999</v>
      </c>
      <c r="I60">
        <v>1298.548</v>
      </c>
      <c r="J60" s="26">
        <f t="shared" si="28"/>
        <v>0.10474356681694817</v>
      </c>
      <c r="K60">
        <v>7768.0450000000001</v>
      </c>
      <c r="L60">
        <v>2088.154</v>
      </c>
      <c r="M60" s="26">
        <f t="shared" si="29"/>
        <v>0.21186199669872735</v>
      </c>
      <c r="N60">
        <v>8608.5300000000007</v>
      </c>
      <c r="O60">
        <v>1884.0329999999999</v>
      </c>
      <c r="P60" s="26">
        <f t="shared" si="30"/>
        <v>0.17955889328470079</v>
      </c>
      <c r="Q60">
        <v>12848.731</v>
      </c>
      <c r="R60">
        <v>2060.2049999999999</v>
      </c>
      <c r="S60" s="26">
        <f t="shared" si="31"/>
        <v>0.1381859174927037</v>
      </c>
      <c r="T60">
        <v>7708.9740000000002</v>
      </c>
      <c r="U60">
        <v>2103.6689999999999</v>
      </c>
      <c r="V60" s="26">
        <f t="shared" si="32"/>
        <v>0.21438352541715824</v>
      </c>
      <c r="W60" s="49">
        <f>AVERAGE(D60,G60,J60,M60,P60,S60,V60)</f>
        <v>0.14866796010355235</v>
      </c>
      <c r="X60" s="49">
        <f t="shared" si="34"/>
        <v>5.3932175888190347E-2</v>
      </c>
      <c r="Y60" s="52">
        <f t="shared" si="35"/>
        <v>2.0384446437820815E-2</v>
      </c>
      <c r="Z60" s="54">
        <f t="shared" si="36"/>
        <v>0.13562630746167942</v>
      </c>
      <c r="AA60" s="54">
        <f t="shared" si="25"/>
        <v>6.7813153730839709E-2</v>
      </c>
    </row>
    <row r="61" spans="1:27">
      <c r="A61" s="48">
        <v>1200</v>
      </c>
      <c r="B61">
        <v>9365.3880000000008</v>
      </c>
      <c r="C61">
        <v>2021.3969999999999</v>
      </c>
      <c r="D61" s="26">
        <f t="shared" si="26"/>
        <v>0.17752131088801623</v>
      </c>
      <c r="E61">
        <v>9814.6309999999994</v>
      </c>
      <c r="F61">
        <v>2253.326</v>
      </c>
      <c r="G61" s="26">
        <f t="shared" si="27"/>
        <v>0.18671975712210445</v>
      </c>
      <c r="H61">
        <v>9489.1460000000006</v>
      </c>
      <c r="I61">
        <v>2362.1039999999998</v>
      </c>
      <c r="J61" s="26">
        <f t="shared" si="28"/>
        <v>0.1993126463453222</v>
      </c>
      <c r="K61">
        <v>6809.8739999999998</v>
      </c>
      <c r="L61">
        <v>3595.2959999999998</v>
      </c>
      <c r="M61" s="26">
        <f t="shared" si="29"/>
        <v>0.34552977029688126</v>
      </c>
      <c r="N61">
        <v>7979.2380000000003</v>
      </c>
      <c r="O61">
        <v>3473.8820000000001</v>
      </c>
      <c r="P61" s="26">
        <f t="shared" si="30"/>
        <v>0.30331315833589451</v>
      </c>
      <c r="Q61">
        <v>12181.995000000001</v>
      </c>
      <c r="R61">
        <v>3359.69</v>
      </c>
      <c r="S61" s="26">
        <f t="shared" si="31"/>
        <v>0.21617282810711966</v>
      </c>
      <c r="T61">
        <v>7116.61</v>
      </c>
      <c r="U61">
        <v>3239.9119999999998</v>
      </c>
      <c r="V61" s="26">
        <f t="shared" si="32"/>
        <v>0.31283784266571346</v>
      </c>
      <c r="W61" s="49">
        <f t="shared" si="33"/>
        <v>0.24877247339443595</v>
      </c>
      <c r="X61" s="49">
        <f t="shared" si="34"/>
        <v>6.9374961234216603E-2</v>
      </c>
      <c r="Y61" s="52">
        <f t="shared" si="35"/>
        <v>2.6221270662926247E-2</v>
      </c>
      <c r="Z61" s="54">
        <f t="shared" si="36"/>
        <v>0.16800845940886502</v>
      </c>
      <c r="AA61" s="54">
        <f t="shared" si="25"/>
        <v>8.4004229704432512E-2</v>
      </c>
    </row>
    <row r="62" spans="1:27">
      <c r="A62" s="48">
        <v>1800</v>
      </c>
      <c r="B62">
        <v>8034.2669999999998</v>
      </c>
      <c r="C62">
        <v>2977.2959999999998</v>
      </c>
      <c r="D62" s="26">
        <f t="shared" si="26"/>
        <v>0.27037905518044986</v>
      </c>
      <c r="E62">
        <v>8298.6309999999994</v>
      </c>
      <c r="F62">
        <v>3172.64</v>
      </c>
      <c r="G62" s="26">
        <f t="shared" si="27"/>
        <v>0.27657266574907002</v>
      </c>
      <c r="H62">
        <v>8037.61</v>
      </c>
      <c r="I62">
        <v>3122.4180000000001</v>
      </c>
      <c r="J62" s="26">
        <f t="shared" si="28"/>
        <v>0.27978585716810028</v>
      </c>
      <c r="K62">
        <v>5970.1670000000004</v>
      </c>
      <c r="L62">
        <v>5251.0749999999998</v>
      </c>
      <c r="M62" s="26">
        <f t="shared" si="29"/>
        <v>0.46795844880629078</v>
      </c>
      <c r="N62">
        <v>7202.9949999999999</v>
      </c>
      <c r="O62">
        <v>5131.2460000000001</v>
      </c>
      <c r="P62" s="26">
        <f t="shared" si="30"/>
        <v>0.41601635641787771</v>
      </c>
      <c r="Q62">
        <v>10578.094999999999</v>
      </c>
      <c r="R62">
        <v>4793.0039999999999</v>
      </c>
      <c r="S62" s="26">
        <f t="shared" si="31"/>
        <v>0.31181921344726232</v>
      </c>
      <c r="T62">
        <v>5636.5389999999998</v>
      </c>
      <c r="U62">
        <v>4002.4470000000001</v>
      </c>
      <c r="V62" s="26">
        <f t="shared" si="32"/>
        <v>0.41523527474777944</v>
      </c>
      <c r="W62" s="49">
        <f>AVERAGE(D62,G62,J62,M62,P62,S62,V62)</f>
        <v>0.34825241021669001</v>
      </c>
      <c r="X62" s="49">
        <f t="shared" si="34"/>
        <v>8.228556386663631E-2</v>
      </c>
      <c r="Y62" s="52">
        <f t="shared" si="35"/>
        <v>3.1101019783120302E-2</v>
      </c>
      <c r="Z62" s="54">
        <f t="shared" si="36"/>
        <v>0.19757939362584093</v>
      </c>
      <c r="AA62" s="54">
        <f t="shared" si="25"/>
        <v>9.8789696812920463E-2</v>
      </c>
    </row>
    <row r="63" spans="1:27">
      <c r="A63" s="48">
        <v>2700</v>
      </c>
      <c r="B63">
        <v>6759.7309999999998</v>
      </c>
      <c r="C63">
        <v>4122.9030000000002</v>
      </c>
      <c r="D63" s="26">
        <f t="shared" si="26"/>
        <v>0.37885157214696369</v>
      </c>
      <c r="E63">
        <v>7036.2169999999996</v>
      </c>
      <c r="F63">
        <v>4440.2460000000001</v>
      </c>
      <c r="G63" s="26">
        <f t="shared" si="27"/>
        <v>0.38690021481357106</v>
      </c>
      <c r="H63">
        <v>7097.0240000000003</v>
      </c>
      <c r="I63">
        <v>4581.9030000000002</v>
      </c>
      <c r="J63" s="26">
        <f t="shared" si="28"/>
        <v>0.39232225700186329</v>
      </c>
      <c r="K63">
        <v>5082.4390000000003</v>
      </c>
      <c r="L63">
        <v>6352.9030000000002</v>
      </c>
      <c r="M63" s="26">
        <f t="shared" si="29"/>
        <v>0.55554989085590967</v>
      </c>
      <c r="N63">
        <v>4998.3879999999999</v>
      </c>
      <c r="O63">
        <v>5307.0240000000003</v>
      </c>
      <c r="P63" s="26">
        <f t="shared" si="30"/>
        <v>0.51497446196231655</v>
      </c>
      <c r="Q63">
        <v>8811.66</v>
      </c>
      <c r="R63">
        <v>5347.518</v>
      </c>
      <c r="S63" s="26">
        <f t="shared" si="31"/>
        <v>0.37767150042184655</v>
      </c>
      <c r="T63">
        <v>4736.7110000000002</v>
      </c>
      <c r="U63">
        <v>4877.3969999999999</v>
      </c>
      <c r="V63" s="26">
        <f t="shared" si="32"/>
        <v>0.50731664341611304</v>
      </c>
      <c r="W63" s="49">
        <f t="shared" si="33"/>
        <v>0.44479807723122627</v>
      </c>
      <c r="X63" s="49">
        <f t="shared" si="34"/>
        <v>7.7524247111413744E-2</v>
      </c>
      <c r="Y63" s="52">
        <f t="shared" si="35"/>
        <v>2.9301411204902601E-2</v>
      </c>
      <c r="Z63" s="54">
        <f t="shared" si="36"/>
        <v>0.17787839043406312</v>
      </c>
      <c r="AA63" s="54">
        <f t="shared" si="25"/>
        <v>8.8939195217031558E-2</v>
      </c>
    </row>
    <row r="64" spans="1:27">
      <c r="A64" s="48">
        <v>3600</v>
      </c>
      <c r="B64">
        <v>5829.0950000000003</v>
      </c>
      <c r="C64">
        <v>5298.2669999999998</v>
      </c>
      <c r="D64" s="26">
        <f t="shared" si="26"/>
        <v>0.47614762600515731</v>
      </c>
      <c r="E64">
        <v>5965.61</v>
      </c>
      <c r="F64">
        <v>5042.4889999999996</v>
      </c>
      <c r="G64" s="26">
        <f t="shared" si="27"/>
        <v>0.45807082585285619</v>
      </c>
      <c r="H64">
        <v>5942.66</v>
      </c>
      <c r="I64">
        <v>5688.0450000000001</v>
      </c>
      <c r="J64" s="26">
        <f t="shared" si="28"/>
        <v>0.48905418889052726</v>
      </c>
      <c r="K64">
        <v>4676.6809999999996</v>
      </c>
      <c r="L64">
        <v>8716.4590000000007</v>
      </c>
      <c r="M64" s="26">
        <f t="shared" si="29"/>
        <v>0.65081519344978112</v>
      </c>
      <c r="N64">
        <v>4557.2669999999998</v>
      </c>
      <c r="O64">
        <v>6623.51</v>
      </c>
      <c r="P64" s="26">
        <f t="shared" si="30"/>
        <v>0.59240158353931938</v>
      </c>
      <c r="Q64">
        <v>7432.7110000000002</v>
      </c>
      <c r="R64">
        <v>7328.0950000000003</v>
      </c>
      <c r="S64" s="26">
        <f t="shared" si="31"/>
        <v>0.49645629107245226</v>
      </c>
      <c r="T64">
        <v>4101.8819999999996</v>
      </c>
      <c r="U64">
        <v>5685.3469999999998</v>
      </c>
      <c r="V64" s="26">
        <f t="shared" si="32"/>
        <v>0.5808944492869228</v>
      </c>
      <c r="W64" s="49">
        <f>AVERAGE(D64,G64,J64,M64,P64,S64,V64)</f>
        <v>0.53483430829957368</v>
      </c>
      <c r="X64" s="49">
        <f t="shared" si="34"/>
        <v>7.2792563656362969E-2</v>
      </c>
      <c r="Y64" s="52">
        <f t="shared" si="35"/>
        <v>2.7513002961367855E-2</v>
      </c>
      <c r="Z64" s="54">
        <f t="shared" si="36"/>
        <v>0.19274436759692493</v>
      </c>
      <c r="AA64" s="54">
        <f t="shared" si="25"/>
        <v>9.6372183798462463E-2</v>
      </c>
    </row>
    <row r="65" spans="1:27">
      <c r="A65" s="48">
        <v>5400</v>
      </c>
      <c r="B65">
        <v>3467.4679999999998</v>
      </c>
      <c r="C65">
        <v>6620.4089999999997</v>
      </c>
      <c r="D65" s="26">
        <f t="shared" si="26"/>
        <v>0.65627376305242413</v>
      </c>
      <c r="E65">
        <v>3989.3679999999999</v>
      </c>
      <c r="F65">
        <v>5710.4390000000003</v>
      </c>
      <c r="G65" s="26">
        <f t="shared" si="27"/>
        <v>0.58871676518924554</v>
      </c>
      <c r="H65">
        <v>3839.64</v>
      </c>
      <c r="I65">
        <v>6925.9740000000002</v>
      </c>
      <c r="J65" s="26">
        <f t="shared" si="28"/>
        <v>0.64334221903181743</v>
      </c>
      <c r="K65">
        <v>3340.61</v>
      </c>
      <c r="L65">
        <v>9689.8739999999998</v>
      </c>
      <c r="M65" s="26">
        <f t="shared" si="29"/>
        <v>0.74363116519693351</v>
      </c>
      <c r="N65">
        <v>3089.8319999999999</v>
      </c>
      <c r="O65">
        <v>7725.3379999999997</v>
      </c>
      <c r="P65" s="26">
        <f t="shared" si="30"/>
        <v>0.71430573906836414</v>
      </c>
      <c r="Q65">
        <v>6193.7110000000002</v>
      </c>
      <c r="R65">
        <v>8018.1459999999997</v>
      </c>
      <c r="S65" s="26">
        <f t="shared" si="31"/>
        <v>0.56418707280828961</v>
      </c>
      <c r="T65">
        <v>3082.761</v>
      </c>
      <c r="U65">
        <v>5467.7610000000004</v>
      </c>
      <c r="V65" s="26">
        <f>U65/SUM(T65:U65)</f>
        <v>0.63946516949491505</v>
      </c>
      <c r="W65" s="49">
        <f t="shared" si="33"/>
        <v>0.64998884197742701</v>
      </c>
      <c r="X65" s="49">
        <f t="shared" si="34"/>
        <v>6.3529762641697698E-2</v>
      </c>
      <c r="Y65" s="52">
        <f t="shared" si="35"/>
        <v>2.4011993257270561E-2</v>
      </c>
      <c r="Z65" s="54">
        <f t="shared" si="36"/>
        <v>0.17944409238864389</v>
      </c>
      <c r="AA65" s="54">
        <f t="shared" si="25"/>
        <v>8.9722046194321947E-2</v>
      </c>
    </row>
    <row r="66" spans="1:27">
      <c r="A66" s="48">
        <v>7200</v>
      </c>
      <c r="B66">
        <v>2408.518</v>
      </c>
      <c r="C66">
        <v>5971.0950000000003</v>
      </c>
      <c r="D66" s="26">
        <f t="shared" si="26"/>
        <v>0.7125740771083342</v>
      </c>
      <c r="E66">
        <v>2969.933</v>
      </c>
      <c r="F66">
        <v>6983.0950000000003</v>
      </c>
      <c r="G66" s="26">
        <f t="shared" si="27"/>
        <v>0.70160507937885841</v>
      </c>
      <c r="H66">
        <v>2610.9830000000002</v>
      </c>
      <c r="I66">
        <v>8176.652</v>
      </c>
      <c r="J66" s="26">
        <f t="shared" si="28"/>
        <v>0.75796520738790285</v>
      </c>
      <c r="K66">
        <v>2594.8319999999999</v>
      </c>
      <c r="L66">
        <v>11342.53</v>
      </c>
      <c r="M66" s="26">
        <f t="shared" si="29"/>
        <v>0.81382186959052938</v>
      </c>
      <c r="N66">
        <v>2548.953</v>
      </c>
      <c r="O66">
        <v>9375.9950000000008</v>
      </c>
      <c r="P66" s="26">
        <f t="shared" si="30"/>
        <v>0.78625038868094022</v>
      </c>
      <c r="Q66">
        <v>5212.125</v>
      </c>
      <c r="R66">
        <v>8248.61</v>
      </c>
      <c r="S66" s="26">
        <f t="shared" si="31"/>
        <v>0.61279046055063113</v>
      </c>
      <c r="T66">
        <v>2469.761</v>
      </c>
      <c r="U66">
        <v>7529.7110000000002</v>
      </c>
      <c r="V66" s="26">
        <f t="shared" si="32"/>
        <v>0.75301085897335385</v>
      </c>
      <c r="W66" s="49">
        <f t="shared" si="33"/>
        <v>0.73400256309579281</v>
      </c>
      <c r="X66" s="49">
        <f t="shared" si="34"/>
        <v>6.6128197928516486E-2</v>
      </c>
      <c r="Y66" s="52">
        <f t="shared" si="35"/>
        <v>2.4994109481101603E-2</v>
      </c>
      <c r="Z66" s="54">
        <f t="shared" si="36"/>
        <v>0.20103140903989825</v>
      </c>
      <c r="AA66" s="54">
        <f t="shared" si="25"/>
        <v>0.10051570451994912</v>
      </c>
    </row>
    <row r="67" spans="1:27">
      <c r="A67" s="48">
        <v>10800</v>
      </c>
      <c r="B67">
        <v>1414.0119999999999</v>
      </c>
      <c r="C67">
        <v>9571.4089999999997</v>
      </c>
      <c r="D67" s="26">
        <f t="shared" si="26"/>
        <v>0.8712828575254421</v>
      </c>
      <c r="E67">
        <v>1550.376</v>
      </c>
      <c r="F67">
        <v>7832.8029999999999</v>
      </c>
      <c r="G67" s="26">
        <f t="shared" si="27"/>
        <v>0.83477071043832796</v>
      </c>
      <c r="H67">
        <v>1398.2550000000001</v>
      </c>
      <c r="I67">
        <v>9463.48</v>
      </c>
      <c r="J67" s="26">
        <f t="shared" si="28"/>
        <v>0.87126780390057379</v>
      </c>
      <c r="K67">
        <v>1596.69</v>
      </c>
      <c r="L67">
        <v>12097.359</v>
      </c>
      <c r="M67" s="26">
        <f t="shared" si="29"/>
        <v>0.88340263716012701</v>
      </c>
      <c r="N67">
        <v>1585.69</v>
      </c>
      <c r="O67">
        <v>10136.116</v>
      </c>
      <c r="P67" s="26">
        <f t="shared" si="30"/>
        <v>0.86472306400566601</v>
      </c>
      <c r="Q67">
        <v>3395.9830000000002</v>
      </c>
      <c r="R67">
        <v>8056.9530000000004</v>
      </c>
      <c r="S67" s="26">
        <f t="shared" si="31"/>
        <v>0.70348363074760911</v>
      </c>
      <c r="T67">
        <v>1556.4469999999999</v>
      </c>
      <c r="U67">
        <v>7889.7110000000002</v>
      </c>
      <c r="V67" s="26">
        <f t="shared" si="32"/>
        <v>0.8352296245732922</v>
      </c>
      <c r="W67" s="49">
        <f t="shared" si="33"/>
        <v>0.83773718976443412</v>
      </c>
      <c r="X67" s="49">
        <f t="shared" si="34"/>
        <v>6.2051444242868826E-2</v>
      </c>
      <c r="Y67" s="52">
        <f t="shared" si="35"/>
        <v>2.3453241422717361E-2</v>
      </c>
      <c r="Z67" s="54">
        <f t="shared" si="36"/>
        <v>0.1799190064125179</v>
      </c>
      <c r="AA67" s="54">
        <f t="shared" si="25"/>
        <v>8.9959503206258951E-2</v>
      </c>
    </row>
    <row r="69" spans="1:27">
      <c r="A69" s="20" t="s">
        <v>105</v>
      </c>
      <c r="D69" s="31" t="s">
        <v>24</v>
      </c>
      <c r="G69" s="31" t="s">
        <v>24</v>
      </c>
    </row>
    <row r="70" spans="1:27">
      <c r="A70" s="30" t="s">
        <v>79</v>
      </c>
      <c r="B70" s="83" t="s">
        <v>123</v>
      </c>
      <c r="C70" s="83"/>
      <c r="D70" s="83"/>
      <c r="E70" s="83" t="s">
        <v>124</v>
      </c>
      <c r="F70" s="83"/>
      <c r="G70" s="83"/>
      <c r="H70" s="3"/>
      <c r="I70" s="3"/>
      <c r="J70" s="3"/>
      <c r="K70" s="47"/>
      <c r="L70" s="47"/>
      <c r="M70" s="3"/>
      <c r="N70" s="83"/>
      <c r="O70" s="83"/>
      <c r="P70" s="83"/>
    </row>
    <row r="71" spans="1:27">
      <c r="A71" s="48" t="s">
        <v>85</v>
      </c>
      <c r="B71" t="s">
        <v>86</v>
      </c>
      <c r="C71" t="s">
        <v>87</v>
      </c>
      <c r="D71" s="26" t="s">
        <v>88</v>
      </c>
      <c r="E71" t="s">
        <v>86</v>
      </c>
      <c r="F71" t="s">
        <v>87</v>
      </c>
      <c r="G71" s="26" t="s">
        <v>88</v>
      </c>
      <c r="H71" s="49" t="s">
        <v>89</v>
      </c>
      <c r="I71" s="49" t="s">
        <v>90</v>
      </c>
      <c r="J71" s="49" t="s">
        <v>91</v>
      </c>
      <c r="K71" s="50" t="s">
        <v>92</v>
      </c>
      <c r="L71" s="50" t="s">
        <v>93</v>
      </c>
      <c r="M71" s="50" t="s">
        <v>94</v>
      </c>
      <c r="N71" s="50" t="s">
        <v>95</v>
      </c>
    </row>
    <row r="72" spans="1:27">
      <c r="A72" s="48">
        <v>0</v>
      </c>
      <c r="B72">
        <v>100</v>
      </c>
      <c r="C72">
        <v>0</v>
      </c>
      <c r="D72" s="26">
        <v>0</v>
      </c>
      <c r="E72">
        <v>100</v>
      </c>
      <c r="F72">
        <v>0</v>
      </c>
      <c r="G72" s="26">
        <v>0</v>
      </c>
      <c r="H72" s="49">
        <f>AVERAGE(D72,G72)</f>
        <v>0</v>
      </c>
      <c r="I72" s="49">
        <f>STDEV(D72,G72)</f>
        <v>0</v>
      </c>
      <c r="J72" s="49">
        <f>STDEV(D72,G72)/SQRT(COUNT(D72,G72))</f>
        <v>0</v>
      </c>
      <c r="K72" s="51">
        <f>MAX($D72,$G72)</f>
        <v>0</v>
      </c>
      <c r="L72" s="51">
        <f>MIN($D72,$G72)</f>
        <v>0</v>
      </c>
      <c r="M72" s="51">
        <f>K72-L72</f>
        <v>0</v>
      </c>
      <c r="N72" s="50">
        <f>M72/2</f>
        <v>0</v>
      </c>
    </row>
    <row r="73" spans="1:27">
      <c r="A73" s="48">
        <v>120</v>
      </c>
      <c r="B73">
        <v>16576.539000000001</v>
      </c>
      <c r="C73">
        <v>0</v>
      </c>
      <c r="D73" s="26">
        <f t="shared" ref="D73:D81" si="37">C73/(B73+C73)</f>
        <v>0</v>
      </c>
      <c r="E73">
        <v>13956.953</v>
      </c>
      <c r="F73">
        <v>0</v>
      </c>
      <c r="G73" s="26">
        <f t="shared" ref="G73:G82" si="38">F73/(E73+F73)</f>
        <v>0</v>
      </c>
      <c r="H73" s="49">
        <f t="shared" ref="H73:H82" si="39">AVERAGE(D73,G73)</f>
        <v>0</v>
      </c>
      <c r="I73" s="49">
        <f t="shared" ref="I73:I82" si="40">STDEV(D73,G73)</f>
        <v>0</v>
      </c>
      <c r="J73" s="49">
        <f t="shared" ref="J73:J82" si="41">STDEV(D73,G73)/SQRT(COUNT(D73,G73))</f>
        <v>0</v>
      </c>
      <c r="K73" s="51">
        <f t="shared" ref="K73:K82" si="42">MAX($D73,$G73)</f>
        <v>0</v>
      </c>
      <c r="L73" s="51">
        <f t="shared" ref="L73:L82" si="43">MIN($D73,$G73)</f>
        <v>0</v>
      </c>
      <c r="M73" s="51">
        <f t="shared" ref="M73:M82" si="44">K73-L73</f>
        <v>0</v>
      </c>
      <c r="N73" s="50">
        <f t="shared" ref="N73:N81" si="45">M73/2</f>
        <v>0</v>
      </c>
    </row>
    <row r="74" spans="1:27">
      <c r="A74" s="48">
        <v>300</v>
      </c>
      <c r="B74">
        <v>16588.831999999999</v>
      </c>
      <c r="C74">
        <v>0</v>
      </c>
      <c r="D74" s="26">
        <f t="shared" si="37"/>
        <v>0</v>
      </c>
      <c r="E74">
        <v>12548.174999999999</v>
      </c>
      <c r="F74">
        <v>0</v>
      </c>
      <c r="G74" s="26">
        <f t="shared" si="38"/>
        <v>0</v>
      </c>
      <c r="H74" s="49">
        <f t="shared" si="39"/>
        <v>0</v>
      </c>
      <c r="I74" s="49">
        <f t="shared" si="40"/>
        <v>0</v>
      </c>
      <c r="J74" s="49">
        <f t="shared" si="41"/>
        <v>0</v>
      </c>
      <c r="K74" s="51">
        <f t="shared" si="42"/>
        <v>0</v>
      </c>
      <c r="L74" s="51">
        <f t="shared" si="43"/>
        <v>0</v>
      </c>
      <c r="M74" s="51">
        <f t="shared" si="44"/>
        <v>0</v>
      </c>
      <c r="N74" s="50">
        <f t="shared" si="45"/>
        <v>0</v>
      </c>
    </row>
    <row r="75" spans="1:27">
      <c r="A75" s="48">
        <v>600</v>
      </c>
      <c r="B75">
        <v>15171.468000000001</v>
      </c>
      <c r="C75">
        <v>0</v>
      </c>
      <c r="D75" s="26">
        <f t="shared" si="37"/>
        <v>0</v>
      </c>
      <c r="E75">
        <v>15586.832</v>
      </c>
      <c r="F75">
        <v>472.79899999999998</v>
      </c>
      <c r="G75" s="26">
        <f t="shared" si="38"/>
        <v>2.9440215656262585E-2</v>
      </c>
      <c r="H75" s="49">
        <f>AVERAGE(D75,G75)</f>
        <v>1.4720107828131292E-2</v>
      </c>
      <c r="I75" s="49">
        <f t="shared" si="40"/>
        <v>2.0817376130137639E-2</v>
      </c>
      <c r="J75" s="49">
        <f t="shared" si="41"/>
        <v>1.4720107828131292E-2</v>
      </c>
      <c r="K75" s="51">
        <f t="shared" si="42"/>
        <v>2.9440215656262585E-2</v>
      </c>
      <c r="L75" s="51">
        <f t="shared" si="43"/>
        <v>0</v>
      </c>
      <c r="M75" s="51">
        <f t="shared" si="44"/>
        <v>2.9440215656262585E-2</v>
      </c>
      <c r="N75" s="50">
        <f t="shared" si="45"/>
        <v>1.4720107828131292E-2</v>
      </c>
    </row>
    <row r="76" spans="1:27">
      <c r="A76" s="48">
        <v>1200</v>
      </c>
      <c r="B76">
        <v>14927.174999999999</v>
      </c>
      <c r="C76">
        <v>625.45600000000002</v>
      </c>
      <c r="D76" s="26">
        <f t="shared" si="37"/>
        <v>4.0215446505481936E-2</v>
      </c>
      <c r="E76">
        <v>14364.347</v>
      </c>
      <c r="F76">
        <v>450.50599999999997</v>
      </c>
      <c r="G76" s="26">
        <f t="shared" si="38"/>
        <v>3.0409076620605009E-2</v>
      </c>
      <c r="H76" s="49">
        <f t="shared" si="39"/>
        <v>3.5312261563043471E-2</v>
      </c>
      <c r="I76" s="49">
        <f t="shared" si="40"/>
        <v>6.9341506444200425E-3</v>
      </c>
      <c r="J76" s="49">
        <f t="shared" si="41"/>
        <v>4.9031849424384802E-3</v>
      </c>
      <c r="K76" s="51">
        <f t="shared" si="42"/>
        <v>4.0215446505481936E-2</v>
      </c>
      <c r="L76" s="51">
        <f t="shared" si="43"/>
        <v>3.0409076620605009E-2</v>
      </c>
      <c r="M76" s="51">
        <f t="shared" si="44"/>
        <v>9.8063698848769275E-3</v>
      </c>
      <c r="N76" s="50">
        <f t="shared" si="45"/>
        <v>4.9031849424384637E-3</v>
      </c>
    </row>
    <row r="77" spans="1:27">
      <c r="A77" s="48">
        <v>1800</v>
      </c>
      <c r="B77">
        <v>15269.418</v>
      </c>
      <c r="C77">
        <v>893.99099999999999</v>
      </c>
      <c r="D77" s="26">
        <f t="shared" si="37"/>
        <v>5.5309557532077544E-2</v>
      </c>
      <c r="E77">
        <v>13193.589</v>
      </c>
      <c r="F77">
        <v>606.74900000000002</v>
      </c>
      <c r="G77" s="26">
        <f t="shared" si="38"/>
        <v>4.3966241986247004E-2</v>
      </c>
      <c r="H77" s="49">
        <f t="shared" si="39"/>
        <v>4.9637899759162274E-2</v>
      </c>
      <c r="I77" s="49">
        <f t="shared" si="40"/>
        <v>8.0209353435955564E-3</v>
      </c>
      <c r="J77" s="49">
        <f t="shared" si="41"/>
        <v>5.6716577729152683E-3</v>
      </c>
      <c r="K77" s="51">
        <f t="shared" si="42"/>
        <v>5.5309557532077544E-2</v>
      </c>
      <c r="L77" s="51">
        <f t="shared" si="43"/>
        <v>4.3966241986247004E-2</v>
      </c>
      <c r="M77" s="51">
        <f t="shared" si="44"/>
        <v>1.134331554583054E-2</v>
      </c>
      <c r="N77" s="50">
        <f t="shared" si="45"/>
        <v>5.6716577729152701E-3</v>
      </c>
    </row>
    <row r="78" spans="1:27">
      <c r="A78" s="48">
        <v>2700</v>
      </c>
      <c r="B78">
        <v>14049.761</v>
      </c>
      <c r="C78">
        <v>1163.2339999999999</v>
      </c>
      <c r="D78" s="26">
        <f t="shared" si="37"/>
        <v>7.6463181641747716E-2</v>
      </c>
      <c r="E78">
        <v>12504.418</v>
      </c>
      <c r="F78">
        <v>1076.0619999999999</v>
      </c>
      <c r="G78" s="26">
        <f t="shared" si="38"/>
        <v>7.9235932750536059E-2</v>
      </c>
      <c r="H78" s="49">
        <f t="shared" si="39"/>
        <v>7.7849557196141894E-2</v>
      </c>
      <c r="I78" s="49">
        <f t="shared" si="40"/>
        <v>1.9606311115667558E-3</v>
      </c>
      <c r="J78" s="49">
        <f t="shared" si="41"/>
        <v>1.3863755543941714E-3</v>
      </c>
      <c r="K78" s="51">
        <f t="shared" si="42"/>
        <v>7.9235932750536059E-2</v>
      </c>
      <c r="L78" s="51">
        <f t="shared" si="43"/>
        <v>7.6463181641747716E-2</v>
      </c>
      <c r="M78" s="51">
        <f t="shared" si="44"/>
        <v>2.7727511087883433E-3</v>
      </c>
      <c r="N78" s="50">
        <f t="shared" si="45"/>
        <v>1.3863755543941716E-3</v>
      </c>
    </row>
    <row r="79" spans="1:27">
      <c r="A79" s="48">
        <v>3600</v>
      </c>
      <c r="B79">
        <v>14223.174999999999</v>
      </c>
      <c r="C79">
        <v>1779.6690000000001</v>
      </c>
      <c r="D79" s="26">
        <f t="shared" si="37"/>
        <v>0.11120954500337567</v>
      </c>
      <c r="E79">
        <v>12018.054</v>
      </c>
      <c r="F79">
        <v>1660.598</v>
      </c>
      <c r="G79" s="26">
        <f t="shared" si="38"/>
        <v>0.12140070527417468</v>
      </c>
      <c r="H79" s="49">
        <f t="shared" si="39"/>
        <v>0.11630512513877517</v>
      </c>
      <c r="I79" s="49">
        <f t="shared" si="40"/>
        <v>7.2062385356409138E-3</v>
      </c>
      <c r="J79" s="49">
        <f t="shared" si="41"/>
        <v>5.0955801353995056E-3</v>
      </c>
      <c r="K79" s="51">
        <f t="shared" si="42"/>
        <v>0.12140070527417468</v>
      </c>
      <c r="L79" s="51">
        <f t="shared" si="43"/>
        <v>0.11120954500337567</v>
      </c>
      <c r="M79" s="51">
        <f t="shared" si="44"/>
        <v>1.0191160270799013E-2</v>
      </c>
      <c r="N79" s="50">
        <f t="shared" si="45"/>
        <v>5.0955801353995064E-3</v>
      </c>
    </row>
    <row r="80" spans="1:27">
      <c r="A80" s="48">
        <v>5400</v>
      </c>
      <c r="B80">
        <v>12742.64</v>
      </c>
      <c r="C80">
        <v>2616.8609999999999</v>
      </c>
      <c r="D80" s="26">
        <f t="shared" si="37"/>
        <v>0.17037408962700024</v>
      </c>
      <c r="E80">
        <v>12775.296</v>
      </c>
      <c r="F80">
        <v>3512.8609999999999</v>
      </c>
      <c r="G80" s="26">
        <f t="shared" si="38"/>
        <v>0.21566964267350813</v>
      </c>
      <c r="H80" s="49">
        <f t="shared" si="39"/>
        <v>0.19302186615025418</v>
      </c>
      <c r="I80" s="49">
        <f t="shared" si="40"/>
        <v>3.2028792716780961E-2</v>
      </c>
      <c r="J80" s="49">
        <f t="shared" si="41"/>
        <v>2.2647776523254122E-2</v>
      </c>
      <c r="K80" s="51">
        <f t="shared" si="42"/>
        <v>0.21566964267350813</v>
      </c>
      <c r="L80" s="51">
        <f t="shared" si="43"/>
        <v>0.17037408962700024</v>
      </c>
      <c r="M80" s="51">
        <f t="shared" si="44"/>
        <v>4.5295553046507897E-2</v>
      </c>
      <c r="N80" s="50">
        <f t="shared" si="45"/>
        <v>2.2647776523253949E-2</v>
      </c>
    </row>
    <row r="81" spans="1:16">
      <c r="A81" s="48">
        <v>7200</v>
      </c>
      <c r="B81">
        <v>12325.174999999999</v>
      </c>
      <c r="C81">
        <v>3313.3969999999999</v>
      </c>
      <c r="D81" s="26">
        <f t="shared" si="37"/>
        <v>0.2118733730931443</v>
      </c>
      <c r="E81">
        <v>13119.004000000001</v>
      </c>
      <c r="F81">
        <v>4855.6400000000003</v>
      </c>
      <c r="G81" s="26">
        <f t="shared" si="38"/>
        <v>0.27013831261414695</v>
      </c>
      <c r="H81" s="49">
        <f t="shared" si="39"/>
        <v>0.24100584285364562</v>
      </c>
      <c r="I81" s="49">
        <f t="shared" si="40"/>
        <v>4.1199533840725111E-2</v>
      </c>
      <c r="J81" s="49">
        <f t="shared" si="41"/>
        <v>2.9132469760501368E-2</v>
      </c>
      <c r="K81" s="51">
        <f t="shared" si="42"/>
        <v>0.27013831261414695</v>
      </c>
      <c r="L81" s="51">
        <f t="shared" si="43"/>
        <v>0.2118733730931443</v>
      </c>
      <c r="M81" s="51">
        <f t="shared" si="44"/>
        <v>5.8264939521002646E-2</v>
      </c>
      <c r="N81" s="50">
        <f t="shared" si="45"/>
        <v>2.9132469760501323E-2</v>
      </c>
    </row>
    <row r="82" spans="1:16">
      <c r="A82" s="48">
        <v>10800</v>
      </c>
      <c r="B82">
        <v>10770.64</v>
      </c>
      <c r="C82">
        <v>3757.933</v>
      </c>
      <c r="D82" s="26">
        <f>C82/(B82+C82)</f>
        <v>0.25865809395045197</v>
      </c>
      <c r="E82">
        <v>10068.761</v>
      </c>
      <c r="F82">
        <v>5007.3969999999999</v>
      </c>
      <c r="G82" s="26">
        <f t="shared" si="38"/>
        <v>0.33214012482490568</v>
      </c>
      <c r="H82" s="49">
        <f t="shared" si="39"/>
        <v>0.29539910938767883</v>
      </c>
      <c r="I82" s="49">
        <f t="shared" si="40"/>
        <v>5.195964232668563E-2</v>
      </c>
      <c r="J82" s="49">
        <f t="shared" si="41"/>
        <v>3.6741015437226965E-2</v>
      </c>
      <c r="K82" s="51">
        <f t="shared" si="42"/>
        <v>0.33214012482490568</v>
      </c>
      <c r="L82" s="51">
        <f t="shared" si="43"/>
        <v>0.25865809395045197</v>
      </c>
      <c r="M82" s="51">
        <f t="shared" si="44"/>
        <v>7.3482030874453708E-2</v>
      </c>
      <c r="N82" s="50">
        <f>M82/2</f>
        <v>3.6741015437226854E-2</v>
      </c>
    </row>
    <row r="84" spans="1:16">
      <c r="A84" s="20" t="s">
        <v>108</v>
      </c>
      <c r="D84" s="31" t="s">
        <v>24</v>
      </c>
      <c r="G84" s="31" t="s">
        <v>24</v>
      </c>
    </row>
    <row r="85" spans="1:16">
      <c r="A85" s="30" t="s">
        <v>79</v>
      </c>
      <c r="B85" s="83" t="s">
        <v>125</v>
      </c>
      <c r="C85" s="83"/>
      <c r="D85" s="83"/>
      <c r="E85" s="83" t="s">
        <v>126</v>
      </c>
      <c r="F85" s="83"/>
      <c r="G85" s="83"/>
      <c r="H85" s="3"/>
      <c r="I85" s="3"/>
      <c r="J85" s="3"/>
      <c r="K85" s="47"/>
      <c r="L85" s="47"/>
      <c r="M85" s="3"/>
      <c r="N85" s="83"/>
      <c r="O85" s="83"/>
      <c r="P85" s="83"/>
    </row>
    <row r="86" spans="1:16">
      <c r="A86" s="48" t="s">
        <v>85</v>
      </c>
      <c r="B86" t="s">
        <v>86</v>
      </c>
      <c r="C86" t="s">
        <v>87</v>
      </c>
      <c r="D86" s="26" t="s">
        <v>88</v>
      </c>
      <c r="E86" t="s">
        <v>86</v>
      </c>
      <c r="F86" t="s">
        <v>87</v>
      </c>
      <c r="G86" s="26" t="s">
        <v>88</v>
      </c>
      <c r="H86" s="49" t="s">
        <v>89</v>
      </c>
      <c r="I86" s="49" t="s">
        <v>90</v>
      </c>
      <c r="J86" s="49" t="s">
        <v>91</v>
      </c>
      <c r="K86" s="50" t="s">
        <v>92</v>
      </c>
      <c r="L86" s="50" t="s">
        <v>93</v>
      </c>
      <c r="M86" s="50" t="s">
        <v>94</v>
      </c>
      <c r="N86" s="50" t="s">
        <v>95</v>
      </c>
    </row>
    <row r="87" spans="1:16">
      <c r="A87" s="48">
        <v>0</v>
      </c>
      <c r="B87">
        <v>100</v>
      </c>
      <c r="C87">
        <v>0</v>
      </c>
      <c r="D87" s="26">
        <v>0</v>
      </c>
      <c r="E87">
        <v>100</v>
      </c>
      <c r="F87">
        <v>0</v>
      </c>
      <c r="G87" s="26">
        <v>0</v>
      </c>
      <c r="H87" s="49">
        <f>AVERAGE(D87,G87)</f>
        <v>0</v>
      </c>
      <c r="I87" s="49">
        <f>STDEV(D87,G87)</f>
        <v>0</v>
      </c>
      <c r="J87" s="49">
        <f>STDEV(D87,G87)/SQRT(COUNT(D87,G87))</f>
        <v>0</v>
      </c>
      <c r="K87" s="51">
        <f>MAX($D87,$G87)</f>
        <v>0</v>
      </c>
      <c r="L87" s="51">
        <f>MIN($D87,$G87)</f>
        <v>0</v>
      </c>
      <c r="M87" s="51">
        <f>K87-L87</f>
        <v>0</v>
      </c>
      <c r="N87" s="50">
        <f>M87/2</f>
        <v>0</v>
      </c>
    </row>
    <row r="88" spans="1:16">
      <c r="A88" s="48">
        <v>120</v>
      </c>
      <c r="B88">
        <v>9053.3680000000004</v>
      </c>
      <c r="C88">
        <v>0</v>
      </c>
      <c r="D88" s="26">
        <f t="shared" ref="D88:D97" si="46">C88/(B88+C88)</f>
        <v>0</v>
      </c>
      <c r="E88">
        <v>11300.710999999999</v>
      </c>
      <c r="F88">
        <v>0</v>
      </c>
      <c r="G88" s="26">
        <f t="shared" ref="G88:G96" si="47">F88/(E88+F88)</f>
        <v>0</v>
      </c>
      <c r="H88" s="49">
        <f t="shared" ref="H88:H96" si="48">AVERAGE(D88,G88)</f>
        <v>0</v>
      </c>
      <c r="I88" s="49">
        <f t="shared" ref="I88:I97" si="49">STDEV(D88,G88)</f>
        <v>0</v>
      </c>
      <c r="J88" s="49">
        <f t="shared" ref="J88:J97" si="50">STDEV(D88,G88)/SQRT(COUNT(D88,G88))</f>
        <v>0</v>
      </c>
      <c r="K88" s="51">
        <f t="shared" ref="K88:K97" si="51">MAX($D88,$G88)</f>
        <v>0</v>
      </c>
      <c r="L88" s="51">
        <f t="shared" ref="L88:L97" si="52">MIN($D88,$G88)</f>
        <v>0</v>
      </c>
      <c r="M88" s="51">
        <f t="shared" ref="M88:M97" si="53">K88-L88</f>
        <v>0</v>
      </c>
      <c r="N88" s="50">
        <f t="shared" ref="N88:N96" si="54">M88/2</f>
        <v>0</v>
      </c>
    </row>
    <row r="89" spans="1:16">
      <c r="A89" s="48">
        <v>300</v>
      </c>
      <c r="B89">
        <v>9556.9030000000002</v>
      </c>
      <c r="C89">
        <v>0</v>
      </c>
      <c r="D89" s="26">
        <f t="shared" si="46"/>
        <v>0</v>
      </c>
      <c r="E89">
        <v>11516.225</v>
      </c>
      <c r="F89">
        <v>30.120999999999999</v>
      </c>
      <c r="G89" s="26">
        <f t="shared" si="47"/>
        <v>2.6087040869899446E-3</v>
      </c>
      <c r="H89" s="49">
        <f>AVERAGE(D89,G89)</f>
        <v>1.3043520434949723E-3</v>
      </c>
      <c r="I89" s="49">
        <f>STDEV(D89,G89)</f>
        <v>1.844632350019651E-3</v>
      </c>
      <c r="J89" s="49">
        <f t="shared" si="50"/>
        <v>1.3043520434949721E-3</v>
      </c>
      <c r="K89" s="51">
        <f t="shared" si="51"/>
        <v>2.6087040869899446E-3</v>
      </c>
      <c r="L89" s="51">
        <f t="shared" si="52"/>
        <v>0</v>
      </c>
      <c r="M89" s="51">
        <f t="shared" si="53"/>
        <v>2.6087040869899446E-3</v>
      </c>
      <c r="N89" s="50">
        <f t="shared" si="54"/>
        <v>1.3043520434949723E-3</v>
      </c>
    </row>
    <row r="90" spans="1:16">
      <c r="A90" s="48">
        <v>600</v>
      </c>
      <c r="B90">
        <v>11525.347</v>
      </c>
      <c r="C90">
        <v>279.435</v>
      </c>
      <c r="D90" s="26">
        <f t="shared" si="46"/>
        <v>2.3671339292839124E-2</v>
      </c>
      <c r="E90">
        <v>11344.518</v>
      </c>
      <c r="F90">
        <v>194.77799999999999</v>
      </c>
      <c r="G90" s="26">
        <f t="shared" si="47"/>
        <v>1.6879539271719868E-2</v>
      </c>
      <c r="H90" s="49">
        <f t="shared" si="48"/>
        <v>2.0275439282279498E-2</v>
      </c>
      <c r="I90" s="49">
        <f t="shared" si="49"/>
        <v>4.8025278513963501E-3</v>
      </c>
      <c r="J90" s="49">
        <f t="shared" si="50"/>
        <v>3.395900010559619E-3</v>
      </c>
      <c r="K90" s="51">
        <f t="shared" si="51"/>
        <v>2.3671339292839124E-2</v>
      </c>
      <c r="L90" s="51">
        <f t="shared" si="52"/>
        <v>1.6879539271719868E-2</v>
      </c>
      <c r="M90" s="51">
        <f t="shared" si="53"/>
        <v>6.7918000211192563E-3</v>
      </c>
      <c r="N90" s="50">
        <f t="shared" si="54"/>
        <v>3.3959000105596281E-3</v>
      </c>
    </row>
    <row r="91" spans="1:16">
      <c r="A91" s="48">
        <v>1200</v>
      </c>
      <c r="B91">
        <v>11628.347</v>
      </c>
      <c r="C91">
        <v>402.50599999999997</v>
      </c>
      <c r="D91" s="26">
        <f t="shared" si="46"/>
        <v>3.345614812183309E-2</v>
      </c>
      <c r="E91">
        <v>11130.933000000001</v>
      </c>
      <c r="F91">
        <v>448.09199999999998</v>
      </c>
      <c r="G91" s="26">
        <f t="shared" si="47"/>
        <v>3.8698595088964741E-2</v>
      </c>
      <c r="H91" s="49">
        <f t="shared" si="48"/>
        <v>3.6077371605398915E-2</v>
      </c>
      <c r="I91" s="49">
        <f t="shared" si="49"/>
        <v>3.7069698004696399E-3</v>
      </c>
      <c r="J91" s="49">
        <f t="shared" si="50"/>
        <v>2.6212234835658252E-3</v>
      </c>
      <c r="K91" s="51">
        <f t="shared" si="51"/>
        <v>3.8698595088964741E-2</v>
      </c>
      <c r="L91" s="51">
        <f t="shared" si="52"/>
        <v>3.345614812183309E-2</v>
      </c>
      <c r="M91" s="51">
        <f t="shared" si="53"/>
        <v>5.2424469671316504E-3</v>
      </c>
      <c r="N91" s="50">
        <f t="shared" si="54"/>
        <v>2.6212234835658252E-3</v>
      </c>
    </row>
    <row r="92" spans="1:16">
      <c r="A92" s="48">
        <v>1800</v>
      </c>
      <c r="B92">
        <v>11908.64</v>
      </c>
      <c r="C92">
        <v>752.40599999999995</v>
      </c>
      <c r="D92" s="26">
        <f t="shared" si="46"/>
        <v>5.9426843564109953E-2</v>
      </c>
      <c r="E92">
        <v>11638.589</v>
      </c>
      <c r="F92">
        <v>838.82</v>
      </c>
      <c r="G92" s="26">
        <f t="shared" si="47"/>
        <v>6.7227098190016862E-2</v>
      </c>
      <c r="H92" s="49">
        <f t="shared" si="48"/>
        <v>6.3326970877063404E-2</v>
      </c>
      <c r="I92" s="49">
        <f t="shared" si="49"/>
        <v>5.5156129409605122E-3</v>
      </c>
      <c r="J92" s="49">
        <f t="shared" si="50"/>
        <v>3.9001273129534546E-3</v>
      </c>
      <c r="K92" s="51">
        <f t="shared" si="51"/>
        <v>6.7227098190016862E-2</v>
      </c>
      <c r="L92" s="51">
        <f t="shared" si="52"/>
        <v>5.9426843564109953E-2</v>
      </c>
      <c r="M92" s="51">
        <f t="shared" si="53"/>
        <v>7.8002546259069092E-3</v>
      </c>
      <c r="N92" s="50">
        <f t="shared" si="54"/>
        <v>3.9001273129534546E-3</v>
      </c>
    </row>
    <row r="93" spans="1:16">
      <c r="A93" s="48">
        <v>2700</v>
      </c>
      <c r="B93">
        <v>10276.811</v>
      </c>
      <c r="C93">
        <v>1103.184</v>
      </c>
      <c r="D93" s="26">
        <f t="shared" si="46"/>
        <v>9.6940640132091457E-2</v>
      </c>
      <c r="E93">
        <v>10261.933000000001</v>
      </c>
      <c r="F93">
        <v>1050.0619999999999</v>
      </c>
      <c r="G93" s="26">
        <f t="shared" si="47"/>
        <v>9.2827304113907383E-2</v>
      </c>
      <c r="H93" s="49">
        <f t="shared" si="48"/>
        <v>9.4883972122999427E-2</v>
      </c>
      <c r="I93" s="49">
        <f t="shared" si="49"/>
        <v>2.908567791756831E-3</v>
      </c>
      <c r="J93" s="49">
        <f t="shared" si="50"/>
        <v>2.0566680090920372E-3</v>
      </c>
      <c r="K93" s="51">
        <f t="shared" si="51"/>
        <v>9.6940640132091457E-2</v>
      </c>
      <c r="L93" s="51">
        <f t="shared" si="52"/>
        <v>9.2827304113907383E-2</v>
      </c>
      <c r="M93" s="51">
        <f t="shared" si="53"/>
        <v>4.1133360181840745E-3</v>
      </c>
      <c r="N93" s="50">
        <f t="shared" si="54"/>
        <v>2.0566680090920372E-3</v>
      </c>
    </row>
    <row r="94" spans="1:16">
      <c r="A94" s="48">
        <v>3600</v>
      </c>
      <c r="B94">
        <v>10625.933000000001</v>
      </c>
      <c r="C94">
        <v>1606.134</v>
      </c>
      <c r="D94" s="26">
        <f t="shared" si="46"/>
        <v>0.13130519968538432</v>
      </c>
      <c r="E94">
        <v>10427.054</v>
      </c>
      <c r="F94">
        <v>1348.7190000000001</v>
      </c>
      <c r="G94" s="26">
        <f t="shared" si="47"/>
        <v>0.11453337288346166</v>
      </c>
      <c r="H94" s="49">
        <f t="shared" si="48"/>
        <v>0.12291928628442299</v>
      </c>
      <c r="I94" s="49">
        <f t="shared" si="49"/>
        <v>1.1859472464525797E-2</v>
      </c>
      <c r="J94" s="49">
        <f t="shared" si="50"/>
        <v>8.3859134009613284E-3</v>
      </c>
      <c r="K94" s="51">
        <f t="shared" si="51"/>
        <v>0.13130519968538432</v>
      </c>
      <c r="L94" s="51">
        <f t="shared" si="52"/>
        <v>0.11453337288346166</v>
      </c>
      <c r="M94" s="51">
        <f t="shared" si="53"/>
        <v>1.6771826801922657E-2</v>
      </c>
      <c r="N94" s="50">
        <f t="shared" si="54"/>
        <v>8.3859134009613284E-3</v>
      </c>
    </row>
    <row r="95" spans="1:16">
      <c r="A95" s="48">
        <v>5400</v>
      </c>
      <c r="B95">
        <v>9315.69</v>
      </c>
      <c r="C95">
        <v>2002.8409999999999</v>
      </c>
      <c r="D95" s="26">
        <f t="shared" si="46"/>
        <v>0.17695238012777451</v>
      </c>
      <c r="E95">
        <v>8643.5689999999995</v>
      </c>
      <c r="F95">
        <v>1711.0119999999999</v>
      </c>
      <c r="G95" s="26">
        <f t="shared" si="47"/>
        <v>0.16524203152208669</v>
      </c>
      <c r="H95" s="49">
        <f t="shared" si="48"/>
        <v>0.1710972058249306</v>
      </c>
      <c r="I95" s="49">
        <f t="shared" si="49"/>
        <v>8.2804669091402858E-3</v>
      </c>
      <c r="J95" s="49">
        <f t="shared" si="50"/>
        <v>5.8551743028439074E-3</v>
      </c>
      <c r="K95" s="51">
        <f t="shared" si="51"/>
        <v>0.17695238012777451</v>
      </c>
      <c r="L95" s="51">
        <f t="shared" si="52"/>
        <v>0.16524203152208669</v>
      </c>
      <c r="M95" s="51">
        <f t="shared" si="53"/>
        <v>1.1710348605687815E-2</v>
      </c>
      <c r="N95" s="50">
        <f t="shared" si="54"/>
        <v>5.8551743028439074E-3</v>
      </c>
    </row>
    <row r="96" spans="1:16">
      <c r="A96" s="48">
        <v>7200</v>
      </c>
      <c r="B96">
        <v>8350.8109999999997</v>
      </c>
      <c r="C96">
        <v>2405.9119999999998</v>
      </c>
      <c r="D96" s="26">
        <f t="shared" si="46"/>
        <v>0.22366588783591432</v>
      </c>
      <c r="E96">
        <v>7466.4470000000001</v>
      </c>
      <c r="F96">
        <v>2238.134</v>
      </c>
      <c r="G96" s="26">
        <f t="shared" si="47"/>
        <v>0.23062654637021424</v>
      </c>
      <c r="H96" s="49">
        <f t="shared" si="48"/>
        <v>0.22714621710306426</v>
      </c>
      <c r="I96" s="49">
        <f t="shared" si="49"/>
        <v>4.921928851127487E-3</v>
      </c>
      <c r="J96" s="49">
        <f t="shared" si="50"/>
        <v>3.4803292671499587E-3</v>
      </c>
      <c r="K96" s="51">
        <f t="shared" si="51"/>
        <v>0.23062654637021424</v>
      </c>
      <c r="L96" s="51">
        <f t="shared" si="52"/>
        <v>0.22366588783591432</v>
      </c>
      <c r="M96" s="51">
        <f t="shared" si="53"/>
        <v>6.9606585342999183E-3</v>
      </c>
      <c r="N96" s="50">
        <f t="shared" si="54"/>
        <v>3.4803292671499592E-3</v>
      </c>
    </row>
    <row r="97" spans="1:14">
      <c r="A97" s="48">
        <v>10800</v>
      </c>
      <c r="B97">
        <v>7997.8109999999997</v>
      </c>
      <c r="C97">
        <v>3164.79</v>
      </c>
      <c r="D97" s="26">
        <f t="shared" si="46"/>
        <v>0.28351725552136103</v>
      </c>
      <c r="E97">
        <v>5903.2049999999999</v>
      </c>
      <c r="F97">
        <v>2740.6689999999999</v>
      </c>
      <c r="G97" s="26">
        <v>0.28351725552136103</v>
      </c>
      <c r="H97" s="49">
        <f>AVERAGE(D97,G97)</f>
        <v>0.28351725552136103</v>
      </c>
      <c r="I97" s="49">
        <f t="shared" si="49"/>
        <v>0</v>
      </c>
      <c r="J97" s="49">
        <f t="shared" si="50"/>
        <v>0</v>
      </c>
      <c r="K97" s="51">
        <f t="shared" si="51"/>
        <v>0.28351725552136103</v>
      </c>
      <c r="L97" s="51">
        <f t="shared" si="52"/>
        <v>0.28351725552136103</v>
      </c>
      <c r="M97" s="51">
        <f t="shared" si="53"/>
        <v>0</v>
      </c>
      <c r="N97" s="50">
        <f>M97/2</f>
        <v>0</v>
      </c>
    </row>
  </sheetData>
  <mergeCells count="23">
    <mergeCell ref="N55:P55"/>
    <mergeCell ref="Q55:S55"/>
    <mergeCell ref="T55:V55"/>
    <mergeCell ref="N70:P70"/>
    <mergeCell ref="B85:D85"/>
    <mergeCell ref="E85:G85"/>
    <mergeCell ref="N85:P85"/>
    <mergeCell ref="B55:D55"/>
    <mergeCell ref="E55:G55"/>
    <mergeCell ref="H55:J55"/>
    <mergeCell ref="K55:M55"/>
    <mergeCell ref="B70:D70"/>
    <mergeCell ref="E70:G70"/>
    <mergeCell ref="N22:P22"/>
    <mergeCell ref="B37:D37"/>
    <mergeCell ref="E37:G37"/>
    <mergeCell ref="N37:P37"/>
    <mergeCell ref="B7:D7"/>
    <mergeCell ref="E7:G7"/>
    <mergeCell ref="H7:J7"/>
    <mergeCell ref="K7:M7"/>
    <mergeCell ref="B22:D22"/>
    <mergeCell ref="E22:G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4547-1A2B-0648-B734-3F1B73FE2E13}">
  <dimension ref="A2:P136"/>
  <sheetViews>
    <sheetView topLeftCell="A126" workbookViewId="0">
      <selection activeCell="F142" sqref="F142"/>
    </sheetView>
  </sheetViews>
  <sheetFormatPr defaultColWidth="11" defaultRowHeight="15.75"/>
  <sheetData>
    <row r="2" spans="1:8">
      <c r="A2" s="20" t="s">
        <v>127</v>
      </c>
    </row>
    <row r="4" spans="1:8">
      <c r="F4" t="s">
        <v>1</v>
      </c>
    </row>
    <row r="6" spans="1:8">
      <c r="F6" s="31" t="s">
        <v>2</v>
      </c>
      <c r="G6" t="s">
        <v>3</v>
      </c>
      <c r="H6" t="s">
        <v>4</v>
      </c>
    </row>
    <row r="7" spans="1:8">
      <c r="F7" s="31" t="s">
        <v>2</v>
      </c>
      <c r="G7" t="s">
        <v>5</v>
      </c>
      <c r="H7" t="s">
        <v>6</v>
      </c>
    </row>
    <row r="8" spans="1:8">
      <c r="G8" t="s">
        <v>7</v>
      </c>
      <c r="H8" t="s">
        <v>8</v>
      </c>
    </row>
    <row r="9" spans="1:8">
      <c r="F9" s="31" t="s">
        <v>2</v>
      </c>
      <c r="G9" t="s">
        <v>9</v>
      </c>
      <c r="H9" t="s">
        <v>10</v>
      </c>
    </row>
    <row r="10" spans="1:8">
      <c r="F10" s="31" t="s">
        <v>2</v>
      </c>
      <c r="G10" t="s">
        <v>11</v>
      </c>
      <c r="H10" t="s">
        <v>12</v>
      </c>
    </row>
    <row r="21" spans="6:8">
      <c r="F21" t="s">
        <v>13</v>
      </c>
    </row>
    <row r="23" spans="6:8">
      <c r="F23" s="31" t="s">
        <v>2</v>
      </c>
      <c r="G23" t="s">
        <v>3</v>
      </c>
      <c r="H23" t="s">
        <v>4</v>
      </c>
    </row>
    <row r="24" spans="6:8">
      <c r="F24" s="31" t="s">
        <v>2</v>
      </c>
      <c r="G24" t="s">
        <v>5</v>
      </c>
      <c r="H24" t="s">
        <v>6</v>
      </c>
    </row>
    <row r="25" spans="6:8">
      <c r="G25" t="s">
        <v>7</v>
      </c>
      <c r="H25" t="s">
        <v>8</v>
      </c>
    </row>
    <row r="26" spans="6:8">
      <c r="F26" s="31" t="s">
        <v>2</v>
      </c>
      <c r="G26" t="s">
        <v>9</v>
      </c>
      <c r="H26" t="s">
        <v>10</v>
      </c>
    </row>
    <row r="27" spans="6:8">
      <c r="F27" s="31" t="s">
        <v>2</v>
      </c>
      <c r="G27" t="s">
        <v>11</v>
      </c>
      <c r="H27" t="s">
        <v>12</v>
      </c>
    </row>
    <row r="40" spans="1:16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20" t="s">
        <v>128</v>
      </c>
    </row>
    <row r="42" spans="1:16">
      <c r="A42" t="s">
        <v>15</v>
      </c>
    </row>
    <row r="43" spans="1:16">
      <c r="A43" s="20"/>
    </row>
    <row r="44" spans="1:16">
      <c r="A44" s="20" t="s">
        <v>16</v>
      </c>
    </row>
    <row r="46" spans="1:16">
      <c r="A46" s="55" t="s">
        <v>17</v>
      </c>
      <c r="B46" s="55" t="s">
        <v>18</v>
      </c>
      <c r="C46" s="55" t="s">
        <v>19</v>
      </c>
      <c r="D46" s="55" t="s">
        <v>20</v>
      </c>
      <c r="E46" s="55" t="s">
        <v>21</v>
      </c>
    </row>
    <row r="47" spans="1:16">
      <c r="A47" s="54">
        <v>1</v>
      </c>
      <c r="B47" s="54">
        <v>9</v>
      </c>
      <c r="C47" s="54">
        <v>17</v>
      </c>
      <c r="D47" s="54" t="s">
        <v>22</v>
      </c>
      <c r="E47" s="54" t="s">
        <v>22</v>
      </c>
    </row>
    <row r="48" spans="1:16">
      <c r="A48" s="54">
        <v>2</v>
      </c>
      <c r="B48" s="54">
        <v>8</v>
      </c>
      <c r="C48" s="54">
        <v>17</v>
      </c>
      <c r="D48" s="54" t="s">
        <v>22</v>
      </c>
      <c r="E48" s="54" t="s">
        <v>22</v>
      </c>
    </row>
    <row r="49" spans="1:6">
      <c r="A49" s="54">
        <v>3</v>
      </c>
      <c r="B49" s="54">
        <v>8.5</v>
      </c>
      <c r="C49" s="54">
        <v>17</v>
      </c>
      <c r="D49" s="54" t="s">
        <v>22</v>
      </c>
      <c r="E49" s="54" t="s">
        <v>22</v>
      </c>
    </row>
    <row r="50" spans="1:6">
      <c r="A50" s="54">
        <v>4</v>
      </c>
      <c r="B50" s="54">
        <v>8.5</v>
      </c>
      <c r="C50" s="54">
        <v>17</v>
      </c>
      <c r="D50" s="54" t="s">
        <v>22</v>
      </c>
      <c r="E50" s="54" t="s">
        <v>22</v>
      </c>
    </row>
    <row r="51" spans="1:6">
      <c r="A51" t="s">
        <v>23</v>
      </c>
      <c r="B51">
        <f>AVERAGE(B47:B50)</f>
        <v>8.5</v>
      </c>
      <c r="C51">
        <f>AVERAGE(C47:C50)</f>
        <v>17</v>
      </c>
      <c r="F51" s="31" t="s">
        <v>24</v>
      </c>
    </row>
    <row r="52" spans="1:6">
      <c r="A52" t="s">
        <v>25</v>
      </c>
      <c r="B52" s="57">
        <f>STDEVA(B47:B50)</f>
        <v>0.40824829046386302</v>
      </c>
      <c r="C52">
        <f>STDEVA(C47:C50)</f>
        <v>0</v>
      </c>
      <c r="F52" s="31" t="s">
        <v>24</v>
      </c>
    </row>
    <row r="54" spans="1:6">
      <c r="A54" s="20" t="s">
        <v>26</v>
      </c>
    </row>
    <row r="56" spans="1:6">
      <c r="A56" s="55" t="s">
        <v>17</v>
      </c>
      <c r="B56" s="55" t="s">
        <v>18</v>
      </c>
      <c r="C56" s="55" t="s">
        <v>19</v>
      </c>
      <c r="D56" s="55" t="s">
        <v>20</v>
      </c>
      <c r="E56" s="55" t="s">
        <v>21</v>
      </c>
    </row>
    <row r="57" spans="1:6">
      <c r="A57" s="54">
        <v>1</v>
      </c>
      <c r="B57" s="54">
        <v>19</v>
      </c>
      <c r="C57" s="54">
        <v>27</v>
      </c>
      <c r="D57" s="54">
        <v>13</v>
      </c>
      <c r="E57" s="54">
        <v>22</v>
      </c>
    </row>
    <row r="58" spans="1:6">
      <c r="A58" s="54">
        <v>2</v>
      </c>
      <c r="B58" s="54">
        <v>19</v>
      </c>
      <c r="C58" s="54">
        <v>27.5</v>
      </c>
      <c r="D58" s="54">
        <v>15</v>
      </c>
      <c r="E58" s="54">
        <v>22</v>
      </c>
    </row>
    <row r="59" spans="1:6">
      <c r="A59" s="54">
        <v>3</v>
      </c>
      <c r="B59" s="54">
        <v>18</v>
      </c>
      <c r="C59" s="54">
        <v>28</v>
      </c>
      <c r="D59" s="54">
        <v>15</v>
      </c>
      <c r="E59" s="54">
        <v>23</v>
      </c>
    </row>
    <row r="60" spans="1:6">
      <c r="A60" s="54">
        <v>4</v>
      </c>
      <c r="B60" s="54">
        <v>18</v>
      </c>
      <c r="C60" s="54">
        <v>28</v>
      </c>
      <c r="D60" s="54">
        <v>16</v>
      </c>
      <c r="E60" s="54">
        <v>22</v>
      </c>
    </row>
    <row r="61" spans="1:6">
      <c r="A61" t="s">
        <v>23</v>
      </c>
      <c r="B61" s="57">
        <f>AVERAGE(B57:B60)</f>
        <v>18.5</v>
      </c>
      <c r="C61" s="57">
        <f>AVERAGE(C57:C60)</f>
        <v>27.625</v>
      </c>
      <c r="D61" s="57">
        <f>AVERAGE(D57:D60)</f>
        <v>14.75</v>
      </c>
      <c r="E61" s="57">
        <f>AVERAGE(E57:E60)</f>
        <v>22.25</v>
      </c>
      <c r="F61" s="31" t="s">
        <v>24</v>
      </c>
    </row>
    <row r="62" spans="1:6">
      <c r="A62" t="s">
        <v>25</v>
      </c>
      <c r="B62" s="57">
        <f>STDEVA(B57:B60)</f>
        <v>0.57735026918962573</v>
      </c>
      <c r="C62" s="57">
        <f>STDEVA(C57:C60)</f>
        <v>0.47871355387816905</v>
      </c>
      <c r="D62" s="57">
        <f>STDEVA(D57:D60)</f>
        <v>1.2583057392117916</v>
      </c>
      <c r="E62" s="57">
        <f>STDEVA(E57:E60)</f>
        <v>0.5</v>
      </c>
      <c r="F62" s="31" t="s">
        <v>24</v>
      </c>
    </row>
    <row r="64" spans="1:6">
      <c r="A64" s="20" t="s">
        <v>129</v>
      </c>
    </row>
    <row r="66" spans="1:6">
      <c r="A66" s="55" t="s">
        <v>17</v>
      </c>
      <c r="B66" s="55" t="s">
        <v>18</v>
      </c>
      <c r="C66" s="55" t="s">
        <v>19</v>
      </c>
      <c r="D66" s="55" t="s">
        <v>20</v>
      </c>
      <c r="E66" s="55" t="s">
        <v>21</v>
      </c>
    </row>
    <row r="67" spans="1:6">
      <c r="A67" s="54">
        <v>1</v>
      </c>
      <c r="B67" s="54">
        <v>16</v>
      </c>
      <c r="C67" s="54">
        <v>23.5</v>
      </c>
      <c r="D67" s="54">
        <v>7.5</v>
      </c>
      <c r="E67" s="54">
        <v>16</v>
      </c>
    </row>
    <row r="68" spans="1:6">
      <c r="A68" s="54">
        <v>2</v>
      </c>
      <c r="B68" s="54">
        <v>16</v>
      </c>
      <c r="C68" s="54">
        <v>22.5</v>
      </c>
      <c r="D68" s="54">
        <v>7.5</v>
      </c>
      <c r="E68" s="54">
        <v>15</v>
      </c>
    </row>
    <row r="69" spans="1:6">
      <c r="A69" s="54">
        <v>3</v>
      </c>
      <c r="B69" s="54">
        <v>13</v>
      </c>
      <c r="C69" s="54">
        <v>22</v>
      </c>
      <c r="D69" s="54">
        <v>7.5</v>
      </c>
      <c r="E69" s="54">
        <v>15</v>
      </c>
    </row>
    <row r="70" spans="1:6">
      <c r="A70" s="54">
        <v>4</v>
      </c>
      <c r="B70" s="54">
        <v>14</v>
      </c>
      <c r="C70" s="54">
        <v>23</v>
      </c>
      <c r="D70" s="54">
        <v>7.5</v>
      </c>
      <c r="E70" s="54">
        <v>15</v>
      </c>
    </row>
    <row r="71" spans="1:6">
      <c r="A71" t="s">
        <v>23</v>
      </c>
      <c r="B71" s="57">
        <f>AVERAGE(B67:B70)</f>
        <v>14.75</v>
      </c>
      <c r="C71" s="57">
        <f>AVERAGE(C67:C70)</f>
        <v>22.75</v>
      </c>
      <c r="D71" s="57">
        <f>AVERAGE(D67:D70)</f>
        <v>7.5</v>
      </c>
      <c r="E71" s="57">
        <f>AVERAGE(E67:E70)</f>
        <v>15.25</v>
      </c>
      <c r="F71" s="31" t="s">
        <v>24</v>
      </c>
    </row>
    <row r="72" spans="1:6">
      <c r="A72" t="s">
        <v>25</v>
      </c>
      <c r="B72" s="57">
        <f>STDEVA(B67:B70)</f>
        <v>1.5</v>
      </c>
      <c r="C72" s="57">
        <f>STDEVA(C67:C70)</f>
        <v>0.6454972243679028</v>
      </c>
      <c r="D72" s="57">
        <f>STDEVA(D67:D70)</f>
        <v>0</v>
      </c>
      <c r="E72" s="57">
        <f>STDEVA(E67:E70)</f>
        <v>0.5</v>
      </c>
      <c r="F72" s="31" t="s">
        <v>24</v>
      </c>
    </row>
    <row r="74" spans="1:6">
      <c r="A74" s="20" t="s">
        <v>130</v>
      </c>
    </row>
    <row r="76" spans="1:6">
      <c r="A76" s="55" t="s">
        <v>17</v>
      </c>
      <c r="B76" s="55" t="s">
        <v>18</v>
      </c>
      <c r="C76" s="55" t="s">
        <v>19</v>
      </c>
      <c r="D76" s="55" t="s">
        <v>20</v>
      </c>
      <c r="E76" s="55" t="s">
        <v>21</v>
      </c>
    </row>
    <row r="77" spans="1:6">
      <c r="A77" s="54">
        <v>1</v>
      </c>
      <c r="B77" s="54">
        <v>7.5</v>
      </c>
      <c r="C77" s="54">
        <v>16</v>
      </c>
      <c r="D77" s="54" t="s">
        <v>22</v>
      </c>
      <c r="E77" s="54" t="s">
        <v>22</v>
      </c>
    </row>
    <row r="78" spans="1:6">
      <c r="A78" s="54">
        <v>2</v>
      </c>
      <c r="B78" s="54">
        <v>7.5</v>
      </c>
      <c r="C78" s="54">
        <v>16</v>
      </c>
      <c r="D78" s="54" t="s">
        <v>22</v>
      </c>
      <c r="E78" s="54" t="s">
        <v>22</v>
      </c>
    </row>
    <row r="79" spans="1:6">
      <c r="A79" s="54">
        <v>3</v>
      </c>
      <c r="B79" s="54">
        <v>7.5</v>
      </c>
      <c r="C79" s="54">
        <v>17</v>
      </c>
      <c r="D79" s="54" t="s">
        <v>22</v>
      </c>
      <c r="E79" s="54" t="s">
        <v>22</v>
      </c>
    </row>
    <row r="80" spans="1:6">
      <c r="A80" s="54">
        <v>4</v>
      </c>
      <c r="B80" s="54">
        <v>7.5</v>
      </c>
      <c r="C80" s="54">
        <v>17</v>
      </c>
      <c r="D80" s="54" t="s">
        <v>22</v>
      </c>
      <c r="E80" s="54" t="s">
        <v>22</v>
      </c>
    </row>
    <row r="81" spans="1:13">
      <c r="A81" t="s">
        <v>23</v>
      </c>
      <c r="B81" s="57">
        <f>AVERAGE(B77:B80)</f>
        <v>7.5</v>
      </c>
      <c r="C81" s="57">
        <f>AVERAGE(C77:C80)</f>
        <v>16.5</v>
      </c>
      <c r="D81" s="57"/>
      <c r="E81" s="57"/>
      <c r="F81" s="31" t="s">
        <v>24</v>
      </c>
    </row>
    <row r="82" spans="1:13">
      <c r="A82" t="s">
        <v>25</v>
      </c>
      <c r="B82" s="57">
        <f>STDEVA(B77:B80)</f>
        <v>0</v>
      </c>
      <c r="C82" s="57">
        <f>STDEVA(C77:C80)</f>
        <v>0.57735026918962573</v>
      </c>
      <c r="D82" s="57"/>
      <c r="E82" s="57"/>
      <c r="F82" s="31" t="s">
        <v>24</v>
      </c>
    </row>
    <row r="83" spans="1:13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</row>
    <row r="85" spans="1:13">
      <c r="A85" s="20" t="s">
        <v>131</v>
      </c>
    </row>
    <row r="86" spans="1:13">
      <c r="A86" t="s">
        <v>53</v>
      </c>
    </row>
    <row r="87" spans="1:13">
      <c r="A87" t="s">
        <v>54</v>
      </c>
    </row>
    <row r="89" spans="1:13">
      <c r="A89" t="s">
        <v>55</v>
      </c>
    </row>
    <row r="91" spans="1:13">
      <c r="A91" t="s">
        <v>56</v>
      </c>
      <c r="B91" t="s">
        <v>57</v>
      </c>
      <c r="C91" t="s">
        <v>58</v>
      </c>
      <c r="D91" t="s">
        <v>59</v>
      </c>
      <c r="E91" t="s">
        <v>60</v>
      </c>
    </row>
    <row r="92" spans="1:13">
      <c r="A92">
        <v>1</v>
      </c>
      <c r="B92" s="59">
        <v>4.5999999999999999E-2</v>
      </c>
      <c r="C92" s="59">
        <v>4.5999999999999999E-2</v>
      </c>
      <c r="D92" s="59">
        <v>4.7E-2</v>
      </c>
      <c r="E92" s="56">
        <f>AVERAGE(B92:D92)</f>
        <v>4.6333333333333337E-2</v>
      </c>
    </row>
    <row r="93" spans="1:13">
      <c r="A93">
        <v>2</v>
      </c>
      <c r="B93" s="59">
        <v>4.7E-2</v>
      </c>
      <c r="C93" s="59">
        <v>4.5999999999999999E-2</v>
      </c>
      <c r="D93" s="59">
        <v>4.5999999999999999E-2</v>
      </c>
      <c r="E93" s="56">
        <f>AVERAGE(B93:D93)</f>
        <v>4.6333333333333337E-2</v>
      </c>
    </row>
    <row r="94" spans="1:13">
      <c r="A94">
        <v>3</v>
      </c>
      <c r="B94" s="62">
        <v>4.7E-2</v>
      </c>
      <c r="C94" s="62">
        <v>4.7E-2</v>
      </c>
      <c r="D94" s="62">
        <v>4.5999999999999999E-2</v>
      </c>
      <c r="E94" s="56">
        <f>AVERAGE(B94:D94)</f>
        <v>4.6666666666666669E-2</v>
      </c>
    </row>
    <row r="96" spans="1:13">
      <c r="A96" s="20" t="s">
        <v>61</v>
      </c>
    </row>
    <row r="97" spans="1:14">
      <c r="J97" s="31" t="s">
        <v>24</v>
      </c>
      <c r="L97" s="31" t="s">
        <v>24</v>
      </c>
      <c r="N97" s="31" t="s">
        <v>24</v>
      </c>
    </row>
    <row r="98" spans="1:14">
      <c r="A98" t="s">
        <v>56</v>
      </c>
      <c r="B98" t="s">
        <v>62</v>
      </c>
      <c r="C98" t="s">
        <v>63</v>
      </c>
      <c r="D98" t="s">
        <v>64</v>
      </c>
      <c r="E98" t="s">
        <v>60</v>
      </c>
      <c r="F98" t="s">
        <v>65</v>
      </c>
      <c r="G98" t="s">
        <v>66</v>
      </c>
      <c r="H98" t="s">
        <v>67</v>
      </c>
      <c r="I98" t="s">
        <v>68</v>
      </c>
      <c r="J98" t="s">
        <v>69</v>
      </c>
      <c r="L98" s="55" t="s">
        <v>60</v>
      </c>
      <c r="M98" s="55" t="s">
        <v>25</v>
      </c>
      <c r="N98" s="55" t="s">
        <v>70</v>
      </c>
    </row>
    <row r="99" spans="1:14">
      <c r="A99">
        <v>1</v>
      </c>
      <c r="B99" s="59">
        <v>7.1999999999999995E-2</v>
      </c>
      <c r="C99" s="59">
        <v>7.2999999999999995E-2</v>
      </c>
      <c r="D99" s="59">
        <v>7.8E-2</v>
      </c>
      <c r="E99" s="56">
        <f>AVERAGE(B99:D99)</f>
        <v>7.4333333333333321E-2</v>
      </c>
      <c r="F99" s="56">
        <f>E99-E92</f>
        <v>2.7999999999999983E-2</v>
      </c>
      <c r="G99" s="60">
        <v>0.46</v>
      </c>
      <c r="H99">
        <v>0.02</v>
      </c>
      <c r="I99">
        <v>90</v>
      </c>
      <c r="J99" s="23">
        <f>1000*(F99/(G99*H99*I99))</f>
        <v>33.816425120772934</v>
      </c>
      <c r="L99" s="64">
        <f>AVERAGE(J99:J103)</f>
        <v>38.619638838055572</v>
      </c>
      <c r="M99" s="64">
        <f>STDEVA(J99:J103)</f>
        <v>5.0182629020206431</v>
      </c>
      <c r="N99" s="64">
        <f>M99/SQRT(5)</f>
        <v>2.2442353955767049</v>
      </c>
    </row>
    <row r="100" spans="1:14">
      <c r="A100">
        <v>1</v>
      </c>
      <c r="B100" s="59">
        <v>7.4999999999999997E-2</v>
      </c>
      <c r="C100" s="59">
        <v>7.6999999999999999E-2</v>
      </c>
      <c r="D100" s="59">
        <v>8.2000000000000003E-2</v>
      </c>
      <c r="E100" s="56">
        <f>AVERAGE(B100:D100)</f>
        <v>7.8E-2</v>
      </c>
      <c r="F100" s="56">
        <f>E100-E92</f>
        <v>3.1666666666666662E-2</v>
      </c>
      <c r="G100" s="60">
        <v>0.48</v>
      </c>
      <c r="H100">
        <v>0.02</v>
      </c>
      <c r="I100">
        <v>90</v>
      </c>
      <c r="J100" s="23">
        <f>1000*(F100/(G100*H100*I100))</f>
        <v>36.651234567901241</v>
      </c>
    </row>
    <row r="101" spans="1:14">
      <c r="A101">
        <v>2</v>
      </c>
      <c r="B101" s="59">
        <v>8.2000000000000003E-2</v>
      </c>
      <c r="C101" s="59">
        <v>8.4000000000000005E-2</v>
      </c>
      <c r="D101" s="59">
        <v>9.0999999999999998E-2</v>
      </c>
      <c r="E101" s="56">
        <f>AVERAGE(B101:D101)</f>
        <v>8.5666666666666669E-2</v>
      </c>
      <c r="F101" s="56">
        <f>E101-E93</f>
        <v>3.9333333333333331E-2</v>
      </c>
      <c r="G101">
        <v>0.48</v>
      </c>
      <c r="H101">
        <v>0.02</v>
      </c>
      <c r="I101">
        <v>90</v>
      </c>
      <c r="J101" s="23">
        <f>1000*(F101/(G101*H101*I101))</f>
        <v>45.52469135802469</v>
      </c>
    </row>
    <row r="102" spans="1:14">
      <c r="A102">
        <v>2</v>
      </c>
      <c r="B102" s="59">
        <v>7.5999999999999998E-2</v>
      </c>
      <c r="C102" s="59">
        <v>8.2000000000000003E-2</v>
      </c>
      <c r="D102" s="59">
        <v>8.1000000000000003E-2</v>
      </c>
      <c r="E102" s="56">
        <f>AVERAGE(B102:D102)</f>
        <v>7.9666666666666663E-2</v>
      </c>
      <c r="F102" s="56">
        <f>E102-E93</f>
        <v>3.3333333333333326E-2</v>
      </c>
      <c r="G102">
        <v>0.53</v>
      </c>
      <c r="H102">
        <v>0.02</v>
      </c>
      <c r="I102">
        <v>90</v>
      </c>
      <c r="J102" s="23">
        <f>1000*(F102/(G102*H102*I102))</f>
        <v>34.940600978336825</v>
      </c>
    </row>
    <row r="103" spans="1:14">
      <c r="A103">
        <v>3</v>
      </c>
      <c r="B103" s="62">
        <v>8.3000000000000004E-2</v>
      </c>
      <c r="C103" s="62">
        <v>8.4000000000000005E-2</v>
      </c>
      <c r="D103" s="62">
        <v>8.4000000000000005E-2</v>
      </c>
      <c r="E103" s="56">
        <f>AVERAGE(B103:D103)</f>
        <v>8.3666666666666667E-2</v>
      </c>
      <c r="F103" s="56">
        <f>E103-E94</f>
        <v>3.6999999999999998E-2</v>
      </c>
      <c r="G103" s="23">
        <v>0.48749999999999999</v>
      </c>
      <c r="H103">
        <v>0.02</v>
      </c>
      <c r="I103">
        <v>90</v>
      </c>
      <c r="J103" s="23">
        <f>1000*(F103/(G103*H103*I103))</f>
        <v>42.165242165242162</v>
      </c>
    </row>
    <row r="108" spans="1:14">
      <c r="A108" s="20" t="s">
        <v>71</v>
      </c>
    </row>
    <row r="109" spans="1:14">
      <c r="J109" s="31" t="s">
        <v>24</v>
      </c>
      <c r="L109" s="31" t="s">
        <v>24</v>
      </c>
      <c r="N109" s="31" t="s">
        <v>24</v>
      </c>
    </row>
    <row r="110" spans="1:14">
      <c r="A110" t="s">
        <v>56</v>
      </c>
      <c r="B110" t="s">
        <v>62</v>
      </c>
      <c r="C110" t="s">
        <v>63</v>
      </c>
      <c r="D110" t="s">
        <v>64</v>
      </c>
      <c r="E110" t="s">
        <v>60</v>
      </c>
      <c r="F110" t="s">
        <v>65</v>
      </c>
      <c r="G110" t="s">
        <v>66</v>
      </c>
      <c r="H110" t="s">
        <v>67</v>
      </c>
      <c r="I110" t="s">
        <v>68</v>
      </c>
      <c r="J110" t="s">
        <v>69</v>
      </c>
      <c r="L110" s="55" t="s">
        <v>60</v>
      </c>
      <c r="M110" s="55" t="s">
        <v>25</v>
      </c>
      <c r="N110" s="55" t="s">
        <v>70</v>
      </c>
    </row>
    <row r="111" spans="1:14">
      <c r="A111">
        <v>1</v>
      </c>
      <c r="B111" s="59">
        <v>0.16700000000000001</v>
      </c>
      <c r="C111" s="59">
        <v>0.18</v>
      </c>
      <c r="D111" s="59">
        <v>0.182</v>
      </c>
      <c r="E111" s="56">
        <f>AVERAGE(B111:D111)</f>
        <v>0.17633333333333331</v>
      </c>
      <c r="F111" s="56">
        <f>E111-E92</f>
        <v>0.12999999999999998</v>
      </c>
      <c r="G111" s="60">
        <v>0.46</v>
      </c>
      <c r="H111">
        <v>0.02</v>
      </c>
      <c r="I111">
        <v>90</v>
      </c>
      <c r="J111" s="23">
        <f>1000*(F111/(G111*H111*I111))</f>
        <v>157.00483091787436</v>
      </c>
      <c r="L111" s="64">
        <f>AVERAGE(J111:J115)</f>
        <v>159.97468815272163</v>
      </c>
      <c r="M111" s="64">
        <f>STDEVA(J111:J115)</f>
        <v>11.469880661165636</v>
      </c>
      <c r="N111" s="64">
        <f>M111/SQRT(5)</f>
        <v>5.1294865704353185</v>
      </c>
    </row>
    <row r="112" spans="1:14">
      <c r="A112">
        <v>1</v>
      </c>
      <c r="B112" s="59">
        <v>0.19</v>
      </c>
      <c r="C112" s="59">
        <v>0.2</v>
      </c>
      <c r="D112" s="59">
        <v>0.215</v>
      </c>
      <c r="E112" s="56">
        <f>AVERAGE(B112:D112)</f>
        <v>0.20166666666666666</v>
      </c>
      <c r="F112" s="56">
        <f>E112-E92</f>
        <v>0.15533333333333332</v>
      </c>
      <c r="G112" s="60">
        <v>0.5</v>
      </c>
      <c r="H112">
        <v>0.02</v>
      </c>
      <c r="I112">
        <v>90</v>
      </c>
      <c r="J112" s="23">
        <f>1000*(F112/(G112*H112*I112))</f>
        <v>172.59259259259258</v>
      </c>
    </row>
    <row r="113" spans="1:14">
      <c r="A113">
        <v>2</v>
      </c>
      <c r="B113" s="59">
        <v>0.187</v>
      </c>
      <c r="C113" s="59">
        <v>0.19</v>
      </c>
      <c r="D113" s="59">
        <v>0.20399999999999999</v>
      </c>
      <c r="E113" s="56">
        <f t="shared" ref="E113:E115" si="0">AVERAGE(B113:D113)</f>
        <v>0.19366666666666665</v>
      </c>
      <c r="F113" s="56">
        <f>E113-E93</f>
        <v>0.14733333333333332</v>
      </c>
      <c r="G113">
        <v>0.48</v>
      </c>
      <c r="H113">
        <v>0.02</v>
      </c>
      <c r="I113">
        <v>90</v>
      </c>
      <c r="J113" s="23">
        <f t="shared" ref="J113:J115" si="1">1000*(F113/(G113*H113*I113))</f>
        <v>170.52469135802471</v>
      </c>
    </row>
    <row r="114" spans="1:14">
      <c r="A114">
        <v>2</v>
      </c>
      <c r="B114" s="59">
        <v>0.17100000000000001</v>
      </c>
      <c r="C114" s="59">
        <v>0.182</v>
      </c>
      <c r="D114" s="59">
        <v>0.186</v>
      </c>
      <c r="E114" s="56">
        <f t="shared" si="0"/>
        <v>0.17966666666666664</v>
      </c>
      <c r="F114" s="56">
        <f>E114-E93</f>
        <v>0.1333333333333333</v>
      </c>
      <c r="G114">
        <v>0.51</v>
      </c>
      <c r="H114">
        <v>0.02</v>
      </c>
      <c r="I114">
        <v>90</v>
      </c>
      <c r="J114" s="23">
        <f t="shared" si="1"/>
        <v>145.24328249818441</v>
      </c>
    </row>
    <row r="115" spans="1:14">
      <c r="A115">
        <v>3</v>
      </c>
      <c r="B115" s="62">
        <v>0.18</v>
      </c>
      <c r="C115" s="62">
        <v>0.185</v>
      </c>
      <c r="D115" s="62">
        <v>0.188</v>
      </c>
      <c r="E115" s="56">
        <f t="shared" si="0"/>
        <v>0.18433333333333332</v>
      </c>
      <c r="F115" s="56">
        <f>E115-E94</f>
        <v>0.13766666666666666</v>
      </c>
      <c r="G115" s="23">
        <v>0.495</v>
      </c>
      <c r="H115">
        <v>0.02</v>
      </c>
      <c r="I115">
        <v>90</v>
      </c>
      <c r="J115" s="23">
        <f t="shared" si="1"/>
        <v>154.50804339693224</v>
      </c>
    </row>
    <row r="119" spans="1:14">
      <c r="A119" s="20" t="s">
        <v>132</v>
      </c>
    </row>
    <row r="120" spans="1:14">
      <c r="J120" s="31" t="s">
        <v>24</v>
      </c>
      <c r="L120" s="31" t="s">
        <v>24</v>
      </c>
      <c r="N120" s="31" t="s">
        <v>24</v>
      </c>
    </row>
    <row r="121" spans="1:14">
      <c r="A121" t="s">
        <v>56</v>
      </c>
      <c r="B121" t="s">
        <v>62</v>
      </c>
      <c r="C121" t="s">
        <v>63</v>
      </c>
      <c r="D121" t="s">
        <v>64</v>
      </c>
      <c r="E121" s="34" t="s">
        <v>60</v>
      </c>
      <c r="F121" s="34" t="s">
        <v>65</v>
      </c>
      <c r="G121" s="34" t="s">
        <v>66</v>
      </c>
      <c r="H121" s="34" t="s">
        <v>67</v>
      </c>
      <c r="I121" s="34" t="s">
        <v>68</v>
      </c>
      <c r="J121" s="34" t="s">
        <v>69</v>
      </c>
      <c r="L121" s="55" t="s">
        <v>60</v>
      </c>
      <c r="M121" s="55" t="s">
        <v>25</v>
      </c>
      <c r="N121" s="55" t="s">
        <v>70</v>
      </c>
    </row>
    <row r="122" spans="1:14">
      <c r="A122">
        <v>1</v>
      </c>
      <c r="B122" s="59">
        <v>0.151</v>
      </c>
      <c r="C122" s="59">
        <v>0.154</v>
      </c>
      <c r="D122" s="59">
        <v>0.16200000000000001</v>
      </c>
      <c r="E122" s="63">
        <f>AVERAGE(B122:D122)</f>
        <v>0.15566666666666665</v>
      </c>
      <c r="F122" s="63">
        <f>E122-E92</f>
        <v>0.10933333333333331</v>
      </c>
      <c r="G122" s="60">
        <v>0.46</v>
      </c>
      <c r="H122" s="34">
        <v>0.02</v>
      </c>
      <c r="I122" s="34">
        <v>90</v>
      </c>
      <c r="J122" s="61">
        <f>1000*(F122/(G122*H122*I122))</f>
        <v>132.04508856682767</v>
      </c>
      <c r="L122" s="64">
        <f>AVERAGE(J122:J126)</f>
        <v>138.15508207105398</v>
      </c>
      <c r="M122" s="64">
        <f>STDEVA(J122:J126)</f>
        <v>13.121860358573269</v>
      </c>
      <c r="N122" s="64">
        <f>M122/SQRT(5)</f>
        <v>5.868274350605919</v>
      </c>
    </row>
    <row r="123" spans="1:14">
      <c r="A123">
        <v>1</v>
      </c>
      <c r="B123" s="59">
        <v>0.159</v>
      </c>
      <c r="C123" s="59">
        <v>0.16600000000000001</v>
      </c>
      <c r="D123" s="59">
        <v>0.17199999999999999</v>
      </c>
      <c r="E123" s="63">
        <f>AVERAGE(B123:D123)</f>
        <v>0.16566666666666666</v>
      </c>
      <c r="F123" s="63">
        <f>E123-E92</f>
        <v>0.11933333333333332</v>
      </c>
      <c r="G123" s="60">
        <v>0.53</v>
      </c>
      <c r="H123" s="34">
        <v>0.02</v>
      </c>
      <c r="I123" s="34">
        <v>90</v>
      </c>
      <c r="J123" s="61">
        <f>1000*(F123/(G123*H123*I123))</f>
        <v>125.08735150244583</v>
      </c>
    </row>
    <row r="124" spans="1:14">
      <c r="A124">
        <v>2</v>
      </c>
      <c r="B124" s="59">
        <v>0.154</v>
      </c>
      <c r="C124" s="59">
        <v>0.156</v>
      </c>
      <c r="D124" s="59">
        <v>0.16400000000000001</v>
      </c>
      <c r="E124" s="63">
        <f t="shared" ref="E124:E126" si="2">AVERAGE(B124:D124)</f>
        <v>0.158</v>
      </c>
      <c r="F124" s="56">
        <f>E124-E93</f>
        <v>0.11166666666666666</v>
      </c>
      <c r="G124" s="60">
        <v>0.47</v>
      </c>
      <c r="H124" s="34">
        <v>0.02</v>
      </c>
      <c r="I124" s="34">
        <v>90</v>
      </c>
      <c r="J124" s="61">
        <f t="shared" ref="J124:J126" si="3">1000*(F124/(G124*H124*I124))</f>
        <v>131.99369582348305</v>
      </c>
    </row>
    <row r="125" spans="1:14">
      <c r="A125">
        <v>2</v>
      </c>
      <c r="B125" s="59">
        <v>0.159</v>
      </c>
      <c r="C125" s="59">
        <v>0.16300000000000001</v>
      </c>
      <c r="D125" s="59">
        <v>0.18</v>
      </c>
      <c r="E125" s="63">
        <f t="shared" si="2"/>
        <v>0.16733333333333333</v>
      </c>
      <c r="F125" s="56">
        <f>E125-E93</f>
        <v>0.121</v>
      </c>
      <c r="G125" s="60">
        <v>0.47</v>
      </c>
      <c r="H125" s="34">
        <v>0.02</v>
      </c>
      <c r="I125" s="34">
        <v>90</v>
      </c>
      <c r="J125" s="61">
        <f t="shared" si="3"/>
        <v>143.02600472813236</v>
      </c>
    </row>
    <row r="126" spans="1:14">
      <c r="A126">
        <v>3</v>
      </c>
      <c r="B126" s="62">
        <v>0.18</v>
      </c>
      <c r="C126" s="62">
        <v>0.183</v>
      </c>
      <c r="D126" s="62">
        <v>0.20100000000000001</v>
      </c>
      <c r="E126" s="63">
        <f t="shared" si="2"/>
        <v>0.18800000000000003</v>
      </c>
      <c r="F126" s="56">
        <f>E126-E94</f>
        <v>0.14133333333333337</v>
      </c>
      <c r="G126" s="23">
        <v>0.495</v>
      </c>
      <c r="H126" s="34">
        <v>0.02</v>
      </c>
      <c r="I126" s="34">
        <v>90</v>
      </c>
      <c r="J126" s="61">
        <f t="shared" si="3"/>
        <v>158.62326973438087</v>
      </c>
    </row>
    <row r="129" spans="1:14">
      <c r="A129" s="20" t="s">
        <v>133</v>
      </c>
    </row>
    <row r="130" spans="1:14">
      <c r="J130" s="31" t="s">
        <v>24</v>
      </c>
      <c r="L130" s="31" t="s">
        <v>24</v>
      </c>
      <c r="N130" s="31" t="s">
        <v>24</v>
      </c>
    </row>
    <row r="131" spans="1:14">
      <c r="A131" t="s">
        <v>56</v>
      </c>
      <c r="B131" t="s">
        <v>62</v>
      </c>
      <c r="C131" t="s">
        <v>63</v>
      </c>
      <c r="D131" t="s">
        <v>64</v>
      </c>
      <c r="E131" s="34" t="s">
        <v>60</v>
      </c>
      <c r="F131" s="34" t="s">
        <v>65</v>
      </c>
      <c r="G131" s="34" t="s">
        <v>66</v>
      </c>
      <c r="H131" s="34" t="s">
        <v>67</v>
      </c>
      <c r="I131" s="34" t="s">
        <v>68</v>
      </c>
      <c r="J131" s="34" t="s">
        <v>69</v>
      </c>
      <c r="L131" s="55" t="s">
        <v>60</v>
      </c>
      <c r="M131" s="55" t="s">
        <v>25</v>
      </c>
      <c r="N131" s="55" t="s">
        <v>70</v>
      </c>
    </row>
    <row r="132" spans="1:14">
      <c r="A132">
        <v>1</v>
      </c>
      <c r="B132" s="59">
        <v>7.0999999999999994E-2</v>
      </c>
      <c r="C132" s="59">
        <v>7.0999999999999994E-2</v>
      </c>
      <c r="D132" s="59">
        <v>7.1999999999999995E-2</v>
      </c>
      <c r="E132" s="63">
        <f>AVERAGE(B132:D132)</f>
        <v>7.1333333333333318E-2</v>
      </c>
      <c r="F132" s="63">
        <f>E132-E92</f>
        <v>2.4999999999999981E-2</v>
      </c>
      <c r="G132" s="60">
        <v>0.48</v>
      </c>
      <c r="H132" s="34">
        <v>0.02</v>
      </c>
      <c r="I132" s="34">
        <v>90</v>
      </c>
      <c r="J132" s="61">
        <f>1000*(F132/(G132*H132*I132))</f>
        <v>28.935185185185169</v>
      </c>
      <c r="L132" s="64">
        <f>AVERAGE(J132:J136)</f>
        <v>35.488766705669768</v>
      </c>
      <c r="M132" s="64">
        <f>STDEVA(J132:J136)</f>
        <v>7.0512059123807473</v>
      </c>
      <c r="N132" s="64">
        <f>M132/SQRT(5)</f>
        <v>3.1533951486863554</v>
      </c>
    </row>
    <row r="133" spans="1:14">
      <c r="A133">
        <v>1</v>
      </c>
      <c r="B133" s="59">
        <v>6.9000000000000006E-2</v>
      </c>
      <c r="C133" s="59">
        <v>7.0999999999999994E-2</v>
      </c>
      <c r="D133" s="59">
        <v>7.1999999999999995E-2</v>
      </c>
      <c r="E133" s="63">
        <f>AVERAGE(B133:D133)</f>
        <v>7.0666666666666669E-2</v>
      </c>
      <c r="F133" s="63">
        <f>E133-E92</f>
        <v>2.4333333333333332E-2</v>
      </c>
      <c r="G133" s="60">
        <v>0.47</v>
      </c>
      <c r="H133" s="34">
        <v>0.02</v>
      </c>
      <c r="I133" s="34">
        <v>90</v>
      </c>
      <c r="J133" s="61">
        <f>1000*(F133/(G133*H133*I133))</f>
        <v>28.762805358550036</v>
      </c>
    </row>
    <row r="134" spans="1:14">
      <c r="A134">
        <v>2</v>
      </c>
      <c r="B134" s="59">
        <v>7.6999999999999999E-2</v>
      </c>
      <c r="C134" s="59">
        <v>7.5999999999999998E-2</v>
      </c>
      <c r="D134" s="59">
        <v>7.9000000000000001E-2</v>
      </c>
      <c r="E134" s="63">
        <f t="shared" ref="E134:E136" si="4">AVERAGE(B134:D134)</f>
        <v>7.7333333333333323E-2</v>
      </c>
      <c r="F134" s="56">
        <f>E134-E93</f>
        <v>3.0999999999999986E-2</v>
      </c>
      <c r="G134" s="60">
        <v>0.5</v>
      </c>
      <c r="H134" s="34">
        <v>0.02</v>
      </c>
      <c r="I134" s="34">
        <v>90</v>
      </c>
      <c r="J134" s="61">
        <f t="shared" ref="J134:J136" si="5">1000*(F134/(G134*H134*I134))</f>
        <v>34.444444444444429</v>
      </c>
    </row>
    <row r="135" spans="1:14">
      <c r="A135">
        <v>2</v>
      </c>
      <c r="B135" s="59">
        <v>8.2000000000000003E-2</v>
      </c>
      <c r="C135" s="59">
        <v>8.3000000000000004E-2</v>
      </c>
      <c r="D135" s="59">
        <v>8.6999999999999994E-2</v>
      </c>
      <c r="E135" s="63">
        <f t="shared" si="4"/>
        <v>8.4000000000000005E-2</v>
      </c>
      <c r="F135" s="56">
        <f>E135-E93</f>
        <v>3.7666666666666668E-2</v>
      </c>
      <c r="G135" s="60">
        <v>0.47</v>
      </c>
      <c r="H135" s="34">
        <v>0.02</v>
      </c>
      <c r="I135" s="34">
        <v>90</v>
      </c>
      <c r="J135" s="61">
        <f t="shared" si="5"/>
        <v>44.523246650906223</v>
      </c>
    </row>
    <row r="136" spans="1:14">
      <c r="A136">
        <v>3</v>
      </c>
      <c r="B136" s="62">
        <v>8.3000000000000004E-2</v>
      </c>
      <c r="C136" s="62">
        <v>8.3000000000000004E-2</v>
      </c>
      <c r="D136" s="62">
        <v>8.3000000000000004E-2</v>
      </c>
      <c r="E136" s="63">
        <f t="shared" si="4"/>
        <v>8.3000000000000004E-2</v>
      </c>
      <c r="F136" s="56">
        <f>E136-E94</f>
        <v>3.6333333333333336E-2</v>
      </c>
      <c r="G136" s="23">
        <v>0.495</v>
      </c>
      <c r="H136" s="34">
        <v>0.02</v>
      </c>
      <c r="I136" s="34">
        <v>90</v>
      </c>
      <c r="J136" s="61">
        <f t="shared" si="5"/>
        <v>40.778151889262993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E950F-9FB7-934C-AC32-238770DC3093}">
  <dimension ref="A1:AA157"/>
  <sheetViews>
    <sheetView topLeftCell="A39" zoomScale="80" zoomScaleNormal="80" workbookViewId="0">
      <selection activeCell="AA6" sqref="AA6:AA17"/>
    </sheetView>
  </sheetViews>
  <sheetFormatPr defaultColWidth="11" defaultRowHeight="15.75"/>
  <sheetData>
    <row r="1" spans="1:27">
      <c r="A1" s="20" t="s">
        <v>134</v>
      </c>
    </row>
    <row r="2" spans="1:27">
      <c r="A2" t="s">
        <v>74</v>
      </c>
    </row>
    <row r="4" spans="1:27">
      <c r="A4" t="s">
        <v>135</v>
      </c>
    </row>
    <row r="6" spans="1:27">
      <c r="A6" s="20" t="s">
        <v>136</v>
      </c>
      <c r="AA6" s="47" t="s">
        <v>137</v>
      </c>
    </row>
    <row r="7" spans="1:27">
      <c r="A7" s="3"/>
      <c r="B7" s="83" t="s">
        <v>138</v>
      </c>
      <c r="C7" s="83"/>
      <c r="D7" s="83"/>
      <c r="E7" s="83" t="s">
        <v>139</v>
      </c>
      <c r="F7" s="83"/>
      <c r="G7" s="83"/>
      <c r="H7" s="31" t="s">
        <v>24</v>
      </c>
      <c r="I7" s="3"/>
      <c r="J7" s="3"/>
      <c r="K7" s="47"/>
      <c r="L7" s="47"/>
      <c r="M7" s="31" t="s">
        <v>24</v>
      </c>
      <c r="N7" s="83"/>
      <c r="O7" s="83"/>
      <c r="P7" s="83"/>
      <c r="AA7" t="s">
        <v>78</v>
      </c>
    </row>
    <row r="8" spans="1:27">
      <c r="A8" s="48" t="s">
        <v>85</v>
      </c>
      <c r="B8" t="s">
        <v>86</v>
      </c>
      <c r="C8" t="s">
        <v>87</v>
      </c>
      <c r="D8" s="26" t="s">
        <v>88</v>
      </c>
      <c r="E8" t="s">
        <v>86</v>
      </c>
      <c r="F8" t="s">
        <v>87</v>
      </c>
      <c r="G8" s="26" t="s">
        <v>88</v>
      </c>
      <c r="H8" s="49" t="s">
        <v>89</v>
      </c>
      <c r="I8" s="49" t="s">
        <v>90</v>
      </c>
      <c r="J8" s="49" t="s">
        <v>91</v>
      </c>
      <c r="K8" s="50" t="s">
        <v>92</v>
      </c>
      <c r="L8" s="50" t="s">
        <v>93</v>
      </c>
      <c r="M8" s="50" t="s">
        <v>94</v>
      </c>
      <c r="N8" s="50" t="s">
        <v>95</v>
      </c>
      <c r="AA8" t="s">
        <v>84</v>
      </c>
    </row>
    <row r="9" spans="1:27">
      <c r="A9" s="48">
        <v>0</v>
      </c>
      <c r="B9">
        <v>100</v>
      </c>
      <c r="C9">
        <v>0</v>
      </c>
      <c r="D9" s="26">
        <v>0</v>
      </c>
      <c r="E9">
        <v>100</v>
      </c>
      <c r="F9">
        <v>0</v>
      </c>
      <c r="G9" s="26">
        <v>0</v>
      </c>
      <c r="H9" s="49">
        <f>AVERAGE(D9,G9)</f>
        <v>0</v>
      </c>
      <c r="I9" s="49">
        <f>STDEV(D9,G9)</f>
        <v>0</v>
      </c>
      <c r="J9" s="49">
        <f>STDEV(D9,G9)/SQRT(COUNT(D9,G9))</f>
        <v>0</v>
      </c>
      <c r="K9" s="51">
        <f>MAX(D9,G9)</f>
        <v>0</v>
      </c>
      <c r="L9" s="51">
        <f>MIN(D9,G9)</f>
        <v>0</v>
      </c>
      <c r="M9" s="51">
        <f>K9-L9</f>
        <v>0</v>
      </c>
      <c r="N9" s="50">
        <f>M9/2</f>
        <v>0</v>
      </c>
      <c r="AA9" t="s">
        <v>96</v>
      </c>
    </row>
    <row r="10" spans="1:27">
      <c r="A10" s="48">
        <v>120</v>
      </c>
      <c r="B10">
        <v>7799.933</v>
      </c>
      <c r="C10">
        <v>1172.7190000000001</v>
      </c>
      <c r="D10" s="26">
        <f t="shared" ref="D10:D19" si="0">C10/(B10+C10)</f>
        <v>0.13069926260374301</v>
      </c>
      <c r="E10">
        <v>9211.5390000000007</v>
      </c>
      <c r="F10">
        <v>1584.376</v>
      </c>
      <c r="G10" s="26">
        <f t="shared" ref="G10:G19" si="1">F10/(E10+F10)</f>
        <v>0.14675699095444897</v>
      </c>
      <c r="H10" s="49">
        <f t="shared" ref="H10:H19" si="2">AVERAGE(D10,G10)</f>
        <v>0.13872812677909599</v>
      </c>
      <c r="I10" s="49">
        <f t="shared" ref="I10:I19" si="3">STDEV(D10,G10)</f>
        <v>1.1354528607235658E-2</v>
      </c>
      <c r="J10" s="49">
        <f t="shared" ref="J10:J19" si="4">STDEV(D10,G10)/SQRT(COUNT(D10,G10))</f>
        <v>8.0288641753529788E-3</v>
      </c>
      <c r="K10" s="51">
        <f t="shared" ref="K10:K19" si="5">MAX(D10,G10)</f>
        <v>0.14675699095444897</v>
      </c>
      <c r="L10" s="51">
        <f t="shared" ref="L10:L18" si="6">MIN(D10,G10)</f>
        <v>0.13069926260374301</v>
      </c>
      <c r="M10" s="51">
        <f t="shared" ref="M10:M18" si="7">K10-L10</f>
        <v>1.6057728350705958E-2</v>
      </c>
      <c r="N10" s="50">
        <f t="shared" ref="N10:N18" si="8">M10/2</f>
        <v>8.0288641753529788E-3</v>
      </c>
      <c r="AA10" t="s">
        <v>97</v>
      </c>
    </row>
    <row r="11" spans="1:27">
      <c r="A11" s="48">
        <v>300</v>
      </c>
      <c r="B11">
        <v>6926.64</v>
      </c>
      <c r="C11">
        <v>3079.4470000000001</v>
      </c>
      <c r="D11" s="26">
        <f t="shared" si="0"/>
        <v>0.30775736809004361</v>
      </c>
      <c r="E11">
        <v>8302.125</v>
      </c>
      <c r="F11">
        <v>3788.1039999999998</v>
      </c>
      <c r="G11" s="26">
        <f t="shared" si="1"/>
        <v>0.31331945821704454</v>
      </c>
      <c r="H11" s="49">
        <f t="shared" si="2"/>
        <v>0.31053841315354408</v>
      </c>
      <c r="I11" s="49">
        <f t="shared" si="3"/>
        <v>3.932991646373102E-3</v>
      </c>
      <c r="J11" s="49">
        <f t="shared" si="4"/>
        <v>2.7810450635004642E-3</v>
      </c>
      <c r="K11" s="51">
        <f t="shared" si="5"/>
        <v>0.31331945821704454</v>
      </c>
      <c r="L11" s="51">
        <f t="shared" si="6"/>
        <v>0.30775736809004361</v>
      </c>
      <c r="M11" s="51">
        <f t="shared" si="7"/>
        <v>5.5620901270009293E-3</v>
      </c>
      <c r="N11" s="50">
        <f t="shared" si="8"/>
        <v>2.7810450635004647E-3</v>
      </c>
      <c r="AA11" t="s">
        <v>98</v>
      </c>
    </row>
    <row r="12" spans="1:27">
      <c r="A12" s="48">
        <v>600</v>
      </c>
      <c r="B12">
        <v>5083.9830000000002</v>
      </c>
      <c r="C12">
        <v>5409.2250000000004</v>
      </c>
      <c r="D12" s="26">
        <f t="shared" si="0"/>
        <v>0.51549773910895502</v>
      </c>
      <c r="E12">
        <v>6486.2250000000004</v>
      </c>
      <c r="F12">
        <v>6879.7610000000004</v>
      </c>
      <c r="G12" s="26">
        <f t="shared" si="1"/>
        <v>0.51472154766584377</v>
      </c>
      <c r="H12" s="49">
        <f t="shared" si="2"/>
        <v>0.5151096433873994</v>
      </c>
      <c r="I12" s="49">
        <f t="shared" si="3"/>
        <v>5.4885023292293824E-4</v>
      </c>
      <c r="J12" s="49">
        <f t="shared" si="4"/>
        <v>3.8809572155562572E-4</v>
      </c>
      <c r="K12" s="51">
        <f t="shared" si="5"/>
        <v>0.51549773910895502</v>
      </c>
      <c r="L12" s="51">
        <f t="shared" si="6"/>
        <v>0.51472154766584377</v>
      </c>
      <c r="M12" s="51">
        <f t="shared" si="7"/>
        <v>7.7619144311125154E-4</v>
      </c>
      <c r="N12" s="50">
        <f t="shared" si="8"/>
        <v>3.8809572155562577E-4</v>
      </c>
      <c r="AA12" t="s">
        <v>99</v>
      </c>
    </row>
    <row r="13" spans="1:27">
      <c r="A13" s="48">
        <v>1200</v>
      </c>
      <c r="B13">
        <v>3374.0329999999999</v>
      </c>
      <c r="C13">
        <v>6793.0540000000001</v>
      </c>
      <c r="D13" s="26">
        <f t="shared" si="0"/>
        <v>0.66814162207916583</v>
      </c>
      <c r="E13">
        <v>5028.933</v>
      </c>
      <c r="F13">
        <v>8643.7109999999993</v>
      </c>
      <c r="G13" s="26">
        <f t="shared" si="1"/>
        <v>0.63219016014751783</v>
      </c>
      <c r="H13" s="49">
        <f t="shared" si="2"/>
        <v>0.65016589111334189</v>
      </c>
      <c r="I13" s="49">
        <f t="shared" si="3"/>
        <v>2.5421522525438313E-2</v>
      </c>
      <c r="J13" s="49">
        <f t="shared" si="4"/>
        <v>1.7975730965823996E-2</v>
      </c>
      <c r="K13" s="51">
        <f t="shared" si="5"/>
        <v>0.66814162207916583</v>
      </c>
      <c r="L13" s="51">
        <f t="shared" si="6"/>
        <v>0.63219016014751783</v>
      </c>
      <c r="M13" s="51">
        <f t="shared" si="7"/>
        <v>3.5951461931647999E-2</v>
      </c>
      <c r="N13" s="50">
        <f t="shared" si="8"/>
        <v>1.7975730965823999E-2</v>
      </c>
      <c r="AA13" t="s">
        <v>100</v>
      </c>
    </row>
    <row r="14" spans="1:27">
      <c r="A14" s="48">
        <v>1800</v>
      </c>
      <c r="B14">
        <v>1325.134</v>
      </c>
      <c r="C14">
        <v>8564.5889999999999</v>
      </c>
      <c r="D14" s="26">
        <f t="shared" si="0"/>
        <v>0.86600898730935139</v>
      </c>
      <c r="E14">
        <v>1640.8409999999999</v>
      </c>
      <c r="F14">
        <v>10527.418</v>
      </c>
      <c r="G14" s="26">
        <f t="shared" si="1"/>
        <v>0.86515400436496293</v>
      </c>
      <c r="H14" s="49">
        <f t="shared" si="2"/>
        <v>0.86558149583715716</v>
      </c>
      <c r="I14" s="49">
        <f t="shared" si="3"/>
        <v>6.0456423777592127E-4</v>
      </c>
      <c r="J14" s="49">
        <f t="shared" si="4"/>
        <v>4.2749147219423023E-4</v>
      </c>
      <c r="K14" s="51">
        <f t="shared" si="5"/>
        <v>0.86600898730935139</v>
      </c>
      <c r="L14" s="51">
        <f t="shared" si="6"/>
        <v>0.86515400436496293</v>
      </c>
      <c r="M14" s="51">
        <f t="shared" si="7"/>
        <v>8.5498294438846045E-4</v>
      </c>
      <c r="N14" s="50">
        <f t="shared" si="8"/>
        <v>4.2749147219423023E-4</v>
      </c>
      <c r="AA14" t="s">
        <v>101</v>
      </c>
    </row>
    <row r="15" spans="1:27">
      <c r="A15" s="48">
        <v>2700</v>
      </c>
      <c r="B15">
        <v>742.11300000000006</v>
      </c>
      <c r="C15">
        <v>9148.125</v>
      </c>
      <c r="D15" s="26">
        <f t="shared" si="0"/>
        <v>0.92496510195204606</v>
      </c>
      <c r="E15">
        <v>1043.77</v>
      </c>
      <c r="F15">
        <v>11610.539000000001</v>
      </c>
      <c r="G15" s="26">
        <f t="shared" si="1"/>
        <v>0.91751663405722106</v>
      </c>
      <c r="H15" s="49">
        <f t="shared" si="2"/>
        <v>0.92124086800463356</v>
      </c>
      <c r="I15" s="49">
        <f t="shared" si="3"/>
        <v>5.26686215788105E-3</v>
      </c>
      <c r="J15" s="49">
        <f t="shared" si="4"/>
        <v>3.724233947412503E-3</v>
      </c>
      <c r="K15" s="51">
        <f t="shared" si="5"/>
        <v>0.92496510195204606</v>
      </c>
      <c r="L15" s="51">
        <f t="shared" si="6"/>
        <v>0.91751663405722106</v>
      </c>
      <c r="M15" s="51">
        <f t="shared" si="7"/>
        <v>7.448467894825006E-3</v>
      </c>
      <c r="N15" s="50">
        <f t="shared" si="8"/>
        <v>3.724233947412503E-3</v>
      </c>
      <c r="AA15" t="s">
        <v>102</v>
      </c>
    </row>
    <row r="16" spans="1:27">
      <c r="A16" s="48">
        <v>3600</v>
      </c>
      <c r="B16">
        <v>426.92</v>
      </c>
      <c r="C16">
        <v>9005.5889999999999</v>
      </c>
      <c r="D16" s="26">
        <f t="shared" si="0"/>
        <v>0.95473950780221895</v>
      </c>
      <c r="E16">
        <v>701.577</v>
      </c>
      <c r="F16">
        <v>12782.023999999999</v>
      </c>
      <c r="G16" s="26">
        <f t="shared" si="1"/>
        <v>0.94796812809871789</v>
      </c>
      <c r="H16" s="49">
        <f t="shared" si="2"/>
        <v>0.95135381795046836</v>
      </c>
      <c r="I16" s="49">
        <f t="shared" si="3"/>
        <v>4.7880885063345509E-3</v>
      </c>
      <c r="J16" s="49">
        <f t="shared" si="4"/>
        <v>3.3856898517505281E-3</v>
      </c>
      <c r="K16" s="51">
        <f t="shared" si="5"/>
        <v>0.95473950780221895</v>
      </c>
      <c r="L16" s="51">
        <f t="shared" si="6"/>
        <v>0.94796812809871789</v>
      </c>
      <c r="M16" s="51">
        <f t="shared" si="7"/>
        <v>6.771379703501057E-3</v>
      </c>
      <c r="N16" s="50">
        <f t="shared" si="8"/>
        <v>3.3856898517505285E-3</v>
      </c>
      <c r="AA16" t="s">
        <v>103</v>
      </c>
    </row>
    <row r="17" spans="1:27">
      <c r="A17" s="48">
        <v>5400</v>
      </c>
      <c r="B17">
        <v>298.435</v>
      </c>
      <c r="C17">
        <v>9513.2960000000003</v>
      </c>
      <c r="D17" s="26">
        <f t="shared" si="0"/>
        <v>0.96958385834263094</v>
      </c>
      <c r="E17">
        <v>446.09199999999998</v>
      </c>
      <c r="F17">
        <v>12181.075000000001</v>
      </c>
      <c r="G17" s="26">
        <f t="shared" si="1"/>
        <v>0.96467204401430662</v>
      </c>
      <c r="H17" s="49">
        <f t="shared" si="2"/>
        <v>0.96712795117846873</v>
      </c>
      <c r="I17" s="49">
        <f t="shared" si="3"/>
        <v>3.4731772194873784E-3</v>
      </c>
      <c r="J17" s="49">
        <f t="shared" si="4"/>
        <v>2.4559071641621633E-3</v>
      </c>
      <c r="K17" s="51">
        <f t="shared" si="5"/>
        <v>0.96958385834263094</v>
      </c>
      <c r="L17" s="51">
        <f t="shared" si="6"/>
        <v>0.96467204401430662</v>
      </c>
      <c r="M17" s="51">
        <f t="shared" si="7"/>
        <v>4.9118143283243265E-3</v>
      </c>
      <c r="N17" s="50">
        <f t="shared" si="8"/>
        <v>2.4559071641621633E-3</v>
      </c>
      <c r="AA17" t="s">
        <v>104</v>
      </c>
    </row>
    <row r="18" spans="1:27">
      <c r="A18" s="48">
        <v>7200</v>
      </c>
      <c r="B18">
        <v>153.19200000000001</v>
      </c>
      <c r="C18">
        <v>9282.8819999999996</v>
      </c>
      <c r="D18" s="26">
        <f t="shared" si="0"/>
        <v>0.98376528204420599</v>
      </c>
      <c r="E18">
        <v>339.26299999999998</v>
      </c>
      <c r="F18">
        <v>12250.781999999999</v>
      </c>
      <c r="G18" s="26">
        <f t="shared" si="1"/>
        <v>0.97305307486986736</v>
      </c>
      <c r="H18" s="49">
        <f t="shared" si="2"/>
        <v>0.97840917845703668</v>
      </c>
      <c r="I18" s="49">
        <f t="shared" si="3"/>
        <v>7.5746743344500284E-3</v>
      </c>
      <c r="J18" s="49">
        <f t="shared" si="4"/>
        <v>5.3561035871693133E-3</v>
      </c>
      <c r="K18" s="51">
        <f t="shared" si="5"/>
        <v>0.98376528204420599</v>
      </c>
      <c r="L18" s="51">
        <f t="shared" si="6"/>
        <v>0.97305307486986736</v>
      </c>
      <c r="M18" s="51">
        <f t="shared" si="7"/>
        <v>1.0712207174338628E-2</v>
      </c>
      <c r="N18" s="50">
        <f t="shared" si="8"/>
        <v>5.3561035871693141E-3</v>
      </c>
    </row>
    <row r="19" spans="1:27">
      <c r="A19" s="48">
        <v>10800</v>
      </c>
      <c r="B19">
        <v>121.19199999999999</v>
      </c>
      <c r="C19">
        <v>9923.125</v>
      </c>
      <c r="D19" s="26">
        <f t="shared" si="0"/>
        <v>0.98793427168815973</v>
      </c>
      <c r="E19">
        <v>196.19200000000001</v>
      </c>
      <c r="F19">
        <v>12427.903</v>
      </c>
      <c r="G19" s="26">
        <f t="shared" si="1"/>
        <v>0.98445892557050618</v>
      </c>
      <c r="H19" s="49">
        <f t="shared" si="2"/>
        <v>0.98619659862933295</v>
      </c>
      <c r="I19" s="49">
        <f t="shared" si="3"/>
        <v>2.4574408067631619E-3</v>
      </c>
      <c r="J19" s="49">
        <f t="shared" si="4"/>
        <v>1.7376730588267719E-3</v>
      </c>
      <c r="K19" s="51">
        <f t="shared" si="5"/>
        <v>0.98793427168815973</v>
      </c>
      <c r="L19" s="51">
        <f>MIN(D19,G19)</f>
        <v>0.98445892557050618</v>
      </c>
      <c r="M19" s="51">
        <f>K19-L19</f>
        <v>3.4753461176535438E-3</v>
      </c>
      <c r="N19" s="50">
        <f>M19/2</f>
        <v>1.7376730588267719E-3</v>
      </c>
    </row>
    <row r="21" spans="1:27">
      <c r="A21" s="20" t="s">
        <v>140</v>
      </c>
    </row>
    <row r="22" spans="1:27">
      <c r="A22" s="3"/>
      <c r="B22" s="83" t="s">
        <v>141</v>
      </c>
      <c r="C22" s="83"/>
      <c r="D22" s="83"/>
      <c r="E22" s="83" t="s">
        <v>142</v>
      </c>
      <c r="F22" s="83"/>
      <c r="G22" s="83"/>
      <c r="H22" s="31" t="s">
        <v>24</v>
      </c>
      <c r="I22" s="3"/>
      <c r="J22" s="3"/>
      <c r="K22" s="47"/>
      <c r="L22" s="47"/>
      <c r="M22" s="31" t="s">
        <v>24</v>
      </c>
      <c r="N22" s="83"/>
      <c r="O22" s="83"/>
      <c r="P22" s="83"/>
    </row>
    <row r="23" spans="1:27">
      <c r="A23" s="48" t="s">
        <v>85</v>
      </c>
      <c r="B23" t="s">
        <v>86</v>
      </c>
      <c r="C23" t="s">
        <v>87</v>
      </c>
      <c r="D23" s="26" t="s">
        <v>88</v>
      </c>
      <c r="E23" t="s">
        <v>86</v>
      </c>
      <c r="F23" t="s">
        <v>87</v>
      </c>
      <c r="G23" s="26" t="s">
        <v>88</v>
      </c>
      <c r="H23" s="49" t="s">
        <v>89</v>
      </c>
      <c r="I23" s="49" t="s">
        <v>90</v>
      </c>
      <c r="J23" s="49" t="s">
        <v>91</v>
      </c>
      <c r="K23" s="50" t="s">
        <v>92</v>
      </c>
      <c r="L23" s="50" t="s">
        <v>93</v>
      </c>
      <c r="M23" s="50" t="s">
        <v>94</v>
      </c>
      <c r="N23" s="50" t="s">
        <v>95</v>
      </c>
    </row>
    <row r="24" spans="1:27">
      <c r="A24" s="48">
        <v>0</v>
      </c>
      <c r="B24">
        <v>100</v>
      </c>
      <c r="C24">
        <v>0</v>
      </c>
      <c r="D24" s="26">
        <v>0</v>
      </c>
      <c r="E24">
        <v>100</v>
      </c>
      <c r="F24">
        <v>0</v>
      </c>
      <c r="G24" s="26">
        <v>0</v>
      </c>
      <c r="H24" s="49">
        <f>AVERAGE(D24,G24)</f>
        <v>0</v>
      </c>
      <c r="I24" s="49">
        <f>STDEV(D24,G24)</f>
        <v>0</v>
      </c>
      <c r="J24" s="49">
        <f>STDEV(D24,G24)/SQRT(COUNT(D24,G24))</f>
        <v>0</v>
      </c>
      <c r="K24" s="51">
        <f>MAX(D24,G24)</f>
        <v>0</v>
      </c>
      <c r="L24" s="51">
        <f>MIN(D24,G24)</f>
        <v>0</v>
      </c>
      <c r="M24" s="51">
        <f>K24-L24</f>
        <v>0</v>
      </c>
      <c r="N24" s="50">
        <f>M24/2</f>
        <v>0</v>
      </c>
    </row>
    <row r="25" spans="1:27">
      <c r="A25" s="48">
        <v>120</v>
      </c>
      <c r="B25">
        <v>7318.2250000000004</v>
      </c>
      <c r="C25">
        <v>1930.326</v>
      </c>
      <c r="D25" s="26">
        <f t="shared" ref="D25:D34" si="9">C25/(B25+C25)</f>
        <v>0.20871658706320592</v>
      </c>
      <c r="E25">
        <v>8598.3680000000004</v>
      </c>
      <c r="F25">
        <v>1952.6189999999999</v>
      </c>
      <c r="G25" s="26">
        <f t="shared" ref="G25:G34" si="10">F25/(E25+F25)</f>
        <v>0.18506505599902642</v>
      </c>
      <c r="H25" s="49">
        <f t="shared" ref="H25:H34" si="11">AVERAGE(D25,G25)</f>
        <v>0.19689082153111617</v>
      </c>
      <c r="I25" s="49">
        <f t="shared" ref="I25:I34" si="12">STDEV(D25,G25)</f>
        <v>1.6724158000925606E-2</v>
      </c>
      <c r="J25" s="49">
        <f t="shared" ref="J25:J34" si="13">STDEV(D25,G25)/SQRT(COUNT(D25,G25))</f>
        <v>1.1825765532089749E-2</v>
      </c>
      <c r="K25" s="51">
        <f t="shared" ref="K25:K33" si="14">MAX(D25,G25)</f>
        <v>0.20871658706320592</v>
      </c>
      <c r="L25" s="51">
        <f t="shared" ref="L25:L34" si="15">MIN(D25,G25)</f>
        <v>0.18506505599902642</v>
      </c>
      <c r="M25" s="51">
        <f>K25-L25</f>
        <v>2.3651531064179498E-2</v>
      </c>
      <c r="N25" s="50">
        <f>M25/2</f>
        <v>1.1825765532089749E-2</v>
      </c>
    </row>
    <row r="26" spans="1:27">
      <c r="A26" s="48">
        <v>300</v>
      </c>
      <c r="B26">
        <v>6949.933</v>
      </c>
      <c r="C26">
        <v>4026.3969999999999</v>
      </c>
      <c r="D26" s="26">
        <f t="shared" si="9"/>
        <v>0.36682543254439326</v>
      </c>
      <c r="E26">
        <v>8092.0950000000003</v>
      </c>
      <c r="F26">
        <v>4199.7110000000002</v>
      </c>
      <c r="G26" s="26">
        <f t="shared" si="10"/>
        <v>0.34166753038568948</v>
      </c>
      <c r="H26" s="49">
        <f t="shared" si="11"/>
        <v>0.35424648146504134</v>
      </c>
      <c r="I26" s="49">
        <f t="shared" si="12"/>
        <v>1.7789323216847126E-2</v>
      </c>
      <c r="J26" s="49">
        <f t="shared" si="13"/>
        <v>1.2578951079351889E-2</v>
      </c>
      <c r="K26" s="51">
        <f t="shared" si="14"/>
        <v>0.36682543254439326</v>
      </c>
      <c r="L26" s="51">
        <f t="shared" si="15"/>
        <v>0.34166753038568948</v>
      </c>
      <c r="M26" s="51">
        <f t="shared" ref="M26:M34" si="16">K26-L26</f>
        <v>2.5157902158703782E-2</v>
      </c>
      <c r="N26" s="50">
        <f t="shared" ref="N26:N33" si="17">M26/2</f>
        <v>1.2578951079351891E-2</v>
      </c>
    </row>
    <row r="27" spans="1:27">
      <c r="A27" s="48">
        <v>600</v>
      </c>
      <c r="B27">
        <v>5978.1750000000002</v>
      </c>
      <c r="C27">
        <v>6878.4889999999996</v>
      </c>
      <c r="D27" s="26">
        <f t="shared" si="9"/>
        <v>0.53501351517003159</v>
      </c>
      <c r="E27">
        <v>6654.5389999999998</v>
      </c>
      <c r="F27">
        <v>6942.4390000000003</v>
      </c>
      <c r="G27" s="26">
        <f t="shared" si="10"/>
        <v>0.51058691129749567</v>
      </c>
      <c r="H27" s="49">
        <f t="shared" si="11"/>
        <v>0.52280021323376369</v>
      </c>
      <c r="I27" s="49">
        <f t="shared" si="12"/>
        <v>1.7272217239627734E-2</v>
      </c>
      <c r="J27" s="49">
        <f t="shared" si="13"/>
        <v>1.2213301936267962E-2</v>
      </c>
      <c r="K27" s="51">
        <f t="shared" si="14"/>
        <v>0.53501351517003159</v>
      </c>
      <c r="L27" s="51">
        <f t="shared" si="15"/>
        <v>0.51058691129749567</v>
      </c>
      <c r="M27" s="51">
        <f t="shared" si="16"/>
        <v>2.4426603872535924E-2</v>
      </c>
      <c r="N27" s="50">
        <f t="shared" si="17"/>
        <v>1.2213301936267962E-2</v>
      </c>
    </row>
    <row r="28" spans="1:27">
      <c r="A28" s="48">
        <v>1200</v>
      </c>
      <c r="B28">
        <v>3829.8820000000001</v>
      </c>
      <c r="C28">
        <v>7743.9740000000002</v>
      </c>
      <c r="D28" s="26">
        <f t="shared" si="9"/>
        <v>0.66909196036308038</v>
      </c>
      <c r="E28">
        <v>5658.7110000000002</v>
      </c>
      <c r="F28">
        <v>8879.9740000000002</v>
      </c>
      <c r="G28" s="26">
        <f t="shared" si="10"/>
        <v>0.61078247448101386</v>
      </c>
      <c r="H28" s="49">
        <f t="shared" si="11"/>
        <v>0.63993721742204712</v>
      </c>
      <c r="I28" s="49">
        <f t="shared" si="12"/>
        <v>4.1231032874710492E-2</v>
      </c>
      <c r="J28" s="49">
        <f t="shared" si="13"/>
        <v>2.9154742941033259E-2</v>
      </c>
      <c r="K28" s="51">
        <f t="shared" si="14"/>
        <v>0.66909196036308038</v>
      </c>
      <c r="L28" s="51">
        <f t="shared" si="15"/>
        <v>0.61078247448101386</v>
      </c>
      <c r="M28" s="51">
        <f t="shared" si="16"/>
        <v>5.8309485882066525E-2</v>
      </c>
      <c r="N28" s="50">
        <f t="shared" si="17"/>
        <v>2.9154742941033263E-2</v>
      </c>
    </row>
    <row r="29" spans="1:27">
      <c r="A29" s="48">
        <v>1800</v>
      </c>
      <c r="B29">
        <v>1729.912</v>
      </c>
      <c r="C29">
        <v>9856.7309999999998</v>
      </c>
      <c r="D29" s="26">
        <f t="shared" si="9"/>
        <v>0.85069773876695776</v>
      </c>
      <c r="E29">
        <v>3047.64</v>
      </c>
      <c r="F29">
        <v>10723.56</v>
      </c>
      <c r="G29" s="26">
        <f t="shared" si="10"/>
        <v>0.77869466713140467</v>
      </c>
      <c r="H29" s="49">
        <f t="shared" si="11"/>
        <v>0.81469620294918121</v>
      </c>
      <c r="I29" s="49">
        <f t="shared" si="12"/>
        <v>5.091386021976034E-2</v>
      </c>
      <c r="J29" s="49">
        <f t="shared" si="13"/>
        <v>3.6001535817776542E-2</v>
      </c>
      <c r="K29" s="51">
        <f t="shared" si="14"/>
        <v>0.85069773876695776</v>
      </c>
      <c r="L29" s="51">
        <f t="shared" si="15"/>
        <v>0.77869466713140467</v>
      </c>
      <c r="M29" s="51">
        <f t="shared" si="16"/>
        <v>7.2003071635553084E-2</v>
      </c>
      <c r="N29" s="50">
        <f t="shared" si="17"/>
        <v>3.6001535817776542E-2</v>
      </c>
    </row>
    <row r="30" spans="1:27">
      <c r="A30" s="48">
        <v>2700</v>
      </c>
      <c r="B30">
        <v>1088.0619999999999</v>
      </c>
      <c r="C30">
        <v>11140.995000000001</v>
      </c>
      <c r="D30" s="26">
        <f t="shared" si="9"/>
        <v>0.91102650024445875</v>
      </c>
      <c r="E30">
        <v>1776.6189999999999</v>
      </c>
      <c r="F30">
        <v>12158.630999999999</v>
      </c>
      <c r="G30" s="26">
        <f t="shared" si="10"/>
        <v>0.87250899696812034</v>
      </c>
      <c r="H30" s="49">
        <f t="shared" si="11"/>
        <v>0.8917677486062896</v>
      </c>
      <c r="I30" s="49">
        <f t="shared" si="12"/>
        <v>2.7235987761073947E-2</v>
      </c>
      <c r="J30" s="49">
        <f t="shared" si="13"/>
        <v>1.9258751638169199E-2</v>
      </c>
      <c r="K30" s="51">
        <f t="shared" si="14"/>
        <v>0.91102650024445875</v>
      </c>
      <c r="L30" s="51">
        <f t="shared" si="15"/>
        <v>0.87250899696812034</v>
      </c>
      <c r="M30" s="51">
        <f t="shared" si="16"/>
        <v>3.8517503276338405E-2</v>
      </c>
      <c r="N30" s="50">
        <f t="shared" si="17"/>
        <v>1.9258751638169203E-2</v>
      </c>
    </row>
    <row r="31" spans="1:27">
      <c r="A31" s="48">
        <v>3600</v>
      </c>
      <c r="B31">
        <v>579.99099999999999</v>
      </c>
      <c r="C31">
        <v>11747.51</v>
      </c>
      <c r="D31" s="26">
        <f t="shared" si="9"/>
        <v>0.952951453826692</v>
      </c>
      <c r="E31">
        <v>1377.3050000000001</v>
      </c>
      <c r="F31">
        <v>12473.752</v>
      </c>
      <c r="G31" s="26">
        <f t="shared" si="10"/>
        <v>0.90056318445588668</v>
      </c>
      <c r="H31" s="49">
        <f t="shared" si="11"/>
        <v>0.92675731914128934</v>
      </c>
      <c r="I31" s="49">
        <f t="shared" si="12"/>
        <v>3.7044100526723946E-2</v>
      </c>
      <c r="J31" s="49">
        <f t="shared" si="13"/>
        <v>2.6194134685402656E-2</v>
      </c>
      <c r="K31" s="51">
        <f t="shared" si="14"/>
        <v>0.952951453826692</v>
      </c>
      <c r="L31" s="51">
        <f t="shared" si="15"/>
        <v>0.90056318445588668</v>
      </c>
      <c r="M31" s="51">
        <f t="shared" si="16"/>
        <v>5.2388269370805318E-2</v>
      </c>
      <c r="N31" s="50">
        <f t="shared" si="17"/>
        <v>2.6194134685402659E-2</v>
      </c>
    </row>
    <row r="32" spans="1:27">
      <c r="A32" s="48">
        <v>5400</v>
      </c>
      <c r="B32">
        <v>392.678</v>
      </c>
      <c r="C32">
        <v>11802.217000000001</v>
      </c>
      <c r="D32" s="26">
        <f t="shared" si="9"/>
        <v>0.96779980475436644</v>
      </c>
      <c r="E32">
        <v>936.11300000000006</v>
      </c>
      <c r="F32">
        <v>14105.409</v>
      </c>
      <c r="G32" s="26">
        <f t="shared" si="10"/>
        <v>0.93776474215840666</v>
      </c>
      <c r="H32" s="49">
        <f t="shared" si="11"/>
        <v>0.95278227345638655</v>
      </c>
      <c r="I32" s="49">
        <f t="shared" si="12"/>
        <v>2.1237996434965593E-2</v>
      </c>
      <c r="J32" s="49">
        <f t="shared" si="13"/>
        <v>1.5017531297979891E-2</v>
      </c>
      <c r="K32" s="51">
        <f t="shared" si="14"/>
        <v>0.96779980475436644</v>
      </c>
      <c r="L32" s="51">
        <f t="shared" si="15"/>
        <v>0.93776474215840666</v>
      </c>
      <c r="M32" s="51">
        <f t="shared" si="16"/>
        <v>3.0035062595959783E-2</v>
      </c>
      <c r="N32" s="50">
        <f t="shared" si="17"/>
        <v>1.5017531297979891E-2</v>
      </c>
    </row>
    <row r="33" spans="1:16">
      <c r="A33" s="48">
        <v>7200</v>
      </c>
      <c r="B33">
        <v>300.435</v>
      </c>
      <c r="C33">
        <v>12500.116</v>
      </c>
      <c r="D33" s="26">
        <f t="shared" si="9"/>
        <v>0.97652952595556242</v>
      </c>
      <c r="E33">
        <v>684.92</v>
      </c>
      <c r="F33">
        <v>13397.116</v>
      </c>
      <c r="G33" s="26">
        <f t="shared" si="10"/>
        <v>0.9513621467804797</v>
      </c>
      <c r="H33" s="49">
        <f t="shared" si="11"/>
        <v>0.96394583636802111</v>
      </c>
      <c r="I33" s="49">
        <f t="shared" si="12"/>
        <v>1.7796024479394087E-2</v>
      </c>
      <c r="J33" s="49">
        <f t="shared" si="13"/>
        <v>1.2583689587541358E-2</v>
      </c>
      <c r="K33" s="51">
        <f t="shared" si="14"/>
        <v>0.97652952595556242</v>
      </c>
      <c r="L33" s="51">
        <f t="shared" si="15"/>
        <v>0.9513621467804797</v>
      </c>
      <c r="M33" s="51">
        <f t="shared" si="16"/>
        <v>2.5167379175082716E-2</v>
      </c>
      <c r="N33" s="50">
        <f t="shared" si="17"/>
        <v>1.2583689587541358E-2</v>
      </c>
    </row>
    <row r="34" spans="1:16">
      <c r="A34" s="69">
        <v>10800</v>
      </c>
      <c r="B34" s="58">
        <v>87.778000000000006</v>
      </c>
      <c r="C34" s="58">
        <v>11655.459000000001</v>
      </c>
      <c r="D34" s="70">
        <f t="shared" si="9"/>
        <v>0.99252522962791268</v>
      </c>
      <c r="E34" s="58">
        <v>499.678</v>
      </c>
      <c r="F34" s="58">
        <v>12405.045</v>
      </c>
      <c r="G34" s="70">
        <f t="shared" si="10"/>
        <v>0.96127944784246822</v>
      </c>
      <c r="H34" s="71">
        <f t="shared" si="11"/>
        <v>0.9769023387351905</v>
      </c>
      <c r="I34" s="71">
        <f t="shared" si="12"/>
        <v>2.209410418396289E-2</v>
      </c>
      <c r="J34" s="71">
        <f t="shared" si="13"/>
        <v>1.562289089272223E-2</v>
      </c>
      <c r="K34" s="51">
        <f>MAX(D34,G34)</f>
        <v>0.99252522962791268</v>
      </c>
      <c r="L34" s="51">
        <f t="shared" si="15"/>
        <v>0.96127944784246822</v>
      </c>
      <c r="M34" s="51">
        <f t="shared" si="16"/>
        <v>3.124578178544446E-2</v>
      </c>
      <c r="N34" s="50">
        <f>M34/2</f>
        <v>1.562289089272223E-2</v>
      </c>
    </row>
    <row r="35" spans="1:16">
      <c r="A35" s="65"/>
      <c r="D35" s="66"/>
      <c r="G35" s="66"/>
      <c r="H35" s="67"/>
      <c r="I35" s="67"/>
      <c r="J35" s="67"/>
      <c r="K35" s="3"/>
      <c r="L35" s="3"/>
      <c r="M35" s="3"/>
      <c r="N35" s="68"/>
    </row>
    <row r="36" spans="1:16">
      <c r="A36" s="72" t="s">
        <v>143</v>
      </c>
      <c r="D36" s="66"/>
      <c r="G36" s="66"/>
      <c r="H36" s="67"/>
      <c r="I36" s="67"/>
      <c r="J36" s="67"/>
      <c r="K36" s="3"/>
      <c r="L36" s="3"/>
      <c r="M36" s="3"/>
      <c r="N36" s="68"/>
    </row>
    <row r="37" spans="1:16">
      <c r="A37" s="3"/>
      <c r="B37" s="83" t="s">
        <v>144</v>
      </c>
      <c r="C37" s="83"/>
      <c r="D37" s="83"/>
      <c r="E37" s="83" t="s">
        <v>145</v>
      </c>
      <c r="F37" s="83"/>
      <c r="G37" s="83"/>
      <c r="H37" s="31" t="s">
        <v>24</v>
      </c>
      <c r="I37" s="3"/>
      <c r="J37" s="3"/>
      <c r="K37" s="47"/>
      <c r="L37" s="47"/>
      <c r="M37" s="31" t="s">
        <v>24</v>
      </c>
      <c r="N37" s="83"/>
      <c r="O37" s="83"/>
      <c r="P37" s="83"/>
    </row>
    <row r="38" spans="1:16">
      <c r="A38" s="48" t="s">
        <v>85</v>
      </c>
      <c r="B38" t="s">
        <v>86</v>
      </c>
      <c r="C38" t="s">
        <v>87</v>
      </c>
      <c r="D38" s="26" t="s">
        <v>88</v>
      </c>
      <c r="E38" t="s">
        <v>86</v>
      </c>
      <c r="F38" t="s">
        <v>87</v>
      </c>
      <c r="G38" s="26" t="s">
        <v>88</v>
      </c>
      <c r="H38" s="49" t="s">
        <v>89</v>
      </c>
      <c r="I38" s="49" t="s">
        <v>90</v>
      </c>
      <c r="J38" s="49" t="s">
        <v>91</v>
      </c>
      <c r="K38" s="50" t="s">
        <v>92</v>
      </c>
      <c r="L38" s="50" t="s">
        <v>93</v>
      </c>
      <c r="M38" s="50" t="s">
        <v>94</v>
      </c>
      <c r="N38" s="50" t="s">
        <v>95</v>
      </c>
    </row>
    <row r="39" spans="1:16">
      <c r="A39" s="48">
        <v>0</v>
      </c>
      <c r="B39">
        <v>100</v>
      </c>
      <c r="C39">
        <v>0</v>
      </c>
      <c r="D39" s="26">
        <v>0</v>
      </c>
      <c r="E39">
        <v>100</v>
      </c>
      <c r="F39">
        <v>0</v>
      </c>
      <c r="G39" s="26">
        <v>0</v>
      </c>
      <c r="H39" s="49">
        <f>AVERAGE(D39,G39)</f>
        <v>0</v>
      </c>
      <c r="I39" s="49">
        <f>STDEV(D39,G39)</f>
        <v>0</v>
      </c>
      <c r="J39" s="49">
        <f>STDEV(D39,G39)/SQRT(COUNT(D39,G39))</f>
        <v>0</v>
      </c>
      <c r="K39" s="51">
        <f>MAX(D39,G39)</f>
        <v>0</v>
      </c>
      <c r="L39" s="51">
        <f>MIN(D39,G39)</f>
        <v>0</v>
      </c>
      <c r="M39" s="51">
        <f>K39-L39</f>
        <v>0</v>
      </c>
      <c r="N39" s="50">
        <f>M39/2</f>
        <v>0</v>
      </c>
    </row>
    <row r="40" spans="1:16">
      <c r="A40" s="48">
        <v>120</v>
      </c>
      <c r="B40">
        <v>7895.66</v>
      </c>
      <c r="C40">
        <v>0</v>
      </c>
      <c r="D40" s="26">
        <f t="shared" ref="D40:D49" si="18">C40/(B40+C40)</f>
        <v>0</v>
      </c>
      <c r="E40">
        <v>9467.4390000000003</v>
      </c>
      <c r="F40">
        <v>0</v>
      </c>
      <c r="G40" s="26">
        <f t="shared" ref="G40:G49" si="19">F40/(E40+F40)</f>
        <v>0</v>
      </c>
      <c r="H40" s="49">
        <f t="shared" ref="H40:H49" si="20">AVERAGE(D40,G40)</f>
        <v>0</v>
      </c>
      <c r="I40" s="49">
        <f t="shared" ref="I40:I49" si="21">STDEV(D40,G40)</f>
        <v>0</v>
      </c>
      <c r="J40" s="49">
        <f t="shared" ref="J40:J49" si="22">STDEV(D40,G40)/SQRT(COUNT(D40,G40))</f>
        <v>0</v>
      </c>
      <c r="K40" s="51">
        <f t="shared" ref="K40:K49" si="23">MAX(D40,G40)</f>
        <v>0</v>
      </c>
      <c r="L40" s="51">
        <f t="shared" ref="L40:L49" si="24">MIN(D40,G40)</f>
        <v>0</v>
      </c>
      <c r="M40" s="51">
        <f t="shared" ref="M40:M49" si="25">K40-L40</f>
        <v>0</v>
      </c>
      <c r="N40" s="50">
        <f t="shared" ref="N40:N48" si="26">M40/2</f>
        <v>0</v>
      </c>
    </row>
    <row r="41" spans="1:16">
      <c r="A41" s="48">
        <v>300</v>
      </c>
      <c r="B41">
        <v>8353.7109999999993</v>
      </c>
      <c r="C41">
        <v>170.607</v>
      </c>
      <c r="D41" s="26">
        <f t="shared" si="18"/>
        <v>2.0014152451844243E-2</v>
      </c>
      <c r="E41">
        <v>9885.4390000000003</v>
      </c>
      <c r="F41">
        <v>84.191999999999993</v>
      </c>
      <c r="G41" s="26">
        <f t="shared" si="19"/>
        <v>8.4448461532829044E-3</v>
      </c>
      <c r="H41" s="49">
        <f t="shared" si="20"/>
        <v>1.4229499302563575E-2</v>
      </c>
      <c r="I41" s="49">
        <f t="shared" si="21"/>
        <v>8.1807349373369583E-3</v>
      </c>
      <c r="J41" s="49">
        <f t="shared" si="22"/>
        <v>5.7846531492806684E-3</v>
      </c>
      <c r="K41" s="51">
        <f t="shared" si="23"/>
        <v>2.0014152451844243E-2</v>
      </c>
      <c r="L41" s="51">
        <f t="shared" si="24"/>
        <v>8.4448461532829044E-3</v>
      </c>
      <c r="M41" s="51">
        <f t="shared" si="25"/>
        <v>1.1569306298561339E-2</v>
      </c>
      <c r="N41" s="50">
        <f t="shared" si="26"/>
        <v>5.7846531492806693E-3</v>
      </c>
    </row>
    <row r="42" spans="1:16">
      <c r="A42" s="48">
        <v>600</v>
      </c>
      <c r="B42">
        <v>8904.4179999999997</v>
      </c>
      <c r="C42">
        <v>242.26300000000001</v>
      </c>
      <c r="D42" s="26">
        <f t="shared" si="18"/>
        <v>2.6486438086121073E-2</v>
      </c>
      <c r="E42">
        <v>8948.3680000000004</v>
      </c>
      <c r="F42">
        <v>333.74900000000002</v>
      </c>
      <c r="G42" s="26">
        <f t="shared" si="19"/>
        <v>3.5956129404531315E-2</v>
      </c>
      <c r="H42" s="49">
        <f t="shared" si="20"/>
        <v>3.1221283745326192E-2</v>
      </c>
      <c r="I42" s="49">
        <f t="shared" si="21"/>
        <v>6.6960829469912813E-3</v>
      </c>
      <c r="J42" s="49">
        <f t="shared" si="22"/>
        <v>4.7348456592051363E-3</v>
      </c>
      <c r="K42" s="51">
        <f t="shared" si="23"/>
        <v>3.5956129404531315E-2</v>
      </c>
      <c r="L42" s="51">
        <f t="shared" si="24"/>
        <v>2.6486438086121073E-2</v>
      </c>
      <c r="M42" s="51">
        <f t="shared" si="25"/>
        <v>9.4696913184102414E-3</v>
      </c>
      <c r="N42" s="50">
        <f t="shared" si="26"/>
        <v>4.7348456592051207E-3</v>
      </c>
    </row>
    <row r="43" spans="1:16">
      <c r="A43" s="48">
        <v>1200</v>
      </c>
      <c r="B43">
        <v>10064.004000000001</v>
      </c>
      <c r="C43">
        <v>353.33499999999998</v>
      </c>
      <c r="D43" s="26">
        <f t="shared" si="18"/>
        <v>3.3917970798492778E-2</v>
      </c>
      <c r="E43">
        <v>10012.418</v>
      </c>
      <c r="F43">
        <v>390.79899999999998</v>
      </c>
      <c r="G43" s="26">
        <f t="shared" si="19"/>
        <v>3.756520699318297E-2</v>
      </c>
      <c r="H43" s="49">
        <f t="shared" si="20"/>
        <v>3.5741588895837874E-2</v>
      </c>
      <c r="I43" s="49">
        <f t="shared" si="21"/>
        <v>2.5789854458544543E-3</v>
      </c>
      <c r="J43" s="49">
        <f t="shared" si="22"/>
        <v>1.8236180973450961E-3</v>
      </c>
      <c r="K43" s="51">
        <f t="shared" si="23"/>
        <v>3.756520699318297E-2</v>
      </c>
      <c r="L43" s="51">
        <f t="shared" si="24"/>
        <v>3.3917970798492778E-2</v>
      </c>
      <c r="M43" s="51">
        <f t="shared" si="25"/>
        <v>3.6472361946901927E-3</v>
      </c>
      <c r="N43" s="50">
        <f t="shared" si="26"/>
        <v>1.8236180973450963E-3</v>
      </c>
    </row>
    <row r="44" spans="1:16">
      <c r="A44" s="48">
        <v>1800</v>
      </c>
      <c r="B44">
        <v>9480.8819999999996</v>
      </c>
      <c r="C44">
        <v>657.64800000000002</v>
      </c>
      <c r="D44" s="26">
        <f t="shared" si="18"/>
        <v>6.4866208414829374E-2</v>
      </c>
      <c r="E44">
        <v>10171.710999999999</v>
      </c>
      <c r="F44">
        <v>828.89099999999996</v>
      </c>
      <c r="G44" s="26">
        <f t="shared" si="19"/>
        <v>7.5349603594421471E-2</v>
      </c>
      <c r="H44" s="49">
        <f t="shared" si="20"/>
        <v>7.0107906004625423E-2</v>
      </c>
      <c r="I44" s="49">
        <f t="shared" si="21"/>
        <v>7.4128798213479365E-3</v>
      </c>
      <c r="J44" s="49">
        <f t="shared" si="22"/>
        <v>5.2416975897960488E-3</v>
      </c>
      <c r="K44" s="51">
        <f t="shared" si="23"/>
        <v>7.5349603594421471E-2</v>
      </c>
      <c r="L44" s="51">
        <f t="shared" si="24"/>
        <v>6.4866208414829374E-2</v>
      </c>
      <c r="M44" s="51">
        <f t="shared" si="25"/>
        <v>1.0483395179592098E-2</v>
      </c>
      <c r="N44" s="50">
        <f t="shared" si="26"/>
        <v>5.2416975897960488E-3</v>
      </c>
    </row>
    <row r="45" spans="1:16">
      <c r="A45" s="48">
        <v>2700</v>
      </c>
      <c r="B45">
        <v>8813.2960000000003</v>
      </c>
      <c r="C45">
        <v>915.01199999999994</v>
      </c>
      <c r="D45" s="26">
        <f t="shared" si="18"/>
        <v>9.4056643765801806E-2</v>
      </c>
      <c r="E45">
        <v>9280.2960000000003</v>
      </c>
      <c r="F45">
        <v>1118.7190000000001</v>
      </c>
      <c r="G45" s="26">
        <f t="shared" si="19"/>
        <v>0.10757932361863119</v>
      </c>
      <c r="H45" s="49">
        <f t="shared" si="20"/>
        <v>0.10081798369221651</v>
      </c>
      <c r="I45" s="49">
        <f t="shared" si="21"/>
        <v>9.5619786237503626E-3</v>
      </c>
      <c r="J45" s="49">
        <f t="shared" si="22"/>
        <v>6.7613399264146922E-3</v>
      </c>
      <c r="K45" s="51">
        <f t="shared" si="23"/>
        <v>0.10757932361863119</v>
      </c>
      <c r="L45" s="51">
        <f t="shared" si="24"/>
        <v>9.4056643765801806E-2</v>
      </c>
      <c r="M45" s="51">
        <f t="shared" si="25"/>
        <v>1.3522679852829386E-2</v>
      </c>
      <c r="N45" s="50">
        <f t="shared" si="26"/>
        <v>6.7613399264146931E-3</v>
      </c>
    </row>
    <row r="46" spans="1:16">
      <c r="A46" s="48">
        <v>3600</v>
      </c>
      <c r="B46">
        <v>8491.4680000000008</v>
      </c>
      <c r="C46">
        <v>1219.548</v>
      </c>
      <c r="D46" s="26">
        <f t="shared" si="18"/>
        <v>0.1255839759712063</v>
      </c>
      <c r="E46">
        <v>9519.7109999999993</v>
      </c>
      <c r="F46">
        <v>1306.79</v>
      </c>
      <c r="G46" s="26">
        <f t="shared" si="19"/>
        <v>0.12070289376041252</v>
      </c>
      <c r="H46" s="49">
        <f t="shared" si="20"/>
        <v>0.12314343486580941</v>
      </c>
      <c r="I46" s="49">
        <f t="shared" si="21"/>
        <v>3.4514463307813072E-3</v>
      </c>
      <c r="J46" s="49">
        <f t="shared" si="22"/>
        <v>2.4405411053968901E-3</v>
      </c>
      <c r="K46" s="51">
        <f t="shared" si="23"/>
        <v>0.1255839759712063</v>
      </c>
      <c r="L46" s="51">
        <f t="shared" si="24"/>
        <v>0.12070289376041252</v>
      </c>
      <c r="M46" s="51">
        <f t="shared" si="25"/>
        <v>4.8810822107937801E-3</v>
      </c>
      <c r="N46" s="50">
        <f t="shared" si="26"/>
        <v>2.4405411053968901E-3</v>
      </c>
    </row>
    <row r="47" spans="1:16">
      <c r="A47" s="48">
        <v>5400</v>
      </c>
      <c r="B47">
        <v>9138.7610000000004</v>
      </c>
      <c r="C47">
        <v>1763.376</v>
      </c>
      <c r="D47" s="26">
        <f t="shared" si="18"/>
        <v>0.16174590357835347</v>
      </c>
      <c r="E47">
        <v>8895.1749999999993</v>
      </c>
      <c r="F47">
        <v>1951.326</v>
      </c>
      <c r="G47" s="26">
        <f t="shared" si="19"/>
        <v>0.17990373116639183</v>
      </c>
      <c r="H47" s="49">
        <f t="shared" si="20"/>
        <v>0.17082481737237265</v>
      </c>
      <c r="I47" s="49">
        <f t="shared" si="21"/>
        <v>1.2839523019118093E-2</v>
      </c>
      <c r="J47" s="49">
        <f t="shared" si="22"/>
        <v>9.078913794019176E-3</v>
      </c>
      <c r="K47" s="51">
        <f t="shared" si="23"/>
        <v>0.17990373116639183</v>
      </c>
      <c r="L47" s="51">
        <f t="shared" si="24"/>
        <v>0.16174590357835347</v>
      </c>
      <c r="M47" s="51">
        <f t="shared" si="25"/>
        <v>1.8157827588038356E-2</v>
      </c>
      <c r="N47" s="50">
        <f t="shared" si="26"/>
        <v>9.0789137940191778E-3</v>
      </c>
    </row>
    <row r="48" spans="1:16">
      <c r="A48" s="48">
        <v>7200</v>
      </c>
      <c r="B48">
        <v>7638.2960000000003</v>
      </c>
      <c r="C48">
        <v>2055.0830000000001</v>
      </c>
      <c r="D48" s="26">
        <f t="shared" si="18"/>
        <v>0.21200893929763809</v>
      </c>
      <c r="E48">
        <v>7966.64</v>
      </c>
      <c r="F48">
        <v>2414.326</v>
      </c>
      <c r="G48" s="26">
        <f t="shared" si="19"/>
        <v>0.23257238295549759</v>
      </c>
      <c r="H48" s="49">
        <f t="shared" si="20"/>
        <v>0.22229066112656784</v>
      </c>
      <c r="I48" s="49">
        <f t="shared" si="21"/>
        <v>1.4540550455019959E-2</v>
      </c>
      <c r="J48" s="49">
        <f t="shared" si="22"/>
        <v>1.0281721828929752E-2</v>
      </c>
      <c r="K48" s="51">
        <f t="shared" si="23"/>
        <v>0.23257238295549759</v>
      </c>
      <c r="L48" s="51">
        <f t="shared" si="24"/>
        <v>0.21200893929763809</v>
      </c>
      <c r="M48" s="51">
        <f t="shared" si="25"/>
        <v>2.0563443657859504E-2</v>
      </c>
      <c r="N48" s="50">
        <f t="shared" si="26"/>
        <v>1.0281721828929752E-2</v>
      </c>
    </row>
    <row r="49" spans="1:16">
      <c r="A49" s="48">
        <v>10800</v>
      </c>
      <c r="B49">
        <v>5754.2250000000004</v>
      </c>
      <c r="C49">
        <v>2492.4969999999998</v>
      </c>
      <c r="D49" s="26">
        <f t="shared" si="18"/>
        <v>0.30224093888456527</v>
      </c>
      <c r="E49">
        <v>5597.9830000000002</v>
      </c>
      <c r="F49">
        <v>2691.6190000000001</v>
      </c>
      <c r="G49" s="26">
        <f t="shared" si="19"/>
        <v>0.32469821832218243</v>
      </c>
      <c r="H49" s="49">
        <f t="shared" si="20"/>
        <v>0.31346957860337388</v>
      </c>
      <c r="I49" s="49">
        <f t="shared" si="21"/>
        <v>1.5879694577340311E-2</v>
      </c>
      <c r="J49" s="49">
        <f t="shared" si="22"/>
        <v>1.1228639718808579E-2</v>
      </c>
      <c r="K49" s="51">
        <f t="shared" si="23"/>
        <v>0.32469821832218243</v>
      </c>
      <c r="L49" s="51">
        <f t="shared" si="24"/>
        <v>0.30224093888456527</v>
      </c>
      <c r="M49" s="51">
        <f t="shared" si="25"/>
        <v>2.2457279437617161E-2</v>
      </c>
      <c r="N49" s="50">
        <f>M49/2</f>
        <v>1.1228639718808581E-2</v>
      </c>
    </row>
    <row r="51" spans="1:16">
      <c r="A51" s="20" t="s">
        <v>146</v>
      </c>
    </row>
    <row r="52" spans="1:16">
      <c r="A52" s="3"/>
      <c r="B52" s="83" t="s">
        <v>147</v>
      </c>
      <c r="C52" s="83"/>
      <c r="D52" s="83"/>
      <c r="E52" s="83" t="s">
        <v>148</v>
      </c>
      <c r="F52" s="83"/>
      <c r="G52" s="83"/>
      <c r="H52" s="31" t="s">
        <v>24</v>
      </c>
      <c r="I52" s="3"/>
      <c r="J52" s="3"/>
      <c r="K52" s="47"/>
      <c r="L52" s="47"/>
      <c r="M52" s="31" t="s">
        <v>24</v>
      </c>
      <c r="N52" s="83"/>
      <c r="O52" s="83"/>
      <c r="P52" s="83"/>
    </row>
    <row r="53" spans="1:16">
      <c r="A53" s="48" t="s">
        <v>85</v>
      </c>
      <c r="B53" t="s">
        <v>86</v>
      </c>
      <c r="C53" t="s">
        <v>87</v>
      </c>
      <c r="D53" s="26" t="s">
        <v>88</v>
      </c>
      <c r="E53" t="s">
        <v>86</v>
      </c>
      <c r="F53" t="s">
        <v>87</v>
      </c>
      <c r="G53" s="26" t="s">
        <v>88</v>
      </c>
      <c r="H53" s="49" t="s">
        <v>89</v>
      </c>
      <c r="I53" s="49" t="s">
        <v>90</v>
      </c>
      <c r="J53" s="49" t="s">
        <v>91</v>
      </c>
      <c r="K53" s="50" t="s">
        <v>92</v>
      </c>
      <c r="L53" s="50" t="s">
        <v>93</v>
      </c>
      <c r="M53" s="50" t="s">
        <v>94</v>
      </c>
      <c r="N53" s="50" t="s">
        <v>95</v>
      </c>
    </row>
    <row r="54" spans="1:16">
      <c r="A54" s="48">
        <v>0</v>
      </c>
      <c r="B54">
        <v>100</v>
      </c>
      <c r="C54">
        <v>0</v>
      </c>
      <c r="D54" s="26">
        <v>0</v>
      </c>
      <c r="E54">
        <v>100</v>
      </c>
      <c r="F54">
        <v>0</v>
      </c>
      <c r="G54" s="26">
        <v>0</v>
      </c>
      <c r="H54" s="49">
        <f>AVERAGE(D54,G54)</f>
        <v>0</v>
      </c>
      <c r="I54" s="49">
        <f>STDEV(D54,G54)</f>
        <v>0</v>
      </c>
      <c r="J54" s="49">
        <f>STDEV(D54,G54)/SQRT(COUNT(D54,G54))</f>
        <v>0</v>
      </c>
      <c r="K54" s="51">
        <f>MAX(D54,G54)</f>
        <v>0</v>
      </c>
      <c r="L54" s="51">
        <f>MIN(D54,G54)</f>
        <v>0</v>
      </c>
      <c r="M54" s="51">
        <f>K54-L54</f>
        <v>0</v>
      </c>
      <c r="N54" s="50">
        <f>M54/2</f>
        <v>0</v>
      </c>
    </row>
    <row r="55" spans="1:16">
      <c r="A55" s="48">
        <v>120</v>
      </c>
      <c r="B55">
        <v>8606.64</v>
      </c>
      <c r="C55">
        <v>916.64800000000002</v>
      </c>
      <c r="D55" s="26">
        <f t="shared" ref="D55:D64" si="27">C55/(B55+C55)</f>
        <v>9.6253310831301134E-2</v>
      </c>
      <c r="E55">
        <v>7906.0540000000001</v>
      </c>
      <c r="F55">
        <v>806.23400000000004</v>
      </c>
      <c r="G55" s="26">
        <f t="shared" ref="G55:G64" si="28">F55/(E55+F55)</f>
        <v>9.2539870123669002E-2</v>
      </c>
      <c r="H55" s="49">
        <f t="shared" ref="H55:H64" si="29">AVERAGE(D55,G55)</f>
        <v>9.4396590477485068E-2</v>
      </c>
      <c r="I55" s="49">
        <f t="shared" ref="I55:I64" si="30">STDEV(D55,G55)</f>
        <v>2.6257991059008522E-3</v>
      </c>
      <c r="J55" s="49">
        <f t="shared" ref="J55:J64" si="31">STDEV(D55,G55)/SQRT(COUNT(D55,G55))</f>
        <v>1.8567203538160659E-3</v>
      </c>
      <c r="K55" s="51">
        <f t="shared" ref="K55:K64" si="32">MAX(D55,G55)</f>
        <v>9.6253310831301134E-2</v>
      </c>
      <c r="L55" s="51">
        <f t="shared" ref="L55:L64" si="33">MIN(D55,G55)</f>
        <v>9.2539870123669002E-2</v>
      </c>
      <c r="M55" s="51">
        <f t="shared" ref="M55:M64" si="34">K55-L55</f>
        <v>3.7134407076321319E-3</v>
      </c>
      <c r="N55" s="50">
        <f t="shared" ref="N55:N63" si="35">M55/2</f>
        <v>1.8567203538160659E-3</v>
      </c>
    </row>
    <row r="56" spans="1:16">
      <c r="A56" s="48">
        <v>300</v>
      </c>
      <c r="B56">
        <v>7576.1040000000003</v>
      </c>
      <c r="C56">
        <v>2172.9119999999998</v>
      </c>
      <c r="D56" s="26">
        <f t="shared" si="27"/>
        <v>0.22288526349736218</v>
      </c>
      <c r="E56">
        <v>6910.3969999999999</v>
      </c>
      <c r="F56">
        <v>2134.4969999999998</v>
      </c>
      <c r="G56" s="26">
        <f t="shared" si="28"/>
        <v>0.23598916692666599</v>
      </c>
      <c r="H56" s="49">
        <f t="shared" si="29"/>
        <v>0.2294372152120141</v>
      </c>
      <c r="I56" s="49">
        <f t="shared" si="30"/>
        <v>9.2658589748743827E-3</v>
      </c>
      <c r="J56" s="49">
        <f t="shared" si="31"/>
        <v>6.5519517146519074E-3</v>
      </c>
      <c r="K56" s="51">
        <f t="shared" si="32"/>
        <v>0.23598916692666599</v>
      </c>
      <c r="L56" s="51">
        <f t="shared" si="33"/>
        <v>0.22288526349736218</v>
      </c>
      <c r="M56" s="51">
        <f t="shared" si="34"/>
        <v>1.3103903429303815E-2</v>
      </c>
      <c r="N56" s="50">
        <f t="shared" si="35"/>
        <v>6.5519517146519074E-3</v>
      </c>
    </row>
    <row r="57" spans="1:16">
      <c r="A57" s="48">
        <v>600</v>
      </c>
      <c r="B57">
        <v>6613.69</v>
      </c>
      <c r="C57">
        <v>4090.69</v>
      </c>
      <c r="D57" s="26">
        <f t="shared" si="27"/>
        <v>0.38215104471253825</v>
      </c>
      <c r="E57">
        <v>5983.69</v>
      </c>
      <c r="F57">
        <v>3691.154</v>
      </c>
      <c r="G57" s="26">
        <f t="shared" si="28"/>
        <v>0.38152077697583553</v>
      </c>
      <c r="H57" s="49">
        <f t="shared" si="29"/>
        <v>0.38183591084418689</v>
      </c>
      <c r="I57" s="49">
        <f t="shared" si="30"/>
        <v>4.456665905855883E-4</v>
      </c>
      <c r="J57" s="49">
        <f t="shared" si="31"/>
        <v>3.1513386835135821E-4</v>
      </c>
      <c r="K57" s="51">
        <f t="shared" si="32"/>
        <v>0.38215104471253825</v>
      </c>
      <c r="L57" s="51">
        <f t="shared" si="33"/>
        <v>0.38152077697583553</v>
      </c>
      <c r="M57" s="51">
        <f t="shared" si="34"/>
        <v>6.3026773670271652E-4</v>
      </c>
      <c r="N57" s="50">
        <f t="shared" si="35"/>
        <v>3.1513386835135826E-4</v>
      </c>
    </row>
    <row r="58" spans="1:16">
      <c r="A58" s="48">
        <v>1200</v>
      </c>
      <c r="B58">
        <v>5432.8609999999999</v>
      </c>
      <c r="C58">
        <v>5330.933</v>
      </c>
      <c r="D58" s="26">
        <f t="shared" si="27"/>
        <v>0.49526523826078428</v>
      </c>
      <c r="E58">
        <v>4569.8609999999999</v>
      </c>
      <c r="F58">
        <v>4699.5690000000004</v>
      </c>
      <c r="G58" s="26">
        <f t="shared" si="28"/>
        <v>0.50699654671322836</v>
      </c>
      <c r="H58" s="49">
        <f t="shared" si="29"/>
        <v>0.50113089248700637</v>
      </c>
      <c r="I58" s="49">
        <f t="shared" si="30"/>
        <v>8.2952877589142701E-3</v>
      </c>
      <c r="J58" s="49">
        <f t="shared" si="31"/>
        <v>5.8656542262220382E-3</v>
      </c>
      <c r="K58" s="51">
        <f t="shared" si="32"/>
        <v>0.50699654671322836</v>
      </c>
      <c r="L58" s="51">
        <f t="shared" si="33"/>
        <v>0.49526523826078428</v>
      </c>
      <c r="M58" s="51">
        <f t="shared" si="34"/>
        <v>1.1731308452444078E-2</v>
      </c>
      <c r="N58" s="50">
        <f t="shared" si="35"/>
        <v>5.865654226222039E-3</v>
      </c>
    </row>
    <row r="59" spans="1:16">
      <c r="A59" s="48">
        <v>1800</v>
      </c>
      <c r="B59">
        <v>2703.2049999999999</v>
      </c>
      <c r="C59">
        <v>7590.2960000000003</v>
      </c>
      <c r="D59" s="26">
        <f t="shared" si="27"/>
        <v>0.73738721160079546</v>
      </c>
      <c r="E59">
        <v>2465.4969999999998</v>
      </c>
      <c r="F59">
        <v>6901.3469999999998</v>
      </c>
      <c r="G59" s="26">
        <f t="shared" si="28"/>
        <v>0.73678466300922707</v>
      </c>
      <c r="H59" s="49">
        <f t="shared" si="29"/>
        <v>0.73708593730501126</v>
      </c>
      <c r="I59" s="49">
        <f t="shared" si="30"/>
        <v>4.2606619509240903E-4</v>
      </c>
      <c r="J59" s="49">
        <f t="shared" si="31"/>
        <v>3.012742957841929E-4</v>
      </c>
      <c r="K59" s="51">
        <f t="shared" si="32"/>
        <v>0.73738721160079546</v>
      </c>
      <c r="L59" s="51">
        <f t="shared" si="33"/>
        <v>0.73678466300922707</v>
      </c>
      <c r="M59" s="51">
        <f t="shared" si="34"/>
        <v>6.0254859156838592E-4</v>
      </c>
      <c r="N59" s="50">
        <f t="shared" si="35"/>
        <v>3.0127429578419296E-4</v>
      </c>
    </row>
    <row r="60" spans="1:16">
      <c r="A60" s="48">
        <v>2700</v>
      </c>
      <c r="B60">
        <v>1488.2550000000001</v>
      </c>
      <c r="C60">
        <v>8384.3469999999998</v>
      </c>
      <c r="D60" s="26">
        <f t="shared" si="27"/>
        <v>0.84925402644611836</v>
      </c>
      <c r="E60">
        <v>1305.7190000000001</v>
      </c>
      <c r="F60">
        <v>7288.933</v>
      </c>
      <c r="G60" s="26">
        <f t="shared" si="28"/>
        <v>0.848077734851859</v>
      </c>
      <c r="H60" s="49">
        <f t="shared" si="29"/>
        <v>0.84866588064898862</v>
      </c>
      <c r="I60" s="49">
        <f t="shared" si="30"/>
        <v>8.3176376295352838E-4</v>
      </c>
      <c r="J60" s="49">
        <f t="shared" si="31"/>
        <v>5.8814579712967996E-4</v>
      </c>
      <c r="K60" s="51">
        <f t="shared" si="32"/>
        <v>0.84925402644611836</v>
      </c>
      <c r="L60" s="51">
        <f t="shared" si="33"/>
        <v>0.848077734851859</v>
      </c>
      <c r="M60" s="51">
        <f t="shared" si="34"/>
        <v>1.1762915942593599E-3</v>
      </c>
      <c r="N60" s="50">
        <f t="shared" si="35"/>
        <v>5.8814579712967996E-4</v>
      </c>
    </row>
    <row r="61" spans="1:16">
      <c r="A61" s="48">
        <v>3600</v>
      </c>
      <c r="B61">
        <v>986.77</v>
      </c>
      <c r="C61">
        <v>10104.004000000001</v>
      </c>
      <c r="D61" s="26">
        <f t="shared" si="27"/>
        <v>0.91102785071628001</v>
      </c>
      <c r="E61">
        <v>908.06200000000001</v>
      </c>
      <c r="F61">
        <v>7303.64</v>
      </c>
      <c r="G61" s="26">
        <f t="shared" si="28"/>
        <v>0.88941853954271588</v>
      </c>
      <c r="H61" s="49">
        <f t="shared" si="29"/>
        <v>0.90022319512949789</v>
      </c>
      <c r="I61" s="49">
        <f t="shared" si="30"/>
        <v>1.5280090467597426E-2</v>
      </c>
      <c r="J61" s="49">
        <f t="shared" si="31"/>
        <v>1.0804655586782062E-2</v>
      </c>
      <c r="K61" s="51">
        <f t="shared" si="32"/>
        <v>0.91102785071628001</v>
      </c>
      <c r="L61" s="51">
        <f t="shared" si="33"/>
        <v>0.88941853954271588</v>
      </c>
      <c r="M61" s="51">
        <f t="shared" si="34"/>
        <v>2.1609311173564127E-2</v>
      </c>
      <c r="N61" s="50">
        <f t="shared" si="35"/>
        <v>1.0804655586782064E-2</v>
      </c>
    </row>
    <row r="62" spans="1:16">
      <c r="A62" s="48">
        <v>5400</v>
      </c>
      <c r="B62">
        <v>420.92</v>
      </c>
      <c r="C62">
        <v>9195.4680000000008</v>
      </c>
      <c r="D62" s="26">
        <f t="shared" si="27"/>
        <v>0.95622888760312086</v>
      </c>
      <c r="E62">
        <v>526.16300000000001</v>
      </c>
      <c r="F62">
        <v>8435.9330000000009</v>
      </c>
      <c r="G62" s="26">
        <f t="shared" si="28"/>
        <v>0.94129018479605664</v>
      </c>
      <c r="H62" s="49">
        <f t="shared" si="29"/>
        <v>0.94875953619958875</v>
      </c>
      <c r="I62" s="49">
        <f t="shared" si="30"/>
        <v>1.0563258057005621E-2</v>
      </c>
      <c r="J62" s="49">
        <f t="shared" si="31"/>
        <v>7.4693514035321087E-3</v>
      </c>
      <c r="K62" s="51">
        <f t="shared" si="32"/>
        <v>0.95622888760312086</v>
      </c>
      <c r="L62" s="51">
        <f t="shared" si="33"/>
        <v>0.94129018479605664</v>
      </c>
      <c r="M62" s="51">
        <f t="shared" si="34"/>
        <v>1.4938702807064219E-2</v>
      </c>
      <c r="N62" s="50">
        <f t="shared" si="35"/>
        <v>7.4693514035321096E-3</v>
      </c>
    </row>
    <row r="63" spans="1:16">
      <c r="A63" s="48">
        <v>7200</v>
      </c>
      <c r="B63">
        <v>217.435</v>
      </c>
      <c r="C63">
        <v>8422.3469999999998</v>
      </c>
      <c r="D63" s="26">
        <f t="shared" si="27"/>
        <v>0.97483327704333289</v>
      </c>
      <c r="E63">
        <v>329.26299999999998</v>
      </c>
      <c r="F63">
        <v>7926.3469999999998</v>
      </c>
      <c r="G63" s="26">
        <f t="shared" si="28"/>
        <v>0.96011645414451496</v>
      </c>
      <c r="H63" s="49">
        <f t="shared" si="29"/>
        <v>0.96747486559392393</v>
      </c>
      <c r="I63" s="49">
        <f t="shared" si="30"/>
        <v>1.040636526927562E-2</v>
      </c>
      <c r="J63" s="49">
        <f t="shared" si="31"/>
        <v>7.3584114494089628E-3</v>
      </c>
      <c r="K63" s="51">
        <f t="shared" si="32"/>
        <v>0.97483327704333289</v>
      </c>
      <c r="L63" s="51">
        <f t="shared" si="33"/>
        <v>0.96011645414451496</v>
      </c>
      <c r="M63" s="51">
        <f t="shared" si="34"/>
        <v>1.4716822898817927E-2</v>
      </c>
      <c r="N63" s="50">
        <f t="shared" si="35"/>
        <v>7.3584114494089636E-3</v>
      </c>
    </row>
    <row r="64" spans="1:16">
      <c r="A64" s="48">
        <v>10800</v>
      </c>
      <c r="B64">
        <v>227.02099999999999</v>
      </c>
      <c r="C64">
        <v>8744.64</v>
      </c>
      <c r="D64" s="26">
        <f t="shared" si="27"/>
        <v>0.97469576703800997</v>
      </c>
      <c r="E64">
        <v>266.435</v>
      </c>
      <c r="F64">
        <v>7799.4679999999998</v>
      </c>
      <c r="G64" s="26">
        <f t="shared" si="28"/>
        <v>0.96696774062370938</v>
      </c>
      <c r="H64" s="49">
        <f t="shared" si="29"/>
        <v>0.97083175383085973</v>
      </c>
      <c r="I64" s="49">
        <f t="shared" si="30"/>
        <v>5.4645398827407087E-3</v>
      </c>
      <c r="J64" s="49">
        <f t="shared" si="31"/>
        <v>3.864013207150296E-3</v>
      </c>
      <c r="K64" s="51">
        <f t="shared" si="32"/>
        <v>0.97469576703800997</v>
      </c>
      <c r="L64" s="51">
        <f t="shared" si="33"/>
        <v>0.96696774062370938</v>
      </c>
      <c r="M64" s="51">
        <f t="shared" si="34"/>
        <v>7.7280264143005928E-3</v>
      </c>
      <c r="N64" s="50">
        <f>M64/2</f>
        <v>3.8640132071502964E-3</v>
      </c>
    </row>
    <row r="66" spans="1:16">
      <c r="A66" s="20" t="s">
        <v>149</v>
      </c>
    </row>
    <row r="67" spans="1:16">
      <c r="A67" s="3"/>
      <c r="B67" s="83" t="s">
        <v>150</v>
      </c>
      <c r="C67" s="83"/>
      <c r="D67" s="83"/>
      <c r="E67" s="83" t="s">
        <v>151</v>
      </c>
      <c r="F67" s="83"/>
      <c r="G67" s="83"/>
      <c r="H67" s="31" t="s">
        <v>24</v>
      </c>
      <c r="I67" s="3"/>
      <c r="J67" s="3"/>
      <c r="K67" s="47"/>
      <c r="L67" s="47"/>
      <c r="M67" s="31" t="s">
        <v>24</v>
      </c>
      <c r="N67" s="83"/>
      <c r="O67" s="83"/>
      <c r="P67" s="83"/>
    </row>
    <row r="68" spans="1:16">
      <c r="A68" s="48" t="s">
        <v>85</v>
      </c>
      <c r="B68" t="s">
        <v>86</v>
      </c>
      <c r="C68" t="s">
        <v>87</v>
      </c>
      <c r="D68" s="26" t="s">
        <v>88</v>
      </c>
      <c r="E68" t="s">
        <v>86</v>
      </c>
      <c r="F68" t="s">
        <v>87</v>
      </c>
      <c r="G68" s="26" t="s">
        <v>88</v>
      </c>
      <c r="H68" s="49" t="s">
        <v>89</v>
      </c>
      <c r="I68" s="49" t="s">
        <v>90</v>
      </c>
      <c r="J68" s="49" t="s">
        <v>91</v>
      </c>
      <c r="K68" s="50" t="s">
        <v>92</v>
      </c>
      <c r="L68" s="50" t="s">
        <v>93</v>
      </c>
      <c r="M68" s="50" t="s">
        <v>94</v>
      </c>
      <c r="N68" s="50" t="s">
        <v>95</v>
      </c>
    </row>
    <row r="69" spans="1:16">
      <c r="A69" s="48">
        <v>0</v>
      </c>
      <c r="B69">
        <v>100</v>
      </c>
      <c r="C69">
        <v>0</v>
      </c>
      <c r="D69" s="26">
        <v>0</v>
      </c>
      <c r="E69">
        <v>100</v>
      </c>
      <c r="F69">
        <v>0</v>
      </c>
      <c r="G69" s="26">
        <v>0</v>
      </c>
      <c r="H69" s="49">
        <f>AVERAGE(D69,G69)</f>
        <v>0</v>
      </c>
      <c r="I69" s="49">
        <f>STDEV(D69,G69)</f>
        <v>0</v>
      </c>
      <c r="J69" s="49">
        <f>STDEV(D69,G69)/SQRT(COUNT(D69,G69))</f>
        <v>0</v>
      </c>
      <c r="K69" s="51">
        <f>MAX(D69,G69)</f>
        <v>0</v>
      </c>
      <c r="L69" s="51">
        <f>MIN(D69,G69)</f>
        <v>0</v>
      </c>
      <c r="M69" s="51">
        <f>K69-L69</f>
        <v>0</v>
      </c>
      <c r="N69" s="50">
        <f>M69/2</f>
        <v>0</v>
      </c>
    </row>
    <row r="70" spans="1:16">
      <c r="A70" s="48">
        <v>120</v>
      </c>
      <c r="B70">
        <v>9866.125</v>
      </c>
      <c r="C70">
        <v>83.778000000000006</v>
      </c>
      <c r="D70" s="26">
        <f t="shared" ref="D70:D79" si="36">C70/(B70+C70)</f>
        <v>8.4199815817299923E-3</v>
      </c>
      <c r="E70">
        <v>11003.368</v>
      </c>
      <c r="F70">
        <v>103.364</v>
      </c>
      <c r="G70" s="26">
        <f t="shared" ref="G70:G79" si="37">F70/(E70+F70)</f>
        <v>9.3064278493439831E-3</v>
      </c>
      <c r="H70" s="49">
        <f t="shared" ref="H70:H79" si="38">AVERAGE(D70,G70)</f>
        <v>8.8632047155369868E-3</v>
      </c>
      <c r="I70" s="49">
        <f t="shared" ref="I70:I79" si="39">STDEV(D70,G70)</f>
        <v>6.2681216698735789E-4</v>
      </c>
      <c r="J70" s="49">
        <f t="shared" ref="J70:J79" si="40">STDEV(D70,G70)/SQRT(COUNT(D70,G70))</f>
        <v>4.4322313380699535E-4</v>
      </c>
      <c r="K70" s="51">
        <f t="shared" ref="K70:K79" si="41">MAX(D70,G70)</f>
        <v>9.3064278493439831E-3</v>
      </c>
      <c r="L70" s="51">
        <f t="shared" ref="L70:L79" si="42">MIN(D70,G70)</f>
        <v>8.4199815817299923E-3</v>
      </c>
      <c r="M70" s="51">
        <f t="shared" ref="M70:M79" si="43">K70-L70</f>
        <v>8.864462676139908E-4</v>
      </c>
      <c r="N70" s="50">
        <f t="shared" ref="N70:N78" si="44">M70/2</f>
        <v>4.432231338069954E-4</v>
      </c>
    </row>
    <row r="71" spans="1:16">
      <c r="A71" s="48">
        <v>300</v>
      </c>
      <c r="B71">
        <v>9847.7109999999993</v>
      </c>
      <c r="C71">
        <v>211.607</v>
      </c>
      <c r="D71" s="26">
        <f t="shared" si="36"/>
        <v>2.1035919134875746E-2</v>
      </c>
      <c r="E71">
        <v>11364.903</v>
      </c>
      <c r="F71">
        <v>244.84899999999999</v>
      </c>
      <c r="G71" s="26">
        <f t="shared" si="37"/>
        <v>2.1089942317458633E-2</v>
      </c>
      <c r="H71" s="49">
        <f t="shared" si="38"/>
        <v>2.1062930726167189E-2</v>
      </c>
      <c r="I71" s="49">
        <f t="shared" si="39"/>
        <v>3.8200158745638081E-5</v>
      </c>
      <c r="J71" s="49">
        <f t="shared" si="40"/>
        <v>2.7011591291443284E-5</v>
      </c>
      <c r="K71" s="51">
        <f t="shared" si="41"/>
        <v>2.1089942317458633E-2</v>
      </c>
      <c r="L71" s="51">
        <f t="shared" si="42"/>
        <v>2.1035919134875746E-2</v>
      </c>
      <c r="M71" s="51">
        <f t="shared" si="43"/>
        <v>5.4023182582886575E-5</v>
      </c>
      <c r="N71" s="50">
        <f t="shared" si="44"/>
        <v>2.7011591291443288E-5</v>
      </c>
    </row>
    <row r="72" spans="1:16">
      <c r="A72" s="48">
        <v>600</v>
      </c>
      <c r="B72">
        <v>10295.075000000001</v>
      </c>
      <c r="C72">
        <v>464.577</v>
      </c>
      <c r="D72" s="26">
        <f t="shared" si="36"/>
        <v>4.3177697568657428E-2</v>
      </c>
      <c r="E72">
        <v>12181.852999999999</v>
      </c>
      <c r="F72">
        <v>424.33499999999998</v>
      </c>
      <c r="G72" s="26">
        <f t="shared" si="37"/>
        <v>3.3660849735066625E-2</v>
      </c>
      <c r="H72" s="49">
        <f t="shared" si="38"/>
        <v>3.8419273651862026E-2</v>
      </c>
      <c r="I72" s="49">
        <f t="shared" si="39"/>
        <v>6.7294276386525489E-3</v>
      </c>
      <c r="J72" s="49">
        <f t="shared" si="40"/>
        <v>4.7584239167953925E-3</v>
      </c>
      <c r="K72" s="51">
        <f t="shared" si="41"/>
        <v>4.3177697568657428E-2</v>
      </c>
      <c r="L72" s="51">
        <f t="shared" si="42"/>
        <v>3.3660849735066625E-2</v>
      </c>
      <c r="M72" s="51">
        <f t="shared" si="43"/>
        <v>9.5168478335908024E-3</v>
      </c>
      <c r="N72" s="50">
        <f t="shared" si="44"/>
        <v>4.7584239167954012E-3</v>
      </c>
    </row>
    <row r="73" spans="1:16">
      <c r="A73" s="48">
        <v>1200</v>
      </c>
      <c r="B73">
        <v>9087.125</v>
      </c>
      <c r="C73">
        <v>855.59799999999996</v>
      </c>
      <c r="D73" s="26">
        <f t="shared" si="36"/>
        <v>8.605268395790569E-2</v>
      </c>
      <c r="E73">
        <v>11326.368</v>
      </c>
      <c r="F73">
        <v>891.59799999999996</v>
      </c>
      <c r="G73" s="26">
        <f t="shared" si="37"/>
        <v>7.2974339591385343E-2</v>
      </c>
      <c r="H73" s="49">
        <f t="shared" si="38"/>
        <v>7.9513511774645523E-2</v>
      </c>
      <c r="I73" s="49">
        <f t="shared" si="39"/>
        <v>9.2477859882594202E-3</v>
      </c>
      <c r="J73" s="49">
        <f t="shared" si="40"/>
        <v>6.5391721832601737E-3</v>
      </c>
      <c r="K73" s="51">
        <f t="shared" si="41"/>
        <v>8.605268395790569E-2</v>
      </c>
      <c r="L73" s="51">
        <f t="shared" si="42"/>
        <v>7.2974339591385343E-2</v>
      </c>
      <c r="M73" s="51">
        <f t="shared" si="43"/>
        <v>1.3078344366520347E-2</v>
      </c>
      <c r="N73" s="50">
        <f t="shared" si="44"/>
        <v>6.5391721832601737E-3</v>
      </c>
    </row>
    <row r="74" spans="1:16">
      <c r="A74" s="48">
        <v>1800</v>
      </c>
      <c r="B74">
        <v>7700.4679999999998</v>
      </c>
      <c r="C74">
        <v>1779.912</v>
      </c>
      <c r="D74" s="26">
        <f t="shared" si="36"/>
        <v>0.18774690465993982</v>
      </c>
      <c r="E74">
        <v>9514.8320000000003</v>
      </c>
      <c r="F74">
        <v>1789.2049999999999</v>
      </c>
      <c r="G74" s="26">
        <f t="shared" si="37"/>
        <v>0.15828017901923003</v>
      </c>
      <c r="H74" s="49">
        <f t="shared" si="38"/>
        <v>0.17301354183958492</v>
      </c>
      <c r="I74" s="49">
        <f t="shared" si="39"/>
        <v>2.0836121519909406E-2</v>
      </c>
      <c r="J74" s="49">
        <f t="shared" si="40"/>
        <v>1.4733362820354893E-2</v>
      </c>
      <c r="K74" s="51">
        <f t="shared" si="41"/>
        <v>0.18774690465993982</v>
      </c>
      <c r="L74" s="51">
        <f t="shared" si="42"/>
        <v>0.15828017901923003</v>
      </c>
      <c r="M74" s="51">
        <f t="shared" si="43"/>
        <v>2.946672564070979E-2</v>
      </c>
      <c r="N74" s="50">
        <f t="shared" si="44"/>
        <v>1.4733362820354895E-2</v>
      </c>
    </row>
    <row r="75" spans="1:16">
      <c r="A75" s="48">
        <v>2700</v>
      </c>
      <c r="B75">
        <v>7648.1750000000002</v>
      </c>
      <c r="C75">
        <v>2712.569</v>
      </c>
      <c r="D75" s="26">
        <f t="shared" si="36"/>
        <v>0.26181218260001404</v>
      </c>
      <c r="E75">
        <v>9207.7109999999993</v>
      </c>
      <c r="F75">
        <v>2580.3969999999999</v>
      </c>
      <c r="G75" s="26">
        <f t="shared" si="37"/>
        <v>0.21889831684609606</v>
      </c>
      <c r="H75" s="49">
        <f t="shared" si="38"/>
        <v>0.24035524972305505</v>
      </c>
      <c r="I75" s="49">
        <f t="shared" si="39"/>
        <v>3.0344685481524556E-2</v>
      </c>
      <c r="J75" s="49">
        <f t="shared" si="40"/>
        <v>2.145693287695899E-2</v>
      </c>
      <c r="K75" s="51">
        <f t="shared" si="41"/>
        <v>0.26181218260001404</v>
      </c>
      <c r="L75" s="51">
        <f t="shared" si="42"/>
        <v>0.21889831684609606</v>
      </c>
      <c r="M75" s="51">
        <f t="shared" si="43"/>
        <v>4.2913865753917979E-2</v>
      </c>
      <c r="N75" s="50">
        <f t="shared" si="44"/>
        <v>2.145693287695899E-2</v>
      </c>
    </row>
    <row r="76" spans="1:16">
      <c r="A76" s="48">
        <v>3600</v>
      </c>
      <c r="B76">
        <v>6220.933</v>
      </c>
      <c r="C76">
        <v>3288.9830000000002</v>
      </c>
      <c r="D76" s="26">
        <f t="shared" si="36"/>
        <v>0.34584774460678724</v>
      </c>
      <c r="E76">
        <v>8012.1750000000002</v>
      </c>
      <c r="F76">
        <v>3310.8110000000001</v>
      </c>
      <c r="G76" s="26">
        <f t="shared" si="37"/>
        <v>0.29239734112538868</v>
      </c>
      <c r="H76" s="49">
        <f t="shared" si="38"/>
        <v>0.31912254286608799</v>
      </c>
      <c r="I76" s="49">
        <f t="shared" si="39"/>
        <v>3.7795142758853977E-2</v>
      </c>
      <c r="J76" s="49">
        <f t="shared" si="40"/>
        <v>2.6725201740699284E-2</v>
      </c>
      <c r="K76" s="51">
        <f t="shared" si="41"/>
        <v>0.34584774460678724</v>
      </c>
      <c r="L76" s="51">
        <f t="shared" si="42"/>
        <v>0.29239734112538868</v>
      </c>
      <c r="M76" s="51">
        <f t="shared" si="43"/>
        <v>5.3450403481398567E-2</v>
      </c>
      <c r="N76" s="50">
        <f t="shared" si="44"/>
        <v>2.6725201740699284E-2</v>
      </c>
    </row>
    <row r="77" spans="1:16">
      <c r="A77" s="48">
        <v>5400</v>
      </c>
      <c r="B77">
        <v>5524.3969999999999</v>
      </c>
      <c r="C77">
        <v>4344.1040000000003</v>
      </c>
      <c r="D77" s="26">
        <f t="shared" si="36"/>
        <v>0.44019897246805773</v>
      </c>
      <c r="E77">
        <v>6361.2250000000004</v>
      </c>
      <c r="F77">
        <v>4278.3469999999998</v>
      </c>
      <c r="G77" s="26">
        <f t="shared" si="37"/>
        <v>0.40211645731614015</v>
      </c>
      <c r="H77" s="49">
        <f t="shared" si="38"/>
        <v>0.42115771489209897</v>
      </c>
      <c r="I77" s="49">
        <f t="shared" si="39"/>
        <v>2.6928404708560363E-2</v>
      </c>
      <c r="J77" s="49">
        <f t="shared" si="40"/>
        <v>1.9041257575958787E-2</v>
      </c>
      <c r="K77" s="51">
        <f t="shared" si="41"/>
        <v>0.44019897246805773</v>
      </c>
      <c r="L77" s="51">
        <f t="shared" si="42"/>
        <v>0.40211645731614015</v>
      </c>
      <c r="M77" s="51">
        <f t="shared" si="43"/>
        <v>3.8082515151917573E-2</v>
      </c>
      <c r="N77" s="50">
        <f t="shared" si="44"/>
        <v>1.9041257575958787E-2</v>
      </c>
    </row>
    <row r="78" spans="1:16">
      <c r="A78" s="48">
        <v>7200</v>
      </c>
      <c r="B78">
        <v>5481.3969999999999</v>
      </c>
      <c r="C78">
        <v>5377.2759999999998</v>
      </c>
      <c r="D78" s="26">
        <f t="shared" si="36"/>
        <v>0.49520562963817039</v>
      </c>
      <c r="E78">
        <v>5255.518</v>
      </c>
      <c r="F78">
        <v>4884.7610000000004</v>
      </c>
      <c r="G78" s="26">
        <f t="shared" si="37"/>
        <v>0.4817185996558872</v>
      </c>
      <c r="H78" s="49">
        <f t="shared" si="38"/>
        <v>0.48846211464702882</v>
      </c>
      <c r="I78" s="49">
        <f t="shared" si="39"/>
        <v>9.5367703585387195E-3</v>
      </c>
      <c r="J78" s="49">
        <f t="shared" si="40"/>
        <v>6.7435149911415906E-3</v>
      </c>
      <c r="K78" s="51">
        <f t="shared" si="41"/>
        <v>0.49520562963817039</v>
      </c>
      <c r="L78" s="51">
        <f t="shared" si="42"/>
        <v>0.4817185996558872</v>
      </c>
      <c r="M78" s="51">
        <f t="shared" si="43"/>
        <v>1.3487029982283183E-2</v>
      </c>
      <c r="N78" s="50">
        <f t="shared" si="44"/>
        <v>6.7435149911415915E-3</v>
      </c>
    </row>
    <row r="79" spans="1:16">
      <c r="A79" s="48">
        <v>10800</v>
      </c>
      <c r="B79">
        <v>4266.9830000000002</v>
      </c>
      <c r="C79">
        <v>5204.9830000000002</v>
      </c>
      <c r="D79" s="26">
        <f t="shared" si="36"/>
        <v>0.54951453584187271</v>
      </c>
      <c r="E79">
        <v>4544.5690000000004</v>
      </c>
      <c r="F79">
        <v>5273.8819999999996</v>
      </c>
      <c r="G79" s="26">
        <f t="shared" si="37"/>
        <v>0.53713992156196522</v>
      </c>
      <c r="H79" s="49">
        <f t="shared" si="38"/>
        <v>0.54332722870191896</v>
      </c>
      <c r="I79" s="49">
        <f t="shared" si="39"/>
        <v>8.7501736718904738E-3</v>
      </c>
      <c r="J79" s="49">
        <f t="shared" si="40"/>
        <v>6.187307139953746E-3</v>
      </c>
      <c r="K79" s="51">
        <f t="shared" si="41"/>
        <v>0.54951453584187271</v>
      </c>
      <c r="L79" s="51">
        <f t="shared" si="42"/>
        <v>0.53713992156196522</v>
      </c>
      <c r="M79" s="51">
        <f t="shared" si="43"/>
        <v>1.2374614279907492E-2</v>
      </c>
      <c r="N79" s="50">
        <f>M79/2</f>
        <v>6.187307139953746E-3</v>
      </c>
    </row>
    <row r="81" spans="1: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</row>
    <row r="82" spans="1:25">
      <c r="A82" s="20" t="s">
        <v>152</v>
      </c>
    </row>
    <row r="86" spans="1:25">
      <c r="H86" t="s">
        <v>153</v>
      </c>
    </row>
    <row r="89" spans="1:25">
      <c r="H89" s="31" t="s">
        <v>2</v>
      </c>
      <c r="I89" t="s">
        <v>3</v>
      </c>
      <c r="J89" t="s">
        <v>4</v>
      </c>
    </row>
    <row r="90" spans="1:25">
      <c r="H90" s="31" t="s">
        <v>2</v>
      </c>
      <c r="I90" t="s">
        <v>5</v>
      </c>
      <c r="J90" t="s">
        <v>12</v>
      </c>
    </row>
    <row r="91" spans="1:25">
      <c r="I91" t="s">
        <v>7</v>
      </c>
      <c r="J91" t="s">
        <v>4</v>
      </c>
    </row>
    <row r="92" spans="1:25">
      <c r="I92" t="s">
        <v>9</v>
      </c>
      <c r="J92" t="s">
        <v>12</v>
      </c>
    </row>
    <row r="93" spans="1:25">
      <c r="I93" t="s">
        <v>11</v>
      </c>
      <c r="J93" t="s">
        <v>4</v>
      </c>
    </row>
    <row r="94" spans="1:25">
      <c r="I94" t="s">
        <v>32</v>
      </c>
      <c r="J94" t="s">
        <v>12</v>
      </c>
    </row>
    <row r="110" spans="8:10">
      <c r="H110" t="s">
        <v>154</v>
      </c>
    </row>
    <row r="112" spans="8:10">
      <c r="H112" s="31" t="s">
        <v>2</v>
      </c>
      <c r="I112" t="s">
        <v>3</v>
      </c>
      <c r="J112" t="s">
        <v>4</v>
      </c>
    </row>
    <row r="113" spans="1:21">
      <c r="H113" s="31" t="s">
        <v>2</v>
      </c>
      <c r="I113" t="s">
        <v>5</v>
      </c>
      <c r="J113" t="s">
        <v>12</v>
      </c>
    </row>
    <row r="114" spans="1:21">
      <c r="I114" t="s">
        <v>7</v>
      </c>
      <c r="J114" t="s">
        <v>4</v>
      </c>
    </row>
    <row r="115" spans="1:21">
      <c r="I115" t="s">
        <v>9</v>
      </c>
      <c r="J115" t="s">
        <v>12</v>
      </c>
    </row>
    <row r="128" spans="1:2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</row>
    <row r="129" spans="1:10">
      <c r="A129" s="20" t="s">
        <v>155</v>
      </c>
    </row>
    <row r="132" spans="1:10">
      <c r="H132" t="s">
        <v>156</v>
      </c>
    </row>
    <row r="134" spans="1:10">
      <c r="H134" s="31" t="s">
        <v>2</v>
      </c>
      <c r="I134" t="s">
        <v>3</v>
      </c>
      <c r="J134" t="s">
        <v>4</v>
      </c>
    </row>
    <row r="135" spans="1:10">
      <c r="H135" s="31" t="s">
        <v>2</v>
      </c>
      <c r="I135" t="s">
        <v>5</v>
      </c>
      <c r="J135" t="s">
        <v>12</v>
      </c>
    </row>
    <row r="136" spans="1:10">
      <c r="I136" t="s">
        <v>7</v>
      </c>
      <c r="J136" t="s">
        <v>4</v>
      </c>
    </row>
    <row r="137" spans="1:10">
      <c r="I137" t="s">
        <v>9</v>
      </c>
      <c r="J137" t="s">
        <v>12</v>
      </c>
    </row>
    <row r="152" spans="8:10">
      <c r="H152" t="s">
        <v>156</v>
      </c>
    </row>
    <row r="154" spans="8:10">
      <c r="H154" s="31" t="s">
        <v>2</v>
      </c>
      <c r="I154" t="s">
        <v>3</v>
      </c>
      <c r="J154" t="s">
        <v>4</v>
      </c>
    </row>
    <row r="155" spans="8:10">
      <c r="H155" s="31" t="s">
        <v>2</v>
      </c>
      <c r="I155" t="s">
        <v>5</v>
      </c>
      <c r="J155" t="s">
        <v>12</v>
      </c>
    </row>
    <row r="156" spans="8:10">
      <c r="I156" t="s">
        <v>7</v>
      </c>
      <c r="J156" t="s">
        <v>4</v>
      </c>
    </row>
    <row r="157" spans="8:10">
      <c r="I157" t="s">
        <v>9</v>
      </c>
      <c r="J157" t="s">
        <v>12</v>
      </c>
    </row>
  </sheetData>
  <mergeCells count="15">
    <mergeCell ref="B67:D67"/>
    <mergeCell ref="E67:G67"/>
    <mergeCell ref="N67:P67"/>
    <mergeCell ref="B7:D7"/>
    <mergeCell ref="E7:G7"/>
    <mergeCell ref="N7:P7"/>
    <mergeCell ref="B22:D22"/>
    <mergeCell ref="E22:G22"/>
    <mergeCell ref="N22:P22"/>
    <mergeCell ref="B37:D37"/>
    <mergeCell ref="E37:G37"/>
    <mergeCell ref="N37:P37"/>
    <mergeCell ref="B52:D52"/>
    <mergeCell ref="E52:G52"/>
    <mergeCell ref="N52:P52"/>
  </mergeCells>
  <phoneticPr fontId="1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9CF6A-EE3D-D44C-AECB-9231BA78CB22}">
  <dimension ref="A1:X75"/>
  <sheetViews>
    <sheetView zoomScaleNormal="100" workbookViewId="0">
      <selection activeCell="G22" sqref="G22"/>
    </sheetView>
  </sheetViews>
  <sheetFormatPr defaultColWidth="11" defaultRowHeight="15.75"/>
  <cols>
    <col min="7" max="7" width="12.125" bestFit="1" customWidth="1"/>
    <col min="21" max="24" width="26.125" customWidth="1"/>
  </cols>
  <sheetData>
    <row r="1" spans="1:24">
      <c r="A1" s="20" t="s">
        <v>157</v>
      </c>
    </row>
    <row r="2" spans="1:24">
      <c r="A2" s="82" t="s">
        <v>158</v>
      </c>
    </row>
    <row r="4" spans="1:24">
      <c r="A4" s="76" t="s">
        <v>159</v>
      </c>
      <c r="B4" s="76"/>
    </row>
    <row r="5" spans="1:24">
      <c r="U5" s="31" t="s">
        <v>160</v>
      </c>
      <c r="V5" s="31" t="s">
        <v>160</v>
      </c>
      <c r="W5" s="31" t="s">
        <v>160</v>
      </c>
      <c r="X5" s="31" t="s">
        <v>160</v>
      </c>
    </row>
    <row r="6" spans="1:24">
      <c r="A6" s="20" t="s">
        <v>161</v>
      </c>
      <c r="B6" t="s">
        <v>162</v>
      </c>
      <c r="C6" t="s">
        <v>163</v>
      </c>
      <c r="D6" t="s">
        <v>164</v>
      </c>
      <c r="E6" t="s">
        <v>165</v>
      </c>
      <c r="F6" s="77" t="s">
        <v>89</v>
      </c>
      <c r="G6" s="76" t="s">
        <v>166</v>
      </c>
      <c r="H6" s="76" t="s">
        <v>121</v>
      </c>
      <c r="I6" t="s">
        <v>167</v>
      </c>
      <c r="J6" t="s">
        <v>168</v>
      </c>
      <c r="K6" t="s">
        <v>169</v>
      </c>
      <c r="L6" t="s">
        <v>170</v>
      </c>
      <c r="M6" t="s">
        <v>171</v>
      </c>
      <c r="N6" t="s">
        <v>172</v>
      </c>
      <c r="O6" t="s">
        <v>173</v>
      </c>
      <c r="P6" s="77" t="s">
        <v>89</v>
      </c>
      <c r="Q6" s="76" t="s">
        <v>166</v>
      </c>
      <c r="R6" s="76" t="s">
        <v>121</v>
      </c>
      <c r="U6" s="2" t="s">
        <v>174</v>
      </c>
      <c r="V6" s="2" t="s">
        <v>175</v>
      </c>
      <c r="W6" s="2" t="s">
        <v>176</v>
      </c>
      <c r="X6" s="2" t="s">
        <v>177</v>
      </c>
    </row>
    <row r="7" spans="1:24">
      <c r="A7" t="s">
        <v>178</v>
      </c>
      <c r="B7">
        <v>0.95962011800000002</v>
      </c>
      <c r="C7">
        <v>0.95845914499999996</v>
      </c>
      <c r="D7">
        <v>0.965097439</v>
      </c>
      <c r="E7">
        <v>0.95698984099999995</v>
      </c>
      <c r="F7" s="76">
        <f>AVERAGE(B7:E7)</f>
        <v>0.96004163575000001</v>
      </c>
      <c r="G7" s="76">
        <f>STDEV(B7:E7)/SQRT(4)</f>
        <v>1.7690993915511356E-3</v>
      </c>
      <c r="H7" s="76">
        <f>MAX(B7:E7)-MIN(B7:E7)</f>
        <v>8.1075980000000492E-3</v>
      </c>
      <c r="I7">
        <v>0.8712828575254421</v>
      </c>
      <c r="J7">
        <v>0.83477071043832796</v>
      </c>
      <c r="K7">
        <v>0.87126780390057379</v>
      </c>
      <c r="L7">
        <v>0.88340263716012701</v>
      </c>
      <c r="M7">
        <v>0.86472306400566601</v>
      </c>
      <c r="N7">
        <v>0.70348363074760911</v>
      </c>
      <c r="O7">
        <v>0.8352296245732922</v>
      </c>
      <c r="P7" s="76">
        <f>AVERAGE(I7:O7)</f>
        <v>0.83773718976443412</v>
      </c>
      <c r="Q7" s="76">
        <f>STDEV(I7:O7)/SQRT(7)</f>
        <v>2.3453241422717361E-2</v>
      </c>
      <c r="R7" s="76">
        <f>MAX(I7:O7)-MIN(I7:O7)</f>
        <v>0.1799190064125179</v>
      </c>
      <c r="T7" t="s">
        <v>178</v>
      </c>
      <c r="U7" s="27">
        <f>F7*100</f>
        <v>96.004163575000007</v>
      </c>
      <c r="V7" s="27">
        <f>P7*100</f>
        <v>83.773718976443405</v>
      </c>
      <c r="W7" s="27">
        <f>H7*100</f>
        <v>0.81075980000000492</v>
      </c>
      <c r="X7" s="27">
        <f>R7*100</f>
        <v>17.991900641251789</v>
      </c>
    </row>
    <row r="8" spans="1:24">
      <c r="A8" t="s">
        <v>179</v>
      </c>
      <c r="B8" s="25">
        <v>0.54349351106537358</v>
      </c>
      <c r="C8" s="25">
        <v>0.54341709345702727</v>
      </c>
      <c r="D8" s="25"/>
      <c r="E8" s="25"/>
      <c r="F8" s="78">
        <f>AVERAGE(B8:C8)</f>
        <v>0.54345530226120042</v>
      </c>
      <c r="G8" s="78">
        <f>STDEV(B8:C8)/SQRT(2)</f>
        <v>3.820880417315653E-5</v>
      </c>
      <c r="H8" s="78">
        <f>MAX(B8:C8)-MIN(B8:C8)</f>
        <v>7.641760834631306E-5</v>
      </c>
      <c r="I8" s="25">
        <v>0.25865809395045197</v>
      </c>
      <c r="J8" s="25">
        <v>0.33214012482490568</v>
      </c>
      <c r="K8" s="25"/>
      <c r="L8" s="25"/>
      <c r="M8" s="25"/>
      <c r="N8" s="25"/>
      <c r="O8" s="25"/>
      <c r="P8" s="78">
        <f>AVERAGE(I8:J8)</f>
        <v>0.29539910938767883</v>
      </c>
      <c r="Q8" s="78">
        <f>STDEV(I8:J8)/SQRT(2)</f>
        <v>3.6741015437226965E-2</v>
      </c>
      <c r="R8" s="78">
        <f>MAX(I8:J8)-MIN(I8:J8)</f>
        <v>7.3482030874453708E-2</v>
      </c>
      <c r="T8" t="s">
        <v>179</v>
      </c>
      <c r="U8" s="27">
        <f>F8*100</f>
        <v>54.34553022612004</v>
      </c>
      <c r="V8" s="27">
        <f>P8*100</f>
        <v>29.539910938767882</v>
      </c>
      <c r="W8" s="27">
        <f>H8*100</f>
        <v>7.641760834631306E-3</v>
      </c>
      <c r="X8" s="27">
        <f>R8*100</f>
        <v>7.3482030874453708</v>
      </c>
    </row>
    <row r="9" spans="1:24">
      <c r="A9" t="s">
        <v>180</v>
      </c>
      <c r="B9" s="25">
        <v>0.74510130947538722</v>
      </c>
      <c r="C9" s="25">
        <v>0.75389862302588329</v>
      </c>
      <c r="D9" s="25"/>
      <c r="E9" s="25"/>
      <c r="F9" s="78">
        <f>AVERAGE(B9:C9)</f>
        <v>0.7494999662506352</v>
      </c>
      <c r="G9" s="78">
        <f>STDEV(B9:C9)/SQRT(2)</f>
        <v>4.3986567752480332E-3</v>
      </c>
      <c r="H9" s="78">
        <f>MAX(B9:C9)-MIN(B9:C9)</f>
        <v>8.7973135504960664E-3</v>
      </c>
      <c r="I9" s="25">
        <v>0.28351725552136103</v>
      </c>
      <c r="J9" s="25">
        <v>0.28351725552136103</v>
      </c>
      <c r="K9" s="25"/>
      <c r="L9" s="25"/>
      <c r="M9" s="25"/>
      <c r="N9" s="25"/>
      <c r="O9" s="25"/>
      <c r="P9" s="78">
        <f>AVERAGE(I9:J9)</f>
        <v>0.28351725552136103</v>
      </c>
      <c r="Q9" s="78">
        <f>STDEV(I9:J9)/SQRT(2)</f>
        <v>0</v>
      </c>
      <c r="R9" s="78">
        <f>MAX(I9:J9)-MIN(I9:J9)</f>
        <v>0</v>
      </c>
      <c r="T9" t="s">
        <v>180</v>
      </c>
      <c r="U9" s="27">
        <f>F9*100</f>
        <v>74.94999662506352</v>
      </c>
      <c r="V9" s="27">
        <f>P9*100</f>
        <v>28.351725552136102</v>
      </c>
      <c r="W9" s="27">
        <f>H9*100</f>
        <v>0.87973135504960664</v>
      </c>
      <c r="X9" s="27">
        <f>R9*100</f>
        <v>0</v>
      </c>
    </row>
    <row r="14" spans="1:24">
      <c r="A14" s="76" t="s">
        <v>181</v>
      </c>
      <c r="B14" s="76"/>
    </row>
    <row r="15" spans="1:24">
      <c r="U15" s="31" t="s">
        <v>160</v>
      </c>
      <c r="V15" s="31" t="s">
        <v>160</v>
      </c>
      <c r="W15" s="31" t="s">
        <v>160</v>
      </c>
      <c r="X15" s="31" t="s">
        <v>160</v>
      </c>
    </row>
    <row r="16" spans="1:24">
      <c r="A16" s="20" t="s">
        <v>161</v>
      </c>
      <c r="B16" t="s">
        <v>162</v>
      </c>
      <c r="C16" t="s">
        <v>163</v>
      </c>
      <c r="E16" t="s">
        <v>165</v>
      </c>
      <c r="F16" s="77" t="s">
        <v>89</v>
      </c>
      <c r="G16" s="76" t="s">
        <v>166</v>
      </c>
      <c r="H16" s="76" t="s">
        <v>121</v>
      </c>
      <c r="I16" t="s">
        <v>167</v>
      </c>
      <c r="J16" t="s">
        <v>168</v>
      </c>
      <c r="P16" s="77" t="s">
        <v>89</v>
      </c>
      <c r="Q16" s="76" t="s">
        <v>166</v>
      </c>
      <c r="R16" s="76" t="s">
        <v>121</v>
      </c>
      <c r="U16" s="2" t="s">
        <v>182</v>
      </c>
      <c r="V16" s="2" t="s">
        <v>183</v>
      </c>
      <c r="W16" s="2" t="s">
        <v>176</v>
      </c>
      <c r="X16" s="2" t="s">
        <v>177</v>
      </c>
    </row>
    <row r="17" spans="1:24">
      <c r="A17" t="s">
        <v>178</v>
      </c>
      <c r="B17">
        <v>1</v>
      </c>
      <c r="C17">
        <v>1</v>
      </c>
      <c r="F17" s="78">
        <f>AVERAGE(B17:C17)</f>
        <v>1</v>
      </c>
      <c r="G17" s="78">
        <f>STDEV(B17:C17)/SQRT(2)</f>
        <v>0</v>
      </c>
      <c r="H17" s="78">
        <f>MAX(B17:C17)-MIN(B17:C17)</f>
        <v>0</v>
      </c>
      <c r="I17">
        <v>0.91800000000000004</v>
      </c>
      <c r="J17">
        <v>0.94599999999999995</v>
      </c>
      <c r="P17" s="78">
        <f>AVERAGE(I17:J17)</f>
        <v>0.93199999999999994</v>
      </c>
      <c r="Q17" s="78">
        <f>STDEV(I17:J17)/SQRT(2)</f>
        <v>1.3999999999999957E-2</v>
      </c>
      <c r="R17" s="78">
        <f>MAX(I17:J17)-MIN(I17:J17)</f>
        <v>2.7999999999999914E-2</v>
      </c>
      <c r="T17" t="s">
        <v>178</v>
      </c>
      <c r="U17" s="27">
        <f>F17*100</f>
        <v>100</v>
      </c>
      <c r="V17" s="27">
        <f>P17*100</f>
        <v>93.199999999999989</v>
      </c>
      <c r="W17" s="27">
        <f>H17*100</f>
        <v>0</v>
      </c>
      <c r="X17" s="27">
        <f>R17*100</f>
        <v>2.7999999999999914</v>
      </c>
    </row>
    <row r="18" spans="1:24">
      <c r="A18" t="s">
        <v>179</v>
      </c>
      <c r="B18" s="25">
        <v>0.80680832884911025</v>
      </c>
      <c r="C18" s="25">
        <v>0.6004317756203903</v>
      </c>
      <c r="D18" s="25"/>
      <c r="E18" s="25"/>
      <c r="F18" s="78">
        <f>AVERAGE(B18:C18)</f>
        <v>0.70362005223475022</v>
      </c>
      <c r="G18" s="78">
        <f>STDEV(B18:C18)/SQRT(2)</f>
        <v>0.10318827661435993</v>
      </c>
      <c r="H18" s="78">
        <f>MAX(B18:C18)-MIN(B18:C18)</f>
        <v>0.20637655322871995</v>
      </c>
      <c r="I18" s="25">
        <v>0.66809093720388968</v>
      </c>
      <c r="J18" s="25">
        <v>0.80685571716365156</v>
      </c>
      <c r="K18" s="25"/>
      <c r="L18" s="25"/>
      <c r="M18" s="25"/>
      <c r="N18" s="25"/>
      <c r="O18" s="25"/>
      <c r="P18" s="78">
        <f>AVERAGE(I18:J18)</f>
        <v>0.73747332718377057</v>
      </c>
      <c r="Q18" s="78">
        <f>STDEV(I18:J18)/SQRT(2)</f>
        <v>6.9382389979880943E-2</v>
      </c>
      <c r="R18" s="78">
        <f>MAX(I18:J18)-MIN(I18:J18)</f>
        <v>0.13876477995976189</v>
      </c>
      <c r="T18" t="s">
        <v>179</v>
      </c>
      <c r="U18" s="27">
        <f>F18*100</f>
        <v>70.362005223475023</v>
      </c>
      <c r="V18" s="27">
        <f>P18*100</f>
        <v>73.747332718377052</v>
      </c>
      <c r="W18" s="27">
        <f>H18*100</f>
        <v>20.637655322871996</v>
      </c>
      <c r="X18" s="27">
        <f>R18*100</f>
        <v>13.876477995976188</v>
      </c>
    </row>
    <row r="19" spans="1:24">
      <c r="A19" t="s">
        <v>180</v>
      </c>
      <c r="B19" s="25">
        <v>0.93449447509740169</v>
      </c>
      <c r="C19" s="25">
        <v>0.86574435131864091</v>
      </c>
      <c r="D19" s="25"/>
      <c r="E19" s="25"/>
      <c r="F19" s="78">
        <f>AVERAGE(B19:C19)</f>
        <v>0.90011941320802125</v>
      </c>
      <c r="G19" s="78">
        <f>STDEV(B19:C19)/SQRT(2)</f>
        <v>3.4375061889380387E-2</v>
      </c>
      <c r="H19" s="78">
        <f>MAX(B19:C19)-MIN(B19:C19)</f>
        <v>6.8750123778760774E-2</v>
      </c>
      <c r="I19" s="25">
        <v>0.78811600939873938</v>
      </c>
      <c r="J19" s="25">
        <v>0.78236219255622763</v>
      </c>
      <c r="K19" s="25"/>
      <c r="L19" s="25"/>
      <c r="M19" s="25"/>
      <c r="N19" s="25"/>
      <c r="O19" s="25"/>
      <c r="P19" s="78">
        <f>AVERAGE(I19:J19)</f>
        <v>0.78523910097748351</v>
      </c>
      <c r="Q19" s="78">
        <f>STDEV(I19:J19)/SQRT(2)</f>
        <v>2.8769084212558749E-3</v>
      </c>
      <c r="R19" s="78">
        <f>MAX(I19:J19)-MIN(I19:J19)</f>
        <v>5.7538168425117497E-3</v>
      </c>
      <c r="T19" t="s">
        <v>180</v>
      </c>
      <c r="U19" s="27">
        <f>F19*100</f>
        <v>90.011941320802123</v>
      </c>
      <c r="V19" s="27">
        <f>P19*100</f>
        <v>78.523910097748356</v>
      </c>
      <c r="W19" s="27">
        <f>H19*100</f>
        <v>6.875012377876077</v>
      </c>
      <c r="X19" s="27">
        <f>R19*100</f>
        <v>0.57538168425117497</v>
      </c>
    </row>
    <row r="20" spans="1:24">
      <c r="B20" s="25"/>
      <c r="C20" s="25"/>
      <c r="D20" s="25"/>
      <c r="E20" s="25"/>
      <c r="F20" s="78"/>
      <c r="G20" s="78"/>
      <c r="H20" s="78"/>
      <c r="I20" s="25"/>
      <c r="J20" s="25"/>
      <c r="K20" s="25"/>
      <c r="L20" s="25"/>
      <c r="M20" s="25"/>
      <c r="N20" s="25"/>
      <c r="O20" s="25"/>
      <c r="P20" s="78"/>
      <c r="Q20" s="78"/>
      <c r="R20" s="78"/>
      <c r="U20" s="27"/>
      <c r="V20" s="27"/>
      <c r="W20" s="27"/>
      <c r="X20" s="27"/>
    </row>
    <row r="26" spans="1:24">
      <c r="H26" s="81" t="s">
        <v>184</v>
      </c>
      <c r="I26" s="81" t="s">
        <v>185</v>
      </c>
    </row>
    <row r="27" spans="1:24">
      <c r="H27" s="81" t="s">
        <v>186</v>
      </c>
      <c r="I27" s="81" t="s">
        <v>17</v>
      </c>
    </row>
    <row r="28" spans="1:24">
      <c r="H28" s="81">
        <v>1</v>
      </c>
      <c r="I28" s="81" t="s">
        <v>187</v>
      </c>
    </row>
    <row r="29" spans="1:24">
      <c r="H29" s="81">
        <v>2</v>
      </c>
      <c r="I29" s="81" t="s">
        <v>188</v>
      </c>
    </row>
    <row r="30" spans="1:24">
      <c r="H30" s="81">
        <v>3</v>
      </c>
      <c r="I30" s="81" t="s">
        <v>189</v>
      </c>
    </row>
    <row r="31" spans="1:24">
      <c r="H31" s="81">
        <v>4</v>
      </c>
      <c r="I31" s="81" t="s">
        <v>190</v>
      </c>
    </row>
    <row r="32" spans="1:24">
      <c r="H32" s="81">
        <v>5</v>
      </c>
      <c r="I32" s="81" t="s">
        <v>191</v>
      </c>
    </row>
    <row r="33" spans="8:9">
      <c r="H33" s="81">
        <v>6</v>
      </c>
      <c r="I33" s="81" t="s">
        <v>192</v>
      </c>
    </row>
    <row r="34" spans="8:9">
      <c r="H34" s="81">
        <v>7</v>
      </c>
      <c r="I34" s="81" t="s">
        <v>193</v>
      </c>
    </row>
    <row r="35" spans="8:9">
      <c r="H35" s="81">
        <v>8</v>
      </c>
      <c r="I35" s="81" t="s">
        <v>194</v>
      </c>
    </row>
    <row r="36" spans="8:9">
      <c r="H36" s="81">
        <v>9</v>
      </c>
      <c r="I36" s="81" t="s">
        <v>195</v>
      </c>
    </row>
    <row r="37" spans="8:9">
      <c r="H37" s="81">
        <v>10</v>
      </c>
      <c r="I37" s="80"/>
    </row>
    <row r="38" spans="8:9">
      <c r="H38" s="81">
        <v>11</v>
      </c>
      <c r="I38" s="80"/>
    </row>
    <row r="39" spans="8:9">
      <c r="H39" s="81">
        <v>12</v>
      </c>
      <c r="I39" s="80"/>
    </row>
    <row r="40" spans="8:9">
      <c r="H40" s="81">
        <v>13</v>
      </c>
      <c r="I40" s="80"/>
    </row>
    <row r="43" spans="8:9">
      <c r="I43" s="81" t="s">
        <v>196</v>
      </c>
    </row>
    <row r="44" spans="8:9">
      <c r="H44" s="81" t="s">
        <v>186</v>
      </c>
      <c r="I44" s="81" t="s">
        <v>17</v>
      </c>
    </row>
    <row r="45" spans="8:9">
      <c r="H45" s="81">
        <v>1</v>
      </c>
      <c r="I45" s="81" t="s">
        <v>187</v>
      </c>
    </row>
    <row r="46" spans="8:9">
      <c r="H46" s="81">
        <v>2</v>
      </c>
      <c r="I46" s="81" t="s">
        <v>197</v>
      </c>
    </row>
    <row r="47" spans="8:9">
      <c r="H47" s="81">
        <v>3</v>
      </c>
      <c r="I47" s="81" t="s">
        <v>198</v>
      </c>
    </row>
    <row r="48" spans="8:9">
      <c r="H48" s="81">
        <v>4</v>
      </c>
      <c r="I48" s="81" t="s">
        <v>199</v>
      </c>
    </row>
    <row r="49" spans="8:9">
      <c r="H49" s="81">
        <v>5</v>
      </c>
      <c r="I49" s="81" t="s">
        <v>200</v>
      </c>
    </row>
    <row r="50" spans="8:9">
      <c r="H50" s="81">
        <v>6</v>
      </c>
      <c r="I50" s="81" t="s">
        <v>201</v>
      </c>
    </row>
    <row r="51" spans="8:9">
      <c r="H51" s="81">
        <v>7</v>
      </c>
      <c r="I51" s="81" t="s">
        <v>202</v>
      </c>
    </row>
    <row r="52" spans="8:9">
      <c r="H52" s="81">
        <v>8</v>
      </c>
      <c r="I52" s="81" t="s">
        <v>203</v>
      </c>
    </row>
    <row r="53" spans="8:9">
      <c r="H53" s="81">
        <v>9</v>
      </c>
      <c r="I53" s="81" t="s">
        <v>204</v>
      </c>
    </row>
    <row r="54" spans="8:9">
      <c r="H54" s="81">
        <v>10</v>
      </c>
      <c r="I54" s="80"/>
    </row>
    <row r="55" spans="8:9">
      <c r="H55" s="81">
        <v>11</v>
      </c>
      <c r="I55" s="80"/>
    </row>
    <row r="56" spans="8:9">
      <c r="H56" s="81">
        <v>12</v>
      </c>
      <c r="I56" s="80"/>
    </row>
    <row r="57" spans="8:9">
      <c r="H57" s="81">
        <v>13</v>
      </c>
      <c r="I57" s="80"/>
    </row>
    <row r="61" spans="8:9">
      <c r="H61" s="81" t="s">
        <v>186</v>
      </c>
      <c r="I61" s="81" t="s">
        <v>205</v>
      </c>
    </row>
    <row r="62" spans="8:9">
      <c r="H62" s="81">
        <v>1</v>
      </c>
      <c r="I62" s="81" t="s">
        <v>17</v>
      </c>
    </row>
    <row r="63" spans="8:9">
      <c r="H63" s="81">
        <v>2</v>
      </c>
      <c r="I63" s="81" t="s">
        <v>187</v>
      </c>
    </row>
    <row r="64" spans="8:9">
      <c r="H64" s="81">
        <v>3</v>
      </c>
      <c r="I64" s="81" t="s">
        <v>206</v>
      </c>
    </row>
    <row r="65" spans="8:9">
      <c r="H65" s="81">
        <v>4</v>
      </c>
      <c r="I65" s="81" t="s">
        <v>207</v>
      </c>
    </row>
    <row r="66" spans="8:9">
      <c r="H66" s="81">
        <v>5</v>
      </c>
      <c r="I66" s="81" t="s">
        <v>208</v>
      </c>
    </row>
    <row r="67" spans="8:9">
      <c r="H67" s="81">
        <v>6</v>
      </c>
      <c r="I67" s="81" t="s">
        <v>209</v>
      </c>
    </row>
    <row r="68" spans="8:9">
      <c r="H68" s="81">
        <v>7</v>
      </c>
      <c r="I68" s="81" t="s">
        <v>210</v>
      </c>
    </row>
    <row r="69" spans="8:9">
      <c r="H69" s="81">
        <v>8</v>
      </c>
      <c r="I69" s="81" t="s">
        <v>211</v>
      </c>
    </row>
    <row r="70" spans="8:9">
      <c r="H70" s="81">
        <v>9</v>
      </c>
      <c r="I70" s="81" t="s">
        <v>212</v>
      </c>
    </row>
    <row r="71" spans="8:9">
      <c r="H71" s="81">
        <v>10</v>
      </c>
      <c r="I71" s="81" t="s">
        <v>213</v>
      </c>
    </row>
    <row r="72" spans="8:9">
      <c r="H72" s="81">
        <v>11</v>
      </c>
      <c r="I72" s="80"/>
    </row>
    <row r="73" spans="8:9">
      <c r="H73" s="81">
        <v>12</v>
      </c>
      <c r="I73" s="80"/>
    </row>
    <row r="74" spans="8:9">
      <c r="H74" s="81">
        <v>13</v>
      </c>
      <c r="I74" s="80"/>
    </row>
    <row r="75" spans="8:9">
      <c r="I75" s="80"/>
    </row>
  </sheetData>
  <phoneticPr fontId="1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DCA1-FAB7-8E4F-B3A9-C1572B962553}">
  <dimension ref="A1:N58"/>
  <sheetViews>
    <sheetView topLeftCell="B77" workbookViewId="0">
      <selection activeCell="I9" sqref="I9"/>
    </sheetView>
  </sheetViews>
  <sheetFormatPr defaultColWidth="11" defaultRowHeight="15.75"/>
  <cols>
    <col min="2" max="2" width="12.125" bestFit="1" customWidth="1"/>
  </cols>
  <sheetData>
    <row r="1" spans="1:5">
      <c r="A1" t="s">
        <v>214</v>
      </c>
    </row>
    <row r="2" spans="1:5" ht="16.5" thickBot="1"/>
    <row r="3" spans="1:5" ht="16.5" thickBot="1">
      <c r="A3" s="15"/>
      <c r="B3" s="86" t="s">
        <v>215</v>
      </c>
      <c r="C3" s="87"/>
      <c r="D3" s="88"/>
    </row>
    <row r="4" spans="1:5" ht="16.5" thickBot="1">
      <c r="A4" s="16" t="s">
        <v>216</v>
      </c>
      <c r="B4" s="17" t="s">
        <v>178</v>
      </c>
      <c r="C4" s="18" t="s">
        <v>179</v>
      </c>
      <c r="D4" s="19" t="s">
        <v>180</v>
      </c>
    </row>
    <row r="5" spans="1:5">
      <c r="A5" s="4">
        <v>1</v>
      </c>
      <c r="B5" s="10">
        <v>6.8119999999999997E-4</v>
      </c>
      <c r="C5" s="11">
        <v>8.6540229102389371E-5</v>
      </c>
      <c r="D5" s="12">
        <v>1.6870188335124602E-4</v>
      </c>
    </row>
    <row r="6" spans="1:5">
      <c r="A6" s="4">
        <v>2</v>
      </c>
      <c r="B6" s="13">
        <v>7.3399999999999995E-4</v>
      </c>
      <c r="C6" s="5">
        <v>1.0929282862642053E-4</v>
      </c>
      <c r="D6" s="6">
        <v>2.0132265013249841E-4</v>
      </c>
    </row>
    <row r="7" spans="1:5">
      <c r="A7" s="4">
        <v>3</v>
      </c>
      <c r="B7" s="13">
        <v>6.9450000000000002E-4</v>
      </c>
      <c r="C7" s="5"/>
      <c r="D7" s="6"/>
    </row>
    <row r="8" spans="1:5" ht="16.5" thickBot="1">
      <c r="A8" s="7">
        <v>4</v>
      </c>
      <c r="B8" s="14">
        <v>7.3930000000000003E-4</v>
      </c>
      <c r="C8" s="8"/>
      <c r="D8" s="9"/>
    </row>
    <row r="11" spans="1:5">
      <c r="A11" t="s">
        <v>217</v>
      </c>
      <c r="B11" s="1">
        <f>AVERAGE(B5:B8)</f>
        <v>7.1224999999999999E-4</v>
      </c>
      <c r="C11" s="1">
        <f t="shared" ref="C11:D11" si="0">AVERAGE(C5:C8)</f>
        <v>9.7916528864404949E-5</v>
      </c>
      <c r="D11" s="1">
        <f t="shared" si="0"/>
        <v>1.8501226674187221E-4</v>
      </c>
      <c r="E11" s="31" t="s">
        <v>160</v>
      </c>
    </row>
    <row r="12" spans="1:5">
      <c r="A12" t="s">
        <v>218</v>
      </c>
      <c r="B12" s="1">
        <f>(MAX(B5:B8)-MIN(B5:B8))/2</f>
        <v>2.9050000000000028E-5</v>
      </c>
      <c r="C12" s="1">
        <f>(MAX(C5:C8)-MIN(C5:C8))/2</f>
        <v>1.1376299762015578E-5</v>
      </c>
      <c r="D12" s="1">
        <f t="shared" ref="D12" si="1">(MAX(D5:D8)-MIN(D5:D8))/2</f>
        <v>1.6310383390626197E-5</v>
      </c>
    </row>
    <row r="13" spans="1:5">
      <c r="A13" t="s">
        <v>219</v>
      </c>
      <c r="B13">
        <f>COUNT(B5:B8)</f>
        <v>4</v>
      </c>
      <c r="C13">
        <f t="shared" ref="C13:D13" si="2">COUNT(C5:C8)</f>
        <v>2</v>
      </c>
      <c r="D13">
        <f t="shared" si="2"/>
        <v>2</v>
      </c>
      <c r="E13" s="31" t="s">
        <v>160</v>
      </c>
    </row>
    <row r="14" spans="1:5">
      <c r="A14" t="s">
        <v>220</v>
      </c>
      <c r="B14">
        <f>STDEVA(B5:B8)</f>
        <v>2.8774583692325887E-5</v>
      </c>
      <c r="C14">
        <f t="shared" ref="C14:D14" si="3">STDEVA(C5:C8)</f>
        <v>1.6088517413064243E-5</v>
      </c>
      <c r="D14">
        <f t="shared" si="3"/>
        <v>2.3066365398528433E-5</v>
      </c>
    </row>
    <row r="15" spans="1:5">
      <c r="A15" t="s">
        <v>70</v>
      </c>
      <c r="B15">
        <f>B14/SQRT(B13)</f>
        <v>1.4387291846162943E-5</v>
      </c>
      <c r="C15">
        <f t="shared" ref="C15:D15" si="4">C14/SQRT(C13)</f>
        <v>1.1376299762015577E-5</v>
      </c>
      <c r="D15">
        <f t="shared" si="4"/>
        <v>1.6310383390626193E-5</v>
      </c>
    </row>
    <row r="16" spans="1:5">
      <c r="A16" t="s">
        <v>121</v>
      </c>
      <c r="B16" s="1">
        <f>MAX(B5:B8)-MIN(B5:B8)</f>
        <v>5.8100000000000057E-5</v>
      </c>
      <c r="C16" s="1">
        <f>MAX(C5:C8)-MIN(C5:C8)</f>
        <v>2.2752599524031156E-5</v>
      </c>
      <c r="D16" s="1">
        <f t="shared" ref="D16" si="5">MAX(D5:D8)-MIN(D5:D8)</f>
        <v>3.2620766781252394E-5</v>
      </c>
      <c r="E16" s="31" t="s">
        <v>160</v>
      </c>
    </row>
    <row r="18" spans="1:14">
      <c r="C18" s="1"/>
    </row>
    <row r="19" spans="1:14" ht="29.1" customHeight="1">
      <c r="B19" s="89" t="s">
        <v>221</v>
      </c>
      <c r="C19" s="89"/>
      <c r="D19" s="89"/>
    </row>
    <row r="20" spans="1:14">
      <c r="A20" s="21" t="s">
        <v>222</v>
      </c>
      <c r="B20" s="21" t="s">
        <v>178</v>
      </c>
      <c r="C20" s="21" t="s">
        <v>179</v>
      </c>
      <c r="D20" s="21" t="s">
        <v>180</v>
      </c>
    </row>
    <row r="21" spans="1:14">
      <c r="A21" s="2">
        <v>1</v>
      </c>
      <c r="B21" s="22">
        <f>B5/$B$11*100</f>
        <v>95.640575640575648</v>
      </c>
      <c r="C21" s="22">
        <f>C5/$B$11*100</f>
        <v>12.150260316235784</v>
      </c>
      <c r="D21" s="22">
        <f t="shared" ref="D21" si="6">D5/$B$11*100</f>
        <v>23.68576810828305</v>
      </c>
      <c r="E21" s="2"/>
    </row>
    <row r="22" spans="1:14">
      <c r="A22" s="2">
        <v>2</v>
      </c>
      <c r="B22" s="22">
        <f t="shared" ref="B22:D24" si="7">B6/$B$11*100</f>
        <v>103.05370305370305</v>
      </c>
      <c r="C22" s="22">
        <f t="shared" si="7"/>
        <v>15.344728483877926</v>
      </c>
      <c r="D22" s="22">
        <f t="shared" si="7"/>
        <v>28.265728344331119</v>
      </c>
      <c r="E22" s="2"/>
    </row>
    <row r="23" spans="1:14">
      <c r="A23" s="2">
        <v>3</v>
      </c>
      <c r="B23" s="22">
        <f t="shared" si="7"/>
        <v>97.507897507897511</v>
      </c>
      <c r="C23" s="22"/>
      <c r="D23" s="22"/>
      <c r="E23" s="2"/>
    </row>
    <row r="24" spans="1:14">
      <c r="A24" s="2">
        <v>4</v>
      </c>
      <c r="B24" s="22">
        <f t="shared" si="7"/>
        <v>103.79782379782381</v>
      </c>
      <c r="C24" s="22"/>
      <c r="D24" s="22"/>
      <c r="E24" s="2"/>
    </row>
    <row r="25" spans="1:14">
      <c r="A25" t="s">
        <v>60</v>
      </c>
      <c r="B25" s="23">
        <f>AVERAGE(B21:B24)</f>
        <v>100</v>
      </c>
      <c r="C25" s="23">
        <f t="shared" ref="C25:D25" si="8">AVERAGE(C21:C24)</f>
        <v>13.747494400056855</v>
      </c>
      <c r="D25" s="23">
        <f t="shared" si="8"/>
        <v>25.975748226307083</v>
      </c>
      <c r="E25" s="31" t="s">
        <v>160</v>
      </c>
    </row>
    <row r="27" spans="1:14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t="s">
        <v>223</v>
      </c>
    </row>
    <row r="29" spans="1:14" ht="16.5" thickBot="1"/>
    <row r="30" spans="1:14" ht="16.5" thickBot="1">
      <c r="A30" s="15"/>
      <c r="B30" s="86" t="s">
        <v>215</v>
      </c>
      <c r="C30" s="87"/>
      <c r="D30" s="88"/>
    </row>
    <row r="31" spans="1:14" ht="16.5" thickBot="1">
      <c r="A31" s="16" t="s">
        <v>216</v>
      </c>
      <c r="B31" s="17" t="s">
        <v>178</v>
      </c>
      <c r="C31" s="18" t="s">
        <v>179</v>
      </c>
      <c r="D31" s="19" t="s">
        <v>180</v>
      </c>
    </row>
    <row r="32" spans="1:14">
      <c r="A32" s="4">
        <v>1</v>
      </c>
      <c r="B32" s="10">
        <v>2.9490000000000001E-4</v>
      </c>
      <c r="C32" s="11">
        <v>3.9859868547861215E-5</v>
      </c>
      <c r="D32" s="12">
        <v>4.2718441525545122E-5</v>
      </c>
    </row>
    <row r="33" spans="1:5">
      <c r="A33" s="4">
        <v>2</v>
      </c>
      <c r="B33" s="13">
        <v>2.5010000000000001E-4</v>
      </c>
      <c r="C33" s="5">
        <v>4.3168004569402322E-5</v>
      </c>
      <c r="D33" s="6">
        <v>3.7775723531826713E-5</v>
      </c>
    </row>
    <row r="34" spans="1:5">
      <c r="A34" s="4">
        <v>3</v>
      </c>
      <c r="B34" s="13">
        <v>2.765E-4</v>
      </c>
      <c r="C34" s="5"/>
      <c r="D34" s="6"/>
    </row>
    <row r="35" spans="1:5">
      <c r="A35" s="4">
        <v>4</v>
      </c>
      <c r="B35" s="13">
        <v>1.9589999999999999E-4</v>
      </c>
      <c r="C35" s="5"/>
      <c r="D35" s="6"/>
    </row>
    <row r="36" spans="1:5">
      <c r="A36" s="4">
        <v>5</v>
      </c>
      <c r="B36" s="13">
        <v>1.7229999999999999E-4</v>
      </c>
      <c r="C36" s="5"/>
      <c r="D36" s="6"/>
    </row>
    <row r="37" spans="1:5">
      <c r="A37" s="4">
        <v>6</v>
      </c>
      <c r="B37" s="13">
        <v>1.8210000000000001E-4</v>
      </c>
      <c r="C37" s="5"/>
      <c r="D37" s="6"/>
    </row>
    <row r="38" spans="1:5" ht="16.5" thickBot="1">
      <c r="A38" s="7">
        <v>7</v>
      </c>
      <c r="B38" s="14">
        <v>1.707E-4</v>
      </c>
      <c r="C38" s="8"/>
      <c r="D38" s="9"/>
    </row>
    <row r="41" spans="1:5">
      <c r="A41" t="s">
        <v>217</v>
      </c>
      <c r="B41" s="1">
        <f>AVERAGE(B32:B38)</f>
        <v>2.2035714285714283E-4</v>
      </c>
      <c r="C41" s="1">
        <f>AVERAGE(C32:C38)</f>
        <v>4.1513936558631769E-5</v>
      </c>
      <c r="D41" s="1">
        <f t="shared" ref="D41" si="9">AVERAGE(D32:D38)</f>
        <v>4.0247082528685921E-5</v>
      </c>
      <c r="E41" s="31" t="s">
        <v>160</v>
      </c>
    </row>
    <row r="42" spans="1:5">
      <c r="A42" t="s">
        <v>218</v>
      </c>
      <c r="B42" s="1">
        <f>(MAX(B32:B38)-MIN(B32:B38))/2</f>
        <v>6.2100000000000005E-5</v>
      </c>
      <c r="C42" s="1">
        <f>(MAX(C32:C38)-MIN(C32:C38))/2</f>
        <v>1.6540680107705533E-6</v>
      </c>
      <c r="D42" s="1">
        <f t="shared" ref="D42" si="10">(MAX(D32:D38)-MIN(D32:D38))/2</f>
        <v>2.4713589968592045E-6</v>
      </c>
    </row>
    <row r="43" spans="1:5">
      <c r="A43" t="s">
        <v>219</v>
      </c>
      <c r="B43">
        <f>COUNT(B32:B38)</f>
        <v>7</v>
      </c>
      <c r="C43">
        <f t="shared" ref="C43:D43" si="11">COUNT(C32:C38)</f>
        <v>2</v>
      </c>
      <c r="D43">
        <f t="shared" si="11"/>
        <v>2</v>
      </c>
      <c r="E43" s="31" t="s">
        <v>160</v>
      </c>
    </row>
    <row r="44" spans="1:5">
      <c r="A44" t="s">
        <v>220</v>
      </c>
      <c r="B44">
        <f>STDEVA(B32:B38)</f>
        <v>5.2329687467786304E-5</v>
      </c>
      <c r="C44">
        <f t="shared" ref="C44:D44" si="12">STDEVA(C32:C38)</f>
        <v>2.3392054139192031E-6</v>
      </c>
      <c r="D44">
        <f t="shared" si="12"/>
        <v>3.4950294108510544E-6</v>
      </c>
    </row>
    <row r="45" spans="1:5">
      <c r="A45" t="s">
        <v>70</v>
      </c>
      <c r="B45">
        <f>B44/SQRT(B43)</f>
        <v>1.9778762746499414E-5</v>
      </c>
      <c r="C45">
        <f t="shared" ref="C45" si="13">C44/SQRT(C43)</f>
        <v>1.6540680107705533E-6</v>
      </c>
      <c r="D45">
        <f t="shared" ref="D45" si="14">D44/SQRT(D43)</f>
        <v>2.4713589968592045E-6</v>
      </c>
    </row>
    <row r="46" spans="1:5">
      <c r="A46" t="s">
        <v>121</v>
      </c>
      <c r="B46" s="1">
        <f>MAX(B32:B38)-MIN(B32:B38)</f>
        <v>1.2420000000000001E-4</v>
      </c>
      <c r="C46" s="1">
        <f>MAX(C32:C38)-MIN(C32:C38)</f>
        <v>3.3081360215411065E-6</v>
      </c>
      <c r="D46" s="1">
        <f t="shared" ref="D46" si="15">MAX(D32:D38)-MIN(D32:D38)</f>
        <v>4.9427179937184089E-6</v>
      </c>
      <c r="E46" s="31" t="s">
        <v>160</v>
      </c>
    </row>
    <row r="48" spans="1:5">
      <c r="C48" s="1"/>
    </row>
    <row r="49" spans="1:5" ht="29.1" customHeight="1">
      <c r="B49" s="89" t="s">
        <v>221</v>
      </c>
      <c r="C49" s="89"/>
      <c r="D49" s="89"/>
    </row>
    <row r="50" spans="1:5">
      <c r="A50" s="21" t="s">
        <v>222</v>
      </c>
      <c r="B50" s="21" t="s">
        <v>178</v>
      </c>
      <c r="C50" s="21" t="s">
        <v>179</v>
      </c>
      <c r="D50" s="21" t="s">
        <v>180</v>
      </c>
    </row>
    <row r="51" spans="1:5">
      <c r="A51" s="2">
        <v>1</v>
      </c>
      <c r="B51" s="22">
        <f>B32/$B$41*100</f>
        <v>133.82820097244735</v>
      </c>
      <c r="C51" s="22">
        <f t="shared" ref="C51:D51" si="16">C32/$B$41*100</f>
        <v>18.088757201622595</v>
      </c>
      <c r="D51" s="22">
        <f t="shared" si="16"/>
        <v>19.386002637200384</v>
      </c>
      <c r="E51" s="2"/>
    </row>
    <row r="52" spans="1:5">
      <c r="A52" s="2">
        <v>2</v>
      </c>
      <c r="B52" s="22">
        <f t="shared" ref="B52:D57" si="17">B33/$B$41*100</f>
        <v>113.49756888168558</v>
      </c>
      <c r="C52" s="22">
        <f t="shared" si="17"/>
        <v>19.590018281090195</v>
      </c>
      <c r="D52" s="22">
        <f t="shared" si="17"/>
        <v>17.142953952854914</v>
      </c>
      <c r="E52" s="2"/>
    </row>
    <row r="53" spans="1:5">
      <c r="A53" s="2">
        <v>3</v>
      </c>
      <c r="B53" s="22">
        <f t="shared" si="17"/>
        <v>125.4781199351702</v>
      </c>
      <c r="C53" s="22"/>
      <c r="D53" s="22"/>
      <c r="E53" s="2"/>
    </row>
    <row r="54" spans="1:5">
      <c r="A54" s="2">
        <v>4</v>
      </c>
      <c r="B54" s="22">
        <f t="shared" si="17"/>
        <v>88.901134521880081</v>
      </c>
      <c r="C54" s="22"/>
      <c r="D54" s="22"/>
      <c r="E54" s="2"/>
    </row>
    <row r="55" spans="1:5">
      <c r="A55" s="2">
        <v>5</v>
      </c>
      <c r="B55" s="22">
        <f t="shared" si="17"/>
        <v>78.191247974068077</v>
      </c>
      <c r="C55" s="22"/>
      <c r="D55" s="22"/>
      <c r="E55" s="2"/>
    </row>
    <row r="56" spans="1:5">
      <c r="A56" s="2">
        <v>6</v>
      </c>
      <c r="B56" s="22">
        <f t="shared" si="17"/>
        <v>82.638573743922223</v>
      </c>
      <c r="C56" s="22"/>
      <c r="D56" s="22"/>
      <c r="E56" s="2"/>
    </row>
    <row r="57" spans="1:5">
      <c r="A57" s="2">
        <v>7</v>
      </c>
      <c r="B57" s="22">
        <f t="shared" si="17"/>
        <v>77.465153970826591</v>
      </c>
      <c r="C57" s="22"/>
      <c r="D57" s="22"/>
      <c r="E57" s="2"/>
    </row>
    <row r="58" spans="1:5">
      <c r="A58" t="s">
        <v>60</v>
      </c>
      <c r="B58" s="23">
        <f>AVERAGE(B51:B57)</f>
        <v>100</v>
      </c>
      <c r="C58" s="23">
        <f t="shared" ref="C58:D58" si="18">AVERAGE(C51:C57)</f>
        <v>18.839387741356397</v>
      </c>
      <c r="D58" s="23">
        <f t="shared" si="18"/>
        <v>18.264478295027651</v>
      </c>
      <c r="E58" s="31" t="s">
        <v>160</v>
      </c>
    </row>
  </sheetData>
  <mergeCells count="4">
    <mergeCell ref="B3:D3"/>
    <mergeCell ref="B19:D19"/>
    <mergeCell ref="B30:D30"/>
    <mergeCell ref="B49:D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9583-E398-D14E-9D42-89F0096F6FF0}">
  <dimension ref="A1:Q65"/>
  <sheetViews>
    <sheetView topLeftCell="A40" workbookViewId="0">
      <selection activeCell="J56" sqref="J56"/>
    </sheetView>
  </sheetViews>
  <sheetFormatPr defaultColWidth="11" defaultRowHeight="15.75"/>
  <cols>
    <col min="1" max="1" width="12.875" customWidth="1"/>
    <col min="5" max="5" width="12.125" bestFit="1" customWidth="1"/>
    <col min="14" max="17" width="26.125" customWidth="1"/>
  </cols>
  <sheetData>
    <row r="1" spans="1:17">
      <c r="A1" s="20" t="s">
        <v>224</v>
      </c>
    </row>
    <row r="2" spans="1:17" s="82" customFormat="1">
      <c r="A2" s="82" t="s">
        <v>225</v>
      </c>
    </row>
    <row r="5" spans="1:17">
      <c r="A5" t="s">
        <v>181</v>
      </c>
    </row>
    <row r="7" spans="1:17">
      <c r="A7" s="20" t="s">
        <v>161</v>
      </c>
      <c r="B7" t="s">
        <v>162</v>
      </c>
      <c r="C7" t="s">
        <v>163</v>
      </c>
      <c r="D7" s="2" t="s">
        <v>89</v>
      </c>
      <c r="E7" t="s">
        <v>166</v>
      </c>
      <c r="F7" t="s">
        <v>121</v>
      </c>
      <c r="G7" t="s">
        <v>167</v>
      </c>
      <c r="H7" t="s">
        <v>168</v>
      </c>
      <c r="I7" s="2" t="s">
        <v>89</v>
      </c>
      <c r="J7" t="s">
        <v>166</v>
      </c>
      <c r="K7" t="s">
        <v>121</v>
      </c>
      <c r="N7" s="31" t="s">
        <v>160</v>
      </c>
      <c r="O7" s="31" t="s">
        <v>160</v>
      </c>
      <c r="P7" s="31" t="s">
        <v>160</v>
      </c>
      <c r="Q7" s="31" t="s">
        <v>160</v>
      </c>
    </row>
    <row r="8" spans="1:17">
      <c r="N8" s="2" t="s">
        <v>182</v>
      </c>
      <c r="O8" s="2" t="s">
        <v>183</v>
      </c>
      <c r="P8" s="2" t="s">
        <v>176</v>
      </c>
      <c r="Q8" s="2" t="s">
        <v>177</v>
      </c>
    </row>
    <row r="9" spans="1:17">
      <c r="A9" t="s">
        <v>226</v>
      </c>
      <c r="B9">
        <v>0.98407345899999998</v>
      </c>
      <c r="C9">
        <v>0.99033992199999998</v>
      </c>
      <c r="D9" s="25">
        <f t="shared" ref="D9:D11" si="0">AVERAGE(B9:C9)</f>
        <v>0.98720669049999998</v>
      </c>
      <c r="E9" s="25">
        <f t="shared" ref="E9:E11" si="1">STDEV(B9:C9)/SQRT(2)</f>
        <v>3.1332314999999995E-3</v>
      </c>
      <c r="F9" s="25">
        <f t="shared" ref="F9:F11" si="2">MAX(B9:C9)-MIN(B9:C9)</f>
        <v>6.2664629999999999E-3</v>
      </c>
      <c r="G9" s="28" t="s">
        <v>227</v>
      </c>
      <c r="H9" s="28" t="s">
        <v>227</v>
      </c>
      <c r="I9" s="25" t="e">
        <f t="shared" ref="I9:I11" si="3">AVERAGE(G9:H9)</f>
        <v>#DIV/0!</v>
      </c>
      <c r="J9" s="25" t="e">
        <f t="shared" ref="J9:J11" si="4">STDEV(G9:H9)/SQRT(2)</f>
        <v>#DIV/0!</v>
      </c>
      <c r="K9" s="25">
        <f t="shared" ref="K9:K11" si="5">MAX(G9:H9)-MIN(G9:H9)</f>
        <v>0</v>
      </c>
      <c r="M9" t="str">
        <f>A9</f>
        <v>WT + DMSO</v>
      </c>
      <c r="N9" s="27">
        <f t="shared" ref="N9:N11" si="6">D9*100</f>
        <v>98.720669049999998</v>
      </c>
      <c r="O9" s="29" t="s">
        <v>227</v>
      </c>
      <c r="P9" s="27">
        <f t="shared" ref="P9:P11" si="7">F9*100</f>
        <v>0.62664629999999999</v>
      </c>
      <c r="Q9" s="29" t="s">
        <v>227</v>
      </c>
    </row>
    <row r="10" spans="1:17">
      <c r="A10" t="s">
        <v>178</v>
      </c>
      <c r="B10">
        <v>1</v>
      </c>
      <c r="C10">
        <v>1</v>
      </c>
      <c r="D10" s="25">
        <f t="shared" si="0"/>
        <v>1</v>
      </c>
      <c r="E10" s="25">
        <f t="shared" si="1"/>
        <v>0</v>
      </c>
      <c r="F10" s="25">
        <f t="shared" si="2"/>
        <v>0</v>
      </c>
      <c r="G10">
        <v>1</v>
      </c>
      <c r="H10">
        <v>1</v>
      </c>
      <c r="I10" s="25">
        <f t="shared" si="3"/>
        <v>1</v>
      </c>
      <c r="J10" s="25">
        <f t="shared" si="4"/>
        <v>0</v>
      </c>
      <c r="K10" s="25">
        <f t="shared" si="5"/>
        <v>0</v>
      </c>
      <c r="M10" t="str">
        <f t="shared" ref="M10:M13" si="8">A10</f>
        <v>WT</v>
      </c>
      <c r="N10" s="27">
        <f t="shared" si="6"/>
        <v>100</v>
      </c>
      <c r="O10" s="27">
        <f t="shared" ref="O10:O11" si="9">I10*100</f>
        <v>100</v>
      </c>
      <c r="P10" s="27">
        <f t="shared" si="7"/>
        <v>0</v>
      </c>
      <c r="Q10" s="27">
        <f t="shared" ref="Q10" si="10">K10*100</f>
        <v>0</v>
      </c>
    </row>
    <row r="11" spans="1:17">
      <c r="A11" t="s">
        <v>228</v>
      </c>
      <c r="B11">
        <v>0.62346162699999996</v>
      </c>
      <c r="C11">
        <v>0.637051378</v>
      </c>
      <c r="D11" s="25">
        <f t="shared" si="0"/>
        <v>0.63025650249999998</v>
      </c>
      <c r="E11" s="25">
        <f t="shared" si="1"/>
        <v>6.7948755000000185E-3</v>
      </c>
      <c r="F11" s="25">
        <f t="shared" si="2"/>
        <v>1.3589751000000039E-2</v>
      </c>
      <c r="G11">
        <v>8.3866846999999994E-2</v>
      </c>
      <c r="H11">
        <v>1.1598819999999999E-2</v>
      </c>
      <c r="I11" s="25">
        <f t="shared" si="3"/>
        <v>4.7732833499999995E-2</v>
      </c>
      <c r="J11" s="25">
        <f t="shared" si="4"/>
        <v>3.6134013499999992E-2</v>
      </c>
      <c r="K11" s="25">
        <f t="shared" si="5"/>
        <v>7.2268026999999999E-2</v>
      </c>
      <c r="M11" t="str">
        <f t="shared" si="8"/>
        <v>WT + DarB</v>
      </c>
      <c r="N11" s="27">
        <f t="shared" si="6"/>
        <v>63.025650249999998</v>
      </c>
      <c r="O11" s="27">
        <f t="shared" si="9"/>
        <v>4.7732833499999998</v>
      </c>
      <c r="P11" s="27">
        <f t="shared" si="7"/>
        <v>1.3589751000000039</v>
      </c>
      <c r="Q11" s="27">
        <f>K11*100</f>
        <v>7.2268026999999995</v>
      </c>
    </row>
    <row r="12" spans="1:17">
      <c r="A12" t="s">
        <v>229</v>
      </c>
      <c r="B12" s="25">
        <v>1</v>
      </c>
      <c r="C12" s="25">
        <v>1</v>
      </c>
      <c r="D12" s="25">
        <f>AVERAGE(B12:C12)</f>
        <v>1</v>
      </c>
      <c r="E12" s="25">
        <f>STDEV(B12:C12)/SQRT(2)</f>
        <v>0</v>
      </c>
      <c r="F12" s="25">
        <f>MAX(B12:C12)-MIN(B12:C12)</f>
        <v>0</v>
      </c>
      <c r="G12" s="25">
        <v>1</v>
      </c>
      <c r="H12" s="25">
        <v>1</v>
      </c>
      <c r="I12" s="25">
        <f>AVERAGE(G12:H12)</f>
        <v>1</v>
      </c>
      <c r="J12" s="25">
        <f>STDEV(G12:H12)/SQRT(2)</f>
        <v>0</v>
      </c>
      <c r="K12" s="25">
        <f>MAX(G12:H12)-MIN(G12:H12)</f>
        <v>0</v>
      </c>
      <c r="M12" t="str">
        <f t="shared" si="8"/>
        <v>T434A</v>
      </c>
      <c r="N12" s="27">
        <f>D12*100</f>
        <v>100</v>
      </c>
      <c r="O12" s="27">
        <f>I12*100</f>
        <v>100</v>
      </c>
      <c r="P12" s="27">
        <f>F12*100</f>
        <v>0</v>
      </c>
      <c r="Q12" s="27">
        <f>K12*100</f>
        <v>0</v>
      </c>
    </row>
    <row r="13" spans="1:17">
      <c r="A13" t="s">
        <v>230</v>
      </c>
      <c r="B13">
        <v>0.79718851899999998</v>
      </c>
      <c r="C13">
        <v>0.79576728100000005</v>
      </c>
      <c r="D13" s="25">
        <f>AVERAGE(B13:C13)</f>
        <v>0.79647789999999996</v>
      </c>
      <c r="E13" s="25">
        <f>STDEV(B13:C13)/SQRT(2)</f>
        <v>7.1061899999996792E-4</v>
      </c>
      <c r="F13" s="25">
        <f>MAX(B13:C13)-MIN(B13:C13)</f>
        <v>1.4212379999999358E-3</v>
      </c>
      <c r="G13">
        <v>0.365375695</v>
      </c>
      <c r="H13">
        <v>0.37600282499999998</v>
      </c>
      <c r="I13" s="25">
        <f>AVERAGE(G13:H13)</f>
        <v>0.37068926000000002</v>
      </c>
      <c r="J13" s="25">
        <f>STDEV(G13:H13)/SQRT(2)</f>
        <v>5.3135649999999915E-3</v>
      </c>
      <c r="K13" s="25">
        <f>MAX(G13:H13)-MIN(G13:H13)</f>
        <v>1.0627129999999985E-2</v>
      </c>
      <c r="M13" t="str">
        <f t="shared" si="8"/>
        <v>T434A + DarB</v>
      </c>
      <c r="N13" s="27">
        <f>D13*100</f>
        <v>79.647790000000001</v>
      </c>
      <c r="O13" s="27">
        <f>I13*100</f>
        <v>37.068926000000005</v>
      </c>
      <c r="P13" s="27">
        <f>F13*100</f>
        <v>0.14212379999999358</v>
      </c>
      <c r="Q13" s="27">
        <f>K13*100</f>
        <v>1.0627129999999985</v>
      </c>
    </row>
    <row r="15" spans="1:17">
      <c r="G15" s="81" t="s">
        <v>184</v>
      </c>
      <c r="H15" s="81" t="s">
        <v>231</v>
      </c>
    </row>
    <row r="16" spans="1:17">
      <c r="G16" s="81" t="s">
        <v>186</v>
      </c>
      <c r="H16" s="81" t="s">
        <v>17</v>
      </c>
    </row>
    <row r="17" spans="7:8">
      <c r="G17" s="81">
        <v>1</v>
      </c>
      <c r="H17" s="81" t="s">
        <v>187</v>
      </c>
    </row>
    <row r="18" spans="7:8">
      <c r="G18" s="81">
        <v>2</v>
      </c>
      <c r="H18" s="81" t="s">
        <v>232</v>
      </c>
    </row>
    <row r="19" spans="7:8">
      <c r="G19" s="81">
        <v>3</v>
      </c>
      <c r="H19" s="81" t="s">
        <v>233</v>
      </c>
    </row>
    <row r="20" spans="7:8">
      <c r="G20" s="81">
        <v>4</v>
      </c>
      <c r="H20" s="81" t="s">
        <v>234</v>
      </c>
    </row>
    <row r="21" spans="7:8">
      <c r="G21" s="81">
        <v>5</v>
      </c>
      <c r="H21" s="81" t="s">
        <v>235</v>
      </c>
    </row>
    <row r="22" spans="7:8">
      <c r="G22" s="81">
        <v>6</v>
      </c>
      <c r="H22" s="81" t="s">
        <v>236</v>
      </c>
    </row>
    <row r="23" spans="7:8">
      <c r="G23" s="81">
        <v>7</v>
      </c>
      <c r="H23" s="81" t="s">
        <v>237</v>
      </c>
    </row>
    <row r="24" spans="7:8">
      <c r="G24" s="81">
        <v>8</v>
      </c>
      <c r="H24" s="81" t="s">
        <v>238</v>
      </c>
    </row>
    <row r="25" spans="7:8">
      <c r="G25" s="81">
        <v>9</v>
      </c>
      <c r="H25" s="81" t="s">
        <v>239</v>
      </c>
    </row>
    <row r="26" spans="7:8">
      <c r="G26" s="81">
        <v>10</v>
      </c>
      <c r="H26" s="81" t="s">
        <v>240</v>
      </c>
    </row>
    <row r="27" spans="7:8">
      <c r="G27" s="81">
        <v>11</v>
      </c>
      <c r="H27" s="81" t="s">
        <v>241</v>
      </c>
    </row>
    <row r="28" spans="7:8">
      <c r="G28" s="81">
        <v>12</v>
      </c>
      <c r="H28" s="81" t="s">
        <v>242</v>
      </c>
    </row>
    <row r="29" spans="7:8">
      <c r="G29" s="81">
        <v>13</v>
      </c>
      <c r="H29" s="81" t="s">
        <v>243</v>
      </c>
    </row>
    <row r="33" spans="7:8">
      <c r="G33" s="81" t="s">
        <v>184</v>
      </c>
      <c r="H33" s="81" t="s">
        <v>244</v>
      </c>
    </row>
    <row r="34" spans="7:8">
      <c r="G34" s="81" t="s">
        <v>186</v>
      </c>
      <c r="H34" s="81" t="s">
        <v>17</v>
      </c>
    </row>
    <row r="35" spans="7:8">
      <c r="G35" s="81">
        <v>1</v>
      </c>
      <c r="H35" s="81" t="s">
        <v>187</v>
      </c>
    </row>
    <row r="36" spans="7:8">
      <c r="G36" s="81">
        <v>2</v>
      </c>
      <c r="H36" s="81" t="s">
        <v>245</v>
      </c>
    </row>
    <row r="37" spans="7:8">
      <c r="G37" s="81">
        <v>3</v>
      </c>
      <c r="H37" s="81" t="s">
        <v>246</v>
      </c>
    </row>
    <row r="38" spans="7:8">
      <c r="G38" s="81">
        <v>4</v>
      </c>
      <c r="H38" s="81" t="s">
        <v>247</v>
      </c>
    </row>
    <row r="39" spans="7:8">
      <c r="G39" s="81">
        <v>5</v>
      </c>
      <c r="H39" s="81" t="s">
        <v>248</v>
      </c>
    </row>
    <row r="40" spans="7:8">
      <c r="G40" s="81">
        <v>6</v>
      </c>
      <c r="H40" s="81" t="s">
        <v>249</v>
      </c>
    </row>
    <row r="41" spans="7:8">
      <c r="G41" s="81">
        <v>7</v>
      </c>
      <c r="H41" s="81" t="s">
        <v>250</v>
      </c>
    </row>
    <row r="42" spans="7:8">
      <c r="G42" s="81">
        <v>8</v>
      </c>
      <c r="H42" s="81" t="s">
        <v>251</v>
      </c>
    </row>
    <row r="43" spans="7:8">
      <c r="G43" s="81">
        <v>9</v>
      </c>
      <c r="H43" s="81" t="s">
        <v>252</v>
      </c>
    </row>
    <row r="44" spans="7:8">
      <c r="G44" s="81">
        <v>10</v>
      </c>
      <c r="H44" s="80"/>
    </row>
    <row r="45" spans="7:8">
      <c r="G45" s="81">
        <v>11</v>
      </c>
      <c r="H45" s="80"/>
    </row>
    <row r="46" spans="7:8">
      <c r="G46" s="81">
        <v>12</v>
      </c>
      <c r="H46" s="80"/>
    </row>
    <row r="47" spans="7:8">
      <c r="G47" s="81">
        <v>13</v>
      </c>
      <c r="H47" s="80"/>
    </row>
    <row r="51" spans="7:8">
      <c r="G51" s="81" t="s">
        <v>184</v>
      </c>
      <c r="H51" s="81" t="s">
        <v>253</v>
      </c>
    </row>
    <row r="52" spans="7:8">
      <c r="G52" s="81" t="s">
        <v>186</v>
      </c>
      <c r="H52" s="81" t="s">
        <v>17</v>
      </c>
    </row>
    <row r="53" spans="7:8">
      <c r="G53" s="81">
        <v>1</v>
      </c>
      <c r="H53" s="81" t="s">
        <v>187</v>
      </c>
    </row>
    <row r="54" spans="7:8">
      <c r="G54" s="81">
        <v>2</v>
      </c>
      <c r="H54" s="81" t="s">
        <v>254</v>
      </c>
    </row>
    <row r="55" spans="7:8">
      <c r="G55" s="81">
        <v>3</v>
      </c>
      <c r="H55" s="81" t="s">
        <v>255</v>
      </c>
    </row>
    <row r="56" spans="7:8">
      <c r="G56" s="81">
        <v>4</v>
      </c>
      <c r="H56" s="81" t="s">
        <v>256</v>
      </c>
    </row>
    <row r="57" spans="7:8">
      <c r="G57" s="81">
        <v>5</v>
      </c>
      <c r="H57" s="81" t="s">
        <v>257</v>
      </c>
    </row>
    <row r="58" spans="7:8">
      <c r="G58" s="81">
        <v>6</v>
      </c>
      <c r="H58" s="81" t="s">
        <v>258</v>
      </c>
    </row>
    <row r="59" spans="7:8">
      <c r="G59" s="81">
        <v>7</v>
      </c>
      <c r="H59" s="81" t="s">
        <v>259</v>
      </c>
    </row>
    <row r="60" spans="7:8">
      <c r="G60" s="81">
        <v>8</v>
      </c>
      <c r="H60" s="81" t="s">
        <v>260</v>
      </c>
    </row>
    <row r="61" spans="7:8">
      <c r="G61" s="81">
        <v>9</v>
      </c>
      <c r="H61" s="81" t="s">
        <v>261</v>
      </c>
    </row>
    <row r="62" spans="7:8">
      <c r="G62" s="81">
        <v>10</v>
      </c>
      <c r="H62" s="81" t="s">
        <v>262</v>
      </c>
    </row>
    <row r="63" spans="7:8">
      <c r="G63" s="81">
        <v>11</v>
      </c>
      <c r="H63" s="81" t="s">
        <v>263</v>
      </c>
    </row>
    <row r="64" spans="7:8">
      <c r="G64" s="81">
        <v>12</v>
      </c>
      <c r="H64" s="81" t="s">
        <v>264</v>
      </c>
    </row>
    <row r="65" spans="7:8">
      <c r="G65" s="81">
        <v>13</v>
      </c>
      <c r="H65" s="8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678C-95E6-0E4C-B59A-C1C4E74BB4E1}">
  <dimension ref="A1:R197"/>
  <sheetViews>
    <sheetView topLeftCell="A113" workbookViewId="0">
      <selection activeCell="J139" sqref="J139:J141"/>
    </sheetView>
  </sheetViews>
  <sheetFormatPr defaultColWidth="11" defaultRowHeight="15.75"/>
  <sheetData>
    <row r="1" spans="1:11">
      <c r="A1" s="20" t="s">
        <v>265</v>
      </c>
    </row>
    <row r="2" spans="1:11">
      <c r="A2" t="s">
        <v>29</v>
      </c>
    </row>
    <row r="3" spans="1:11">
      <c r="A3" t="s">
        <v>266</v>
      </c>
    </row>
    <row r="5" spans="1:11">
      <c r="A5" t="s">
        <v>30</v>
      </c>
    </row>
    <row r="8" spans="1:11">
      <c r="J8" t="s">
        <v>3</v>
      </c>
      <c r="K8" t="s">
        <v>31</v>
      </c>
    </row>
    <row r="9" spans="1:11">
      <c r="I9" s="74"/>
      <c r="J9" t="s">
        <v>5</v>
      </c>
      <c r="K9" t="s">
        <v>4</v>
      </c>
    </row>
    <row r="10" spans="1:11">
      <c r="I10" s="74"/>
      <c r="J10" t="s">
        <v>7</v>
      </c>
      <c r="K10" t="s">
        <v>12</v>
      </c>
    </row>
    <row r="11" spans="1:11">
      <c r="J11" t="s">
        <v>9</v>
      </c>
      <c r="K11" t="s">
        <v>8</v>
      </c>
    </row>
    <row r="12" spans="1:11">
      <c r="I12" s="74"/>
      <c r="J12" t="s">
        <v>11</v>
      </c>
      <c r="K12" t="s">
        <v>10</v>
      </c>
    </row>
    <row r="13" spans="1:11">
      <c r="I13" s="74"/>
      <c r="J13" t="s">
        <v>32</v>
      </c>
      <c r="K13" t="s">
        <v>6</v>
      </c>
    </row>
    <row r="14" spans="1:11">
      <c r="J14" t="s">
        <v>33</v>
      </c>
      <c r="K14" t="s">
        <v>31</v>
      </c>
    </row>
    <row r="15" spans="1:11">
      <c r="I15" s="31" t="s">
        <v>2</v>
      </c>
      <c r="J15" t="s">
        <v>34</v>
      </c>
      <c r="K15" t="s">
        <v>4</v>
      </c>
    </row>
    <row r="16" spans="1:11">
      <c r="I16" s="31" t="s">
        <v>2</v>
      </c>
      <c r="J16" t="s">
        <v>35</v>
      </c>
      <c r="K16" t="s">
        <v>12</v>
      </c>
    </row>
    <row r="17" spans="1:11">
      <c r="I17" s="31" t="s">
        <v>2</v>
      </c>
      <c r="J17" t="s">
        <v>36</v>
      </c>
      <c r="K17" t="s">
        <v>8</v>
      </c>
    </row>
    <row r="18" spans="1:11">
      <c r="I18" s="31" t="s">
        <v>2</v>
      </c>
      <c r="J18" t="s">
        <v>37</v>
      </c>
      <c r="K18" t="s">
        <v>10</v>
      </c>
    </row>
    <row r="19" spans="1:11">
      <c r="I19" s="31" t="s">
        <v>2</v>
      </c>
      <c r="J19" t="s">
        <v>38</v>
      </c>
      <c r="K19" t="s">
        <v>6</v>
      </c>
    </row>
    <row r="20" spans="1:11">
      <c r="J20" t="s">
        <v>39</v>
      </c>
      <c r="K20" t="s">
        <v>31</v>
      </c>
    </row>
    <row r="21" spans="1:11">
      <c r="J21" t="s">
        <v>43</v>
      </c>
      <c r="K21" t="s">
        <v>4</v>
      </c>
    </row>
    <row r="22" spans="1:11">
      <c r="J22" t="s">
        <v>44</v>
      </c>
      <c r="K22" t="s">
        <v>12</v>
      </c>
    </row>
    <row r="23" spans="1:11">
      <c r="J23" t="s">
        <v>45</v>
      </c>
      <c r="K23" t="s">
        <v>8</v>
      </c>
    </row>
    <row r="24" spans="1:11">
      <c r="J24" t="s">
        <v>46</v>
      </c>
      <c r="K24" t="s">
        <v>10</v>
      </c>
    </row>
    <row r="25" spans="1:11">
      <c r="J25" t="s">
        <v>47</v>
      </c>
      <c r="K25" t="s">
        <v>6</v>
      </c>
    </row>
    <row r="30" spans="1:11">
      <c r="A30" t="s">
        <v>40</v>
      </c>
    </row>
    <row r="33" spans="9:11">
      <c r="J33" t="s">
        <v>3</v>
      </c>
      <c r="K33" t="s">
        <v>31</v>
      </c>
    </row>
    <row r="34" spans="9:11">
      <c r="J34" t="s">
        <v>5</v>
      </c>
      <c r="K34" t="s">
        <v>4</v>
      </c>
    </row>
    <row r="35" spans="9:11">
      <c r="J35" t="s">
        <v>7</v>
      </c>
      <c r="K35" t="s">
        <v>12</v>
      </c>
    </row>
    <row r="36" spans="9:11">
      <c r="J36" t="s">
        <v>9</v>
      </c>
      <c r="K36" t="s">
        <v>8</v>
      </c>
    </row>
    <row r="37" spans="9:11">
      <c r="J37" t="s">
        <v>11</v>
      </c>
      <c r="K37" t="s">
        <v>10</v>
      </c>
    </row>
    <row r="38" spans="9:11">
      <c r="J38" t="s">
        <v>32</v>
      </c>
      <c r="K38" t="s">
        <v>6</v>
      </c>
    </row>
    <row r="39" spans="9:11">
      <c r="J39" t="s">
        <v>33</v>
      </c>
      <c r="K39" t="s">
        <v>31</v>
      </c>
    </row>
    <row r="40" spans="9:11">
      <c r="J40" t="s">
        <v>34</v>
      </c>
      <c r="K40" t="s">
        <v>4</v>
      </c>
    </row>
    <row r="41" spans="9:11">
      <c r="J41" t="s">
        <v>35</v>
      </c>
      <c r="K41" t="s">
        <v>12</v>
      </c>
    </row>
    <row r="42" spans="9:11">
      <c r="I42" s="74"/>
      <c r="J42" t="s">
        <v>36</v>
      </c>
      <c r="K42" t="s">
        <v>8</v>
      </c>
    </row>
    <row r="43" spans="9:11">
      <c r="J43" t="s">
        <v>37</v>
      </c>
      <c r="K43" t="s">
        <v>10</v>
      </c>
    </row>
    <row r="44" spans="9:11">
      <c r="J44" t="s">
        <v>38</v>
      </c>
      <c r="K44" t="s">
        <v>6</v>
      </c>
    </row>
    <row r="45" spans="9:11">
      <c r="I45" s="74"/>
      <c r="J45" t="s">
        <v>39</v>
      </c>
      <c r="K45" t="s">
        <v>31</v>
      </c>
    </row>
    <row r="46" spans="9:11">
      <c r="I46" s="31" t="s">
        <v>2</v>
      </c>
      <c r="J46" t="s">
        <v>43</v>
      </c>
      <c r="K46" t="s">
        <v>4</v>
      </c>
    </row>
    <row r="47" spans="9:11">
      <c r="I47" s="31" t="s">
        <v>2</v>
      </c>
      <c r="J47" t="s">
        <v>44</v>
      </c>
      <c r="K47" t="s">
        <v>12</v>
      </c>
    </row>
    <row r="48" spans="9:11">
      <c r="I48" s="31" t="s">
        <v>2</v>
      </c>
      <c r="J48" t="s">
        <v>45</v>
      </c>
      <c r="K48" t="s">
        <v>8</v>
      </c>
    </row>
    <row r="49" spans="1:11">
      <c r="I49" s="31" t="s">
        <v>2</v>
      </c>
      <c r="J49" t="s">
        <v>46</v>
      </c>
      <c r="K49" t="s">
        <v>10</v>
      </c>
    </row>
    <row r="50" spans="1:11">
      <c r="I50" s="31" t="s">
        <v>2</v>
      </c>
      <c r="J50" t="s">
        <v>47</v>
      </c>
      <c r="K50" t="s">
        <v>6</v>
      </c>
    </row>
    <row r="54" spans="1:11">
      <c r="A54" t="s">
        <v>49</v>
      </c>
    </row>
    <row r="57" spans="1:11">
      <c r="J57" t="s">
        <v>3</v>
      </c>
      <c r="K57" t="s">
        <v>50</v>
      </c>
    </row>
    <row r="58" spans="1:11">
      <c r="I58" s="74"/>
      <c r="J58" t="s">
        <v>5</v>
      </c>
      <c r="K58" t="s">
        <v>4</v>
      </c>
    </row>
    <row r="59" spans="1:11">
      <c r="I59" s="74"/>
      <c r="J59" t="s">
        <v>7</v>
      </c>
      <c r="K59" t="s">
        <v>12</v>
      </c>
    </row>
    <row r="60" spans="1:11">
      <c r="J60" t="s">
        <v>9</v>
      </c>
      <c r="K60" t="s">
        <v>8</v>
      </c>
    </row>
    <row r="61" spans="1:11">
      <c r="I61" s="74"/>
      <c r="J61" t="s">
        <v>11</v>
      </c>
      <c r="K61" t="s">
        <v>10</v>
      </c>
    </row>
    <row r="62" spans="1:11">
      <c r="I62" s="74"/>
      <c r="J62" t="s">
        <v>32</v>
      </c>
      <c r="K62" t="s">
        <v>6</v>
      </c>
    </row>
    <row r="63" spans="1:11">
      <c r="J63" t="s">
        <v>33</v>
      </c>
      <c r="K63" t="s">
        <v>50</v>
      </c>
    </row>
    <row r="64" spans="1:11">
      <c r="J64" t="s">
        <v>34</v>
      </c>
      <c r="K64" t="s">
        <v>4</v>
      </c>
    </row>
    <row r="65" spans="9:11">
      <c r="J65" t="s">
        <v>35</v>
      </c>
      <c r="K65" t="s">
        <v>12</v>
      </c>
    </row>
    <row r="66" spans="9:11">
      <c r="J66" t="s">
        <v>36</v>
      </c>
      <c r="K66" t="s">
        <v>8</v>
      </c>
    </row>
    <row r="67" spans="9:11">
      <c r="J67" t="s">
        <v>37</v>
      </c>
      <c r="K67" t="s">
        <v>10</v>
      </c>
    </row>
    <row r="68" spans="9:11">
      <c r="J68" t="s">
        <v>38</v>
      </c>
      <c r="K68" t="s">
        <v>6</v>
      </c>
    </row>
    <row r="69" spans="9:11">
      <c r="J69" t="s">
        <v>39</v>
      </c>
      <c r="K69" t="s">
        <v>50</v>
      </c>
    </row>
    <row r="70" spans="9:11">
      <c r="I70" s="31" t="s">
        <v>2</v>
      </c>
      <c r="J70" t="s">
        <v>43</v>
      </c>
      <c r="K70" t="s">
        <v>4</v>
      </c>
    </row>
    <row r="71" spans="9:11">
      <c r="I71" s="31" t="s">
        <v>2</v>
      </c>
      <c r="J71" t="s">
        <v>44</v>
      </c>
      <c r="K71" t="s">
        <v>12</v>
      </c>
    </row>
    <row r="72" spans="9:11">
      <c r="I72" s="31" t="s">
        <v>2</v>
      </c>
      <c r="J72" t="s">
        <v>45</v>
      </c>
      <c r="K72" t="s">
        <v>8</v>
      </c>
    </row>
    <row r="73" spans="9:11">
      <c r="I73" s="31" t="s">
        <v>2</v>
      </c>
      <c r="J73" t="s">
        <v>46</v>
      </c>
      <c r="K73" t="s">
        <v>10</v>
      </c>
    </row>
    <row r="74" spans="9:11">
      <c r="I74" s="31" t="s">
        <v>2</v>
      </c>
      <c r="J74" t="s">
        <v>47</v>
      </c>
      <c r="K74" t="s">
        <v>6</v>
      </c>
    </row>
    <row r="82" spans="1:11">
      <c r="A82" t="s">
        <v>51</v>
      </c>
    </row>
    <row r="84" spans="1:11">
      <c r="J84" t="s">
        <v>3</v>
      </c>
      <c r="K84" t="s">
        <v>50</v>
      </c>
    </row>
    <row r="85" spans="1:11">
      <c r="J85" t="s">
        <v>5</v>
      </c>
      <c r="K85" t="s">
        <v>4</v>
      </c>
    </row>
    <row r="86" spans="1:11">
      <c r="J86" t="s">
        <v>7</v>
      </c>
      <c r="K86" t="s">
        <v>12</v>
      </c>
    </row>
    <row r="87" spans="1:11">
      <c r="J87" t="s">
        <v>9</v>
      </c>
      <c r="K87" t="s">
        <v>8</v>
      </c>
    </row>
    <row r="88" spans="1:11">
      <c r="J88" t="s">
        <v>11</v>
      </c>
      <c r="K88" t="s">
        <v>10</v>
      </c>
    </row>
    <row r="89" spans="1:11">
      <c r="J89" t="s">
        <v>32</v>
      </c>
      <c r="K89" t="s">
        <v>6</v>
      </c>
    </row>
    <row r="90" spans="1:11">
      <c r="J90" t="s">
        <v>41</v>
      </c>
      <c r="K90" t="s">
        <v>42</v>
      </c>
    </row>
    <row r="91" spans="1:11">
      <c r="J91" t="s">
        <v>34</v>
      </c>
      <c r="K91" t="s">
        <v>50</v>
      </c>
    </row>
    <row r="92" spans="1:11">
      <c r="J92" t="s">
        <v>35</v>
      </c>
      <c r="K92" t="s">
        <v>4</v>
      </c>
    </row>
    <row r="93" spans="1:11">
      <c r="J93" t="s">
        <v>36</v>
      </c>
      <c r="K93" t="s">
        <v>12</v>
      </c>
    </row>
    <row r="94" spans="1:11">
      <c r="J94" t="s">
        <v>37</v>
      </c>
      <c r="K94" t="s">
        <v>8</v>
      </c>
    </row>
    <row r="95" spans="1:11">
      <c r="J95" t="s">
        <v>38</v>
      </c>
      <c r="K95" t="s">
        <v>10</v>
      </c>
    </row>
    <row r="96" spans="1:11">
      <c r="J96" t="s">
        <v>39</v>
      </c>
      <c r="K96" t="s">
        <v>6</v>
      </c>
    </row>
    <row r="97" spans="1:18">
      <c r="J97" t="s">
        <v>43</v>
      </c>
      <c r="K97" t="s">
        <v>50</v>
      </c>
    </row>
    <row r="98" spans="1:18">
      <c r="I98" s="31" t="s">
        <v>2</v>
      </c>
      <c r="J98" t="s">
        <v>44</v>
      </c>
      <c r="K98" t="s">
        <v>4</v>
      </c>
    </row>
    <row r="99" spans="1:18">
      <c r="I99" s="31" t="s">
        <v>2</v>
      </c>
      <c r="J99" t="s">
        <v>45</v>
      </c>
      <c r="K99" t="s">
        <v>12</v>
      </c>
    </row>
    <row r="100" spans="1:18">
      <c r="I100" s="31" t="s">
        <v>2</v>
      </c>
      <c r="J100" t="s">
        <v>46</v>
      </c>
      <c r="K100" t="s">
        <v>8</v>
      </c>
    </row>
    <row r="101" spans="1:18">
      <c r="I101" s="31" t="s">
        <v>2</v>
      </c>
      <c r="J101" t="s">
        <v>47</v>
      </c>
      <c r="K101" t="s">
        <v>10</v>
      </c>
    </row>
    <row r="102" spans="1:18">
      <c r="I102" s="31" t="s">
        <v>2</v>
      </c>
      <c r="J102" t="s">
        <v>48</v>
      </c>
      <c r="K102" t="s">
        <v>6</v>
      </c>
    </row>
    <row r="109" spans="1:18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</row>
    <row r="110" spans="1:18">
      <c r="A110" s="20" t="s">
        <v>267</v>
      </c>
    </row>
    <row r="111" spans="1:18">
      <c r="A111" t="s">
        <v>53</v>
      </c>
    </row>
    <row r="112" spans="1:18">
      <c r="A112" t="s">
        <v>54</v>
      </c>
    </row>
    <row r="114" spans="1:14">
      <c r="A114" t="s">
        <v>55</v>
      </c>
    </row>
    <row r="116" spans="1:14">
      <c r="A116" t="s">
        <v>56</v>
      </c>
      <c r="B116" t="s">
        <v>57</v>
      </c>
      <c r="C116" t="s">
        <v>58</v>
      </c>
      <c r="D116" t="s">
        <v>59</v>
      </c>
      <c r="E116" t="s">
        <v>60</v>
      </c>
    </row>
    <row r="117" spans="1:14">
      <c r="A117">
        <v>1</v>
      </c>
      <c r="B117" s="75">
        <v>0.06</v>
      </c>
      <c r="C117" s="75">
        <v>4.8000000000000001E-2</v>
      </c>
      <c r="D117" s="75">
        <v>5.0999999999999997E-2</v>
      </c>
      <c r="E117" s="56">
        <f>AVERAGE(B117:D117)</f>
        <v>5.2999999999999999E-2</v>
      </c>
    </row>
    <row r="119" spans="1:14">
      <c r="A119" s="20" t="s">
        <v>61</v>
      </c>
    </row>
    <row r="120" spans="1:14">
      <c r="J120" s="31" t="s">
        <v>24</v>
      </c>
      <c r="L120" s="31" t="s">
        <v>24</v>
      </c>
      <c r="N120" s="31" t="s">
        <v>24</v>
      </c>
    </row>
    <row r="121" spans="1:14">
      <c r="A121" t="s">
        <v>56</v>
      </c>
      <c r="B121" t="s">
        <v>62</v>
      </c>
      <c r="C121" t="s">
        <v>63</v>
      </c>
      <c r="D121" t="s">
        <v>64</v>
      </c>
      <c r="E121" t="s">
        <v>60</v>
      </c>
      <c r="F121" t="s">
        <v>65</v>
      </c>
      <c r="G121" t="s">
        <v>66</v>
      </c>
      <c r="H121" t="s">
        <v>67</v>
      </c>
      <c r="I121" t="s">
        <v>68</v>
      </c>
      <c r="J121" t="s">
        <v>69</v>
      </c>
      <c r="L121" s="55" t="s">
        <v>60</v>
      </c>
      <c r="M121" s="55" t="s">
        <v>25</v>
      </c>
      <c r="N121" s="55" t="s">
        <v>70</v>
      </c>
    </row>
    <row r="122" spans="1:14">
      <c r="A122">
        <v>1</v>
      </c>
      <c r="B122" s="59">
        <v>0.11600000000000001</v>
      </c>
      <c r="C122" s="59">
        <v>0.11899999999999999</v>
      </c>
      <c r="D122" s="59">
        <v>0.122</v>
      </c>
      <c r="E122" s="56">
        <f>AVERAGE(B122:D122)</f>
        <v>0.11899999999999999</v>
      </c>
      <c r="F122" s="56">
        <f>E122-E117</f>
        <v>6.6000000000000003E-2</v>
      </c>
      <c r="G122" s="23">
        <v>0.53249999999999997</v>
      </c>
      <c r="H122">
        <v>0.02</v>
      </c>
      <c r="I122">
        <v>90</v>
      </c>
      <c r="J122" s="23">
        <f>1000*(F122/(G122*H122*I122))</f>
        <v>68.857589984350554</v>
      </c>
      <c r="L122" s="64">
        <f>AVERAGE(J122:J124)</f>
        <v>56.964918274482592</v>
      </c>
      <c r="M122" s="64">
        <f>STDEVA(J122:J124)</f>
        <v>11.521084927294662</v>
      </c>
      <c r="N122" s="64">
        <f>M122/SQRT(3)</f>
        <v>6.6517014841301139</v>
      </c>
    </row>
    <row r="123" spans="1:14">
      <c r="A123">
        <v>1</v>
      </c>
      <c r="B123" s="59">
        <v>0.10299999999999999</v>
      </c>
      <c r="C123" s="59">
        <v>0.105</v>
      </c>
      <c r="D123" s="59">
        <v>0.108</v>
      </c>
      <c r="E123" s="56">
        <f>AVERAGE(B123:D123)</f>
        <v>0.10533333333333333</v>
      </c>
      <c r="F123" s="56">
        <f>E123-E117</f>
        <v>5.2333333333333336E-2</v>
      </c>
      <c r="G123" s="23">
        <v>0.51749999999999996</v>
      </c>
      <c r="H123">
        <v>0.02</v>
      </c>
      <c r="I123">
        <v>90</v>
      </c>
      <c r="J123" s="23">
        <f>1000*(F123/(G123*H123*I123))</f>
        <v>56.18178565038469</v>
      </c>
    </row>
    <row r="124" spans="1:14">
      <c r="A124">
        <v>1</v>
      </c>
      <c r="B124" s="62">
        <v>9.5000000000000001E-2</v>
      </c>
      <c r="C124" s="62">
        <v>9.6000000000000002E-2</v>
      </c>
      <c r="D124" s="62">
        <v>9.8000000000000004E-2</v>
      </c>
      <c r="E124" s="56">
        <f t="shared" ref="E124" si="0">AVERAGE(B124:D124)</f>
        <v>9.633333333333334E-2</v>
      </c>
      <c r="F124" s="56">
        <f>E124-E117</f>
        <v>4.3333333333333342E-2</v>
      </c>
      <c r="G124" s="23">
        <v>0.52499999999999991</v>
      </c>
      <c r="H124">
        <v>0.02</v>
      </c>
      <c r="I124">
        <v>90</v>
      </c>
      <c r="J124" s="23">
        <f t="shared" ref="J124" si="1">1000*(F124/(G124*H124*I124))</f>
        <v>45.855379188712533</v>
      </c>
    </row>
    <row r="129" spans="1:18">
      <c r="A129" s="20" t="s">
        <v>71</v>
      </c>
    </row>
    <row r="130" spans="1:18">
      <c r="J130" s="31" t="s">
        <v>24</v>
      </c>
      <c r="L130" s="31" t="s">
        <v>24</v>
      </c>
      <c r="N130" s="31" t="s">
        <v>24</v>
      </c>
    </row>
    <row r="131" spans="1:18">
      <c r="A131" t="s">
        <v>56</v>
      </c>
      <c r="B131" t="s">
        <v>62</v>
      </c>
      <c r="C131" t="s">
        <v>63</v>
      </c>
      <c r="D131" t="s">
        <v>64</v>
      </c>
      <c r="E131" t="s">
        <v>60</v>
      </c>
      <c r="F131" t="s">
        <v>65</v>
      </c>
      <c r="G131" t="s">
        <v>66</v>
      </c>
      <c r="H131" t="s">
        <v>67</v>
      </c>
      <c r="I131" t="s">
        <v>68</v>
      </c>
      <c r="J131" t="s">
        <v>69</v>
      </c>
      <c r="L131" s="55" t="s">
        <v>60</v>
      </c>
      <c r="M131" s="55" t="s">
        <v>25</v>
      </c>
      <c r="N131" s="55" t="s">
        <v>70</v>
      </c>
    </row>
    <row r="132" spans="1:18">
      <c r="A132">
        <v>1</v>
      </c>
      <c r="B132" s="59">
        <v>0.371</v>
      </c>
      <c r="C132" s="59">
        <v>0.371</v>
      </c>
      <c r="D132" s="59">
        <v>0.34599999999999997</v>
      </c>
      <c r="E132" s="56">
        <f>AVERAGE(B132:D132)</f>
        <v>0.36266666666666669</v>
      </c>
      <c r="F132" s="56">
        <f>E132-E117</f>
        <v>0.3096666666666667</v>
      </c>
      <c r="G132" s="23">
        <v>0.59250000000000003</v>
      </c>
      <c r="H132">
        <v>0.02</v>
      </c>
      <c r="I132">
        <v>90</v>
      </c>
      <c r="J132" s="23">
        <f>1000*(F132/(G132*H132*I132))</f>
        <v>290.35786841694016</v>
      </c>
      <c r="L132" s="64">
        <f>AVERAGE(J132:J134)</f>
        <v>286.66159923099741</v>
      </c>
      <c r="M132" s="64">
        <f>STDEVA(J132:J134)</f>
        <v>4.9585118878932484</v>
      </c>
      <c r="N132" s="64">
        <f>M132/SQRT(3)</f>
        <v>2.8627981732551264</v>
      </c>
    </row>
    <row r="133" spans="1:18">
      <c r="A133">
        <v>1</v>
      </c>
      <c r="B133" s="59">
        <v>0.36299999999999999</v>
      </c>
      <c r="C133" s="59">
        <v>0.34799999999999998</v>
      </c>
      <c r="D133" s="59">
        <v>0.34799999999999998</v>
      </c>
      <c r="E133" s="56">
        <f>AVERAGE(B133:D133)</f>
        <v>0.35299999999999998</v>
      </c>
      <c r="F133" s="56">
        <f>E133-E117</f>
        <v>0.3</v>
      </c>
      <c r="G133" s="23">
        <v>0.57750000000000001</v>
      </c>
      <c r="H133">
        <v>0.02</v>
      </c>
      <c r="I133">
        <v>90</v>
      </c>
      <c r="J133" s="23">
        <f>1000*(F133/(G133*H133*I133))</f>
        <v>288.60028860028859</v>
      </c>
    </row>
    <row r="134" spans="1:18">
      <c r="A134">
        <v>1</v>
      </c>
      <c r="B134" s="62">
        <v>0.35299999999999998</v>
      </c>
      <c r="C134" s="62">
        <v>0.34399999999999997</v>
      </c>
      <c r="D134" s="62">
        <v>0.32700000000000001</v>
      </c>
      <c r="E134" s="56">
        <f t="shared" ref="E134" si="2">AVERAGE(B134:D134)</f>
        <v>0.34133333333333332</v>
      </c>
      <c r="F134" s="56">
        <f>E134-E117</f>
        <v>0.28833333333333333</v>
      </c>
      <c r="G134" s="23">
        <v>0.57000000000000006</v>
      </c>
      <c r="H134">
        <v>0.02</v>
      </c>
      <c r="I134">
        <v>90</v>
      </c>
      <c r="J134" s="23">
        <f t="shared" ref="J134" si="3">1000*(F134/(G134*H134*I134))</f>
        <v>281.02664067576342</v>
      </c>
    </row>
    <row r="136" spans="1:18">
      <c r="A136" s="20" t="s">
        <v>72</v>
      </c>
    </row>
    <row r="137" spans="1:18">
      <c r="J137" s="31" t="s">
        <v>24</v>
      </c>
      <c r="L137" s="31" t="s">
        <v>24</v>
      </c>
      <c r="N137" s="31" t="s">
        <v>24</v>
      </c>
    </row>
    <row r="138" spans="1:18">
      <c r="A138" t="s">
        <v>56</v>
      </c>
      <c r="B138" t="s">
        <v>62</v>
      </c>
      <c r="C138" t="s">
        <v>63</v>
      </c>
      <c r="D138" t="s">
        <v>64</v>
      </c>
      <c r="E138" t="s">
        <v>60</v>
      </c>
      <c r="F138" t="s">
        <v>65</v>
      </c>
      <c r="G138" t="s">
        <v>66</v>
      </c>
      <c r="H138" t="s">
        <v>67</v>
      </c>
      <c r="I138" t="s">
        <v>68</v>
      </c>
      <c r="J138" t="s">
        <v>69</v>
      </c>
      <c r="L138" s="55" t="s">
        <v>60</v>
      </c>
      <c r="M138" s="55" t="s">
        <v>25</v>
      </c>
      <c r="N138" s="55" t="s">
        <v>70</v>
      </c>
    </row>
    <row r="139" spans="1:18">
      <c r="A139">
        <v>1</v>
      </c>
      <c r="B139" s="59">
        <v>0.11600000000000001</v>
      </c>
      <c r="C139" s="59">
        <v>0.125</v>
      </c>
      <c r="D139" s="59">
        <v>0.124</v>
      </c>
      <c r="E139" s="56">
        <f>AVERAGE(B139:D139)</f>
        <v>0.12166666666666666</v>
      </c>
      <c r="F139" s="56">
        <f>E139-E117</f>
        <v>6.8666666666666654E-2</v>
      </c>
      <c r="G139" s="23">
        <v>0.52499999999999991</v>
      </c>
      <c r="H139">
        <v>0.02</v>
      </c>
      <c r="I139">
        <v>90</v>
      </c>
      <c r="J139" s="23">
        <f>1000*(F139/(G139*H139*I139))</f>
        <v>72.663139329805986</v>
      </c>
      <c r="L139" s="64">
        <f>AVERAGE(J139:J141)</f>
        <v>66.499671974712243</v>
      </c>
      <c r="M139" s="64">
        <f>STDEVA(J139:J141)</f>
        <v>5.3449855069336847</v>
      </c>
      <c r="N139" s="64">
        <f>M139/SQRT(3)</f>
        <v>3.0859288212428115</v>
      </c>
    </row>
    <row r="140" spans="1:18">
      <c r="A140">
        <v>1</v>
      </c>
      <c r="B140" s="59">
        <v>0.109</v>
      </c>
      <c r="C140" s="59">
        <v>0.113</v>
      </c>
      <c r="D140" s="59">
        <v>0.11600000000000001</v>
      </c>
      <c r="E140" s="56">
        <f>AVERAGE(B140:D140)</f>
        <v>0.11266666666666668</v>
      </c>
      <c r="F140" s="56">
        <f>E140-E117</f>
        <v>5.966666666666668E-2</v>
      </c>
      <c r="G140" s="23">
        <v>0.52499999999999991</v>
      </c>
      <c r="H140">
        <v>0.02</v>
      </c>
      <c r="I140">
        <v>90</v>
      </c>
      <c r="J140" s="23">
        <f>1000*(F140/(G140*H140*I140))</f>
        <v>63.139329805996489</v>
      </c>
    </row>
    <row r="141" spans="1:18">
      <c r="A141">
        <v>1</v>
      </c>
      <c r="B141" s="62">
        <v>0.109</v>
      </c>
      <c r="C141" s="62">
        <v>0.113</v>
      </c>
      <c r="D141" s="62">
        <v>0.115</v>
      </c>
      <c r="E141" s="56">
        <f t="shared" ref="E141" si="4">AVERAGE(B141:D141)</f>
        <v>0.11233333333333334</v>
      </c>
      <c r="F141" s="56">
        <f>E141-E117</f>
        <v>5.9333333333333342E-2</v>
      </c>
      <c r="G141" s="23">
        <v>0.51749999999999996</v>
      </c>
      <c r="H141">
        <v>0.02</v>
      </c>
      <c r="I141">
        <v>90</v>
      </c>
      <c r="J141" s="23">
        <f t="shared" ref="J141" si="5">1000*(F141/(G141*H141*I141))</f>
        <v>63.696546788334238</v>
      </c>
    </row>
    <row r="142" spans="1:18">
      <c r="B142" s="79"/>
      <c r="C142" s="79"/>
      <c r="D142" s="79"/>
      <c r="E142" s="56"/>
      <c r="F142" s="56"/>
      <c r="G142" s="23"/>
      <c r="J142" s="23"/>
    </row>
    <row r="144" spans="1:18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</row>
    <row r="145" spans="1:9">
      <c r="A145" s="20"/>
    </row>
    <row r="154" spans="1:9">
      <c r="I154" s="74"/>
    </row>
    <row r="156" spans="1:9">
      <c r="I156" s="74"/>
    </row>
    <row r="158" spans="1:9">
      <c r="I158" s="74"/>
    </row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82" spans="9:9">
      <c r="I182" s="74"/>
    </row>
    <row r="184" spans="9:9">
      <c r="I184" s="74"/>
    </row>
    <row r="186" spans="9:9">
      <c r="I186" s="74"/>
    </row>
    <row r="193" customFormat="1"/>
    <row r="194" customFormat="1"/>
    <row r="195" customFormat="1"/>
    <row r="196" customFormat="1"/>
    <row r="197" customFormat="1"/>
  </sheetData>
  <phoneticPr fontId="15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AE9B6-1C4C-1645-B2F4-8D0026D1B445}">
  <dimension ref="A1:Y64"/>
  <sheetViews>
    <sheetView tabSelected="1" workbookViewId="0">
      <selection activeCell="I4" sqref="I4"/>
    </sheetView>
  </sheetViews>
  <sheetFormatPr defaultColWidth="11" defaultRowHeight="15.75"/>
  <sheetData>
    <row r="1" spans="1:25">
      <c r="A1" s="20" t="s">
        <v>268</v>
      </c>
    </row>
    <row r="2" spans="1:25">
      <c r="A2" t="s">
        <v>74</v>
      </c>
    </row>
    <row r="4" spans="1:25">
      <c r="A4" t="s">
        <v>135</v>
      </c>
    </row>
    <row r="6" spans="1:25">
      <c r="A6" s="20" t="s">
        <v>136</v>
      </c>
      <c r="D6" s="31" t="s">
        <v>24</v>
      </c>
      <c r="G6" s="31" t="s">
        <v>24</v>
      </c>
    </row>
    <row r="7" spans="1:25">
      <c r="A7" s="3"/>
      <c r="B7" s="83" t="s">
        <v>269</v>
      </c>
      <c r="C7" s="83"/>
      <c r="D7" s="83"/>
      <c r="E7" s="83" t="s">
        <v>270</v>
      </c>
      <c r="F7" s="83"/>
      <c r="G7" s="83"/>
      <c r="H7" s="3"/>
      <c r="I7" s="3"/>
      <c r="J7" s="3"/>
      <c r="K7" s="73"/>
      <c r="L7" s="73"/>
      <c r="M7" s="3"/>
      <c r="N7" s="83"/>
      <c r="O7" s="83"/>
      <c r="P7" s="83"/>
      <c r="Y7" s="47" t="s">
        <v>137</v>
      </c>
    </row>
    <row r="8" spans="1:25">
      <c r="A8" s="48" t="s">
        <v>85</v>
      </c>
      <c r="B8" t="s">
        <v>86</v>
      </c>
      <c r="C8" t="s">
        <v>87</v>
      </c>
      <c r="D8" s="26" t="s">
        <v>88</v>
      </c>
      <c r="E8" t="s">
        <v>86</v>
      </c>
      <c r="F8" t="s">
        <v>87</v>
      </c>
      <c r="G8" s="26" t="s">
        <v>88</v>
      </c>
      <c r="H8" s="49" t="s">
        <v>89</v>
      </c>
      <c r="I8" s="49" t="s">
        <v>90</v>
      </c>
      <c r="J8" s="49" t="s">
        <v>91</v>
      </c>
      <c r="K8" s="50" t="s">
        <v>92</v>
      </c>
      <c r="L8" s="50" t="s">
        <v>93</v>
      </c>
      <c r="M8" s="50" t="s">
        <v>94</v>
      </c>
      <c r="N8" s="50" t="s">
        <v>95</v>
      </c>
      <c r="Y8" t="s">
        <v>78</v>
      </c>
    </row>
    <row r="9" spans="1:25">
      <c r="A9" s="48">
        <v>0</v>
      </c>
      <c r="B9">
        <v>100</v>
      </c>
      <c r="C9">
        <v>0</v>
      </c>
      <c r="D9" s="26">
        <v>0</v>
      </c>
      <c r="E9">
        <v>100</v>
      </c>
      <c r="F9">
        <v>0</v>
      </c>
      <c r="G9" s="26">
        <v>0</v>
      </c>
      <c r="H9" s="49">
        <f>AVERAGE(D9,G9)</f>
        <v>0</v>
      </c>
      <c r="I9" s="49">
        <f>STDEV(D9,G9)</f>
        <v>0</v>
      </c>
      <c r="J9" s="49">
        <f>STDEV(D9,G9)/SQRT(COUNT(D9,G9))</f>
        <v>0</v>
      </c>
      <c r="K9" s="51">
        <f>MAX($D9,$G9)</f>
        <v>0</v>
      </c>
      <c r="L9" s="51">
        <f>MIN($D9,$G9)</f>
        <v>0</v>
      </c>
      <c r="M9" s="51">
        <f>K9-L9</f>
        <v>0</v>
      </c>
      <c r="N9" s="50">
        <f>M9/2</f>
        <v>0</v>
      </c>
      <c r="Y9" t="s">
        <v>84</v>
      </c>
    </row>
    <row r="10" spans="1:25">
      <c r="A10" s="48">
        <v>120</v>
      </c>
      <c r="B10">
        <v>10331.61</v>
      </c>
      <c r="C10">
        <v>416.26299999999998</v>
      </c>
      <c r="D10" s="26">
        <f t="shared" ref="D10:D19" si="0">C10/(B10+C10)</f>
        <v>3.8729802631646271E-2</v>
      </c>
      <c r="E10">
        <v>9744.66</v>
      </c>
      <c r="F10">
        <v>348.26299999999998</v>
      </c>
      <c r="G10" s="26">
        <f t="shared" ref="G10:G19" si="1">F10/(E10+F10)</f>
        <v>3.450566302745002E-2</v>
      </c>
      <c r="H10" s="49">
        <f t="shared" ref="H10:H19" si="2">AVERAGE(D10,G10)</f>
        <v>3.6617732829548146E-2</v>
      </c>
      <c r="I10" s="49">
        <f t="shared" ref="I10:I19" si="3">STDEV(D10,G10)</f>
        <v>2.9869177588058276E-3</v>
      </c>
      <c r="J10" s="49">
        <f t="shared" ref="J10:J19" si="4">STDEV(D10,G10)/SQRT(COUNT(D10,G10))</f>
        <v>2.1120698020981252E-3</v>
      </c>
      <c r="K10" s="51">
        <f t="shared" ref="K10:K19" si="5">MAX($D10,$G10)</f>
        <v>3.8729802631646271E-2</v>
      </c>
      <c r="L10" s="51">
        <f t="shared" ref="L10:L19" si="6">MIN($D10,$G10)</f>
        <v>3.450566302745002E-2</v>
      </c>
      <c r="M10" s="51">
        <f t="shared" ref="M10:M19" si="7">K10-L10</f>
        <v>4.2241396041962503E-3</v>
      </c>
      <c r="N10" s="50">
        <f t="shared" ref="N10:N18" si="8">M10/2</f>
        <v>2.1120698020981252E-3</v>
      </c>
      <c r="Y10" t="s">
        <v>96</v>
      </c>
    </row>
    <row r="11" spans="1:25">
      <c r="A11" s="48">
        <v>300</v>
      </c>
      <c r="B11">
        <v>10429.196</v>
      </c>
      <c r="C11">
        <v>1185.3050000000001</v>
      </c>
      <c r="D11" s="26">
        <f t="shared" si="0"/>
        <v>0.10205388935779505</v>
      </c>
      <c r="E11">
        <v>8918.2459999999992</v>
      </c>
      <c r="F11">
        <v>959.35500000000002</v>
      </c>
      <c r="G11" s="26">
        <f t="shared" si="1"/>
        <v>9.7124291616962469E-2</v>
      </c>
      <c r="H11" s="49">
        <f t="shared" si="2"/>
        <v>9.9589090487378767E-2</v>
      </c>
      <c r="I11" s="49">
        <f t="shared" si="3"/>
        <v>3.485751991064605E-3</v>
      </c>
      <c r="J11" s="49">
        <f t="shared" si="4"/>
        <v>2.4647988704162918E-3</v>
      </c>
      <c r="K11" s="51">
        <f t="shared" si="5"/>
        <v>0.10205388935779505</v>
      </c>
      <c r="L11" s="51">
        <f t="shared" si="6"/>
        <v>9.7124291616962469E-2</v>
      </c>
      <c r="M11" s="51">
        <f t="shared" si="7"/>
        <v>4.9295977408325836E-3</v>
      </c>
      <c r="N11" s="50">
        <f t="shared" si="8"/>
        <v>2.4647988704162918E-3</v>
      </c>
      <c r="Y11" t="s">
        <v>97</v>
      </c>
    </row>
    <row r="12" spans="1:25">
      <c r="A12" s="48">
        <v>600</v>
      </c>
      <c r="B12">
        <v>9380.3680000000004</v>
      </c>
      <c r="C12">
        <v>2154.8609999999999</v>
      </c>
      <c r="D12" s="26">
        <f t="shared" si="0"/>
        <v>0.18680695459101851</v>
      </c>
      <c r="E12">
        <v>8983.61</v>
      </c>
      <c r="F12">
        <v>2300.326</v>
      </c>
      <c r="G12" s="26">
        <f t="shared" si="1"/>
        <v>0.20385847633308091</v>
      </c>
      <c r="H12" s="49">
        <f t="shared" si="2"/>
        <v>0.19533271546204972</v>
      </c>
      <c r="I12" s="49">
        <f t="shared" si="3"/>
        <v>1.2057246653362174E-2</v>
      </c>
      <c r="J12" s="49">
        <f t="shared" si="4"/>
        <v>8.5257608710311988E-3</v>
      </c>
      <c r="K12" s="51">
        <f t="shared" si="5"/>
        <v>0.20385847633308091</v>
      </c>
      <c r="L12" s="51">
        <f t="shared" si="6"/>
        <v>0.18680695459101851</v>
      </c>
      <c r="M12" s="51">
        <f t="shared" si="7"/>
        <v>1.7051521742062398E-2</v>
      </c>
      <c r="N12" s="50">
        <f t="shared" si="8"/>
        <v>8.5257608710311988E-3</v>
      </c>
      <c r="Y12" t="s">
        <v>98</v>
      </c>
    </row>
    <row r="13" spans="1:25">
      <c r="A13" s="48">
        <v>1200</v>
      </c>
      <c r="B13">
        <v>9356.7309999999998</v>
      </c>
      <c r="C13">
        <v>3024.8110000000001</v>
      </c>
      <c r="D13" s="26">
        <f t="shared" si="0"/>
        <v>0.24430002337350229</v>
      </c>
      <c r="E13">
        <v>8949.1959999999999</v>
      </c>
      <c r="F13">
        <v>2999.69</v>
      </c>
      <c r="G13" s="26">
        <f t="shared" si="1"/>
        <v>0.2510434863969746</v>
      </c>
      <c r="H13" s="49">
        <f t="shared" si="2"/>
        <v>0.24767175488523846</v>
      </c>
      <c r="I13" s="49">
        <f t="shared" si="3"/>
        <v>4.7683484325780111E-3</v>
      </c>
      <c r="J13" s="49">
        <f t="shared" si="4"/>
        <v>3.3717315117361563E-3</v>
      </c>
      <c r="K13" s="51">
        <f t="shared" si="5"/>
        <v>0.2510434863969746</v>
      </c>
      <c r="L13" s="51">
        <f t="shared" si="6"/>
        <v>0.24430002337350229</v>
      </c>
      <c r="M13" s="51">
        <f t="shared" si="7"/>
        <v>6.7434630234723125E-3</v>
      </c>
      <c r="N13" s="50">
        <f t="shared" si="8"/>
        <v>3.3717315117361563E-3</v>
      </c>
      <c r="Y13" t="s">
        <v>99</v>
      </c>
    </row>
    <row r="14" spans="1:25">
      <c r="A14" s="48">
        <v>1800</v>
      </c>
      <c r="B14">
        <v>7325.0749999999998</v>
      </c>
      <c r="C14">
        <v>5407.3680000000004</v>
      </c>
      <c r="D14" s="26">
        <f t="shared" si="0"/>
        <v>0.42469210347142339</v>
      </c>
      <c r="E14">
        <v>6730.8320000000003</v>
      </c>
      <c r="F14">
        <v>5424.4179999999997</v>
      </c>
      <c r="G14" s="26">
        <f t="shared" si="1"/>
        <v>0.44626132740996688</v>
      </c>
      <c r="H14" s="49">
        <f t="shared" si="2"/>
        <v>0.43547671544069511</v>
      </c>
      <c r="I14" s="49">
        <f t="shared" si="3"/>
        <v>1.5251744511875314E-2</v>
      </c>
      <c r="J14" s="49">
        <f t="shared" si="4"/>
        <v>1.0784611969271744E-2</v>
      </c>
      <c r="K14" s="51">
        <f t="shared" si="5"/>
        <v>0.44626132740996688</v>
      </c>
      <c r="L14" s="51">
        <f t="shared" si="6"/>
        <v>0.42469210347142339</v>
      </c>
      <c r="M14" s="51">
        <f t="shared" si="7"/>
        <v>2.1569223938543491E-2</v>
      </c>
      <c r="N14" s="50">
        <f t="shared" si="8"/>
        <v>1.0784611969271746E-2</v>
      </c>
      <c r="Y14" t="s">
        <v>100</v>
      </c>
    </row>
    <row r="15" spans="1:25">
      <c r="A15" s="48">
        <v>2700</v>
      </c>
      <c r="B15">
        <v>5766.4679999999998</v>
      </c>
      <c r="C15">
        <v>6641.8320000000003</v>
      </c>
      <c r="D15" s="26">
        <f t="shared" si="0"/>
        <v>0.53527332511302927</v>
      </c>
      <c r="E15">
        <v>5822.4179999999997</v>
      </c>
      <c r="F15">
        <v>6767.5389999999998</v>
      </c>
      <c r="G15" s="26">
        <f t="shared" si="1"/>
        <v>0.53753471914161421</v>
      </c>
      <c r="H15" s="49">
        <f t="shared" si="2"/>
        <v>0.53640402212732174</v>
      </c>
      <c r="I15" s="49">
        <f t="shared" si="3"/>
        <v>1.5990470525471764E-3</v>
      </c>
      <c r="J15" s="49">
        <f t="shared" si="4"/>
        <v>1.1306970142924699E-3</v>
      </c>
      <c r="K15" s="51">
        <f t="shared" si="5"/>
        <v>0.53753471914161421</v>
      </c>
      <c r="L15" s="51">
        <f t="shared" si="6"/>
        <v>0.53527332511302927</v>
      </c>
      <c r="M15" s="51">
        <f t="shared" si="7"/>
        <v>2.2613940285849399E-3</v>
      </c>
      <c r="N15" s="50">
        <f t="shared" si="8"/>
        <v>1.1306970142924699E-3</v>
      </c>
      <c r="Y15" t="s">
        <v>101</v>
      </c>
    </row>
    <row r="16" spans="1:25">
      <c r="A16" s="48">
        <v>3600</v>
      </c>
      <c r="B16">
        <v>4874.4679999999998</v>
      </c>
      <c r="C16">
        <v>7964.7820000000002</v>
      </c>
      <c r="D16" s="26">
        <f t="shared" si="0"/>
        <v>0.6203463597951594</v>
      </c>
      <c r="E16">
        <v>4994.7110000000002</v>
      </c>
      <c r="F16">
        <v>7712.3680000000004</v>
      </c>
      <c r="G16" s="26">
        <f t="shared" si="1"/>
        <v>0.60693476447262185</v>
      </c>
      <c r="H16" s="49">
        <f t="shared" si="2"/>
        <v>0.61364056213389062</v>
      </c>
      <c r="I16" s="49">
        <f t="shared" si="3"/>
        <v>9.4834299990960835E-3</v>
      </c>
      <c r="J16" s="49">
        <f t="shared" si="4"/>
        <v>6.7057976612687744E-3</v>
      </c>
      <c r="K16" s="51">
        <f t="shared" si="5"/>
        <v>0.6203463597951594</v>
      </c>
      <c r="L16" s="51">
        <f t="shared" si="6"/>
        <v>0.60693476447262185</v>
      </c>
      <c r="M16" s="51">
        <f t="shared" si="7"/>
        <v>1.3411595322537551E-2</v>
      </c>
      <c r="N16" s="50">
        <f t="shared" si="8"/>
        <v>6.7057976612687753E-3</v>
      </c>
      <c r="Y16" t="s">
        <v>102</v>
      </c>
    </row>
    <row r="17" spans="1:25">
      <c r="A17" s="48">
        <v>5400</v>
      </c>
      <c r="B17">
        <v>3150.69</v>
      </c>
      <c r="C17">
        <v>9330.7309999999998</v>
      </c>
      <c r="D17" s="26">
        <f t="shared" si="0"/>
        <v>0.74756960765925606</v>
      </c>
      <c r="E17">
        <v>2692.69</v>
      </c>
      <c r="F17">
        <v>7948.5389999999998</v>
      </c>
      <c r="G17" s="26">
        <f t="shared" si="1"/>
        <v>0.74695685996420158</v>
      </c>
      <c r="H17" s="49">
        <f t="shared" si="2"/>
        <v>0.74726323381172888</v>
      </c>
      <c r="I17" s="49">
        <f t="shared" si="3"/>
        <v>4.3327805032945165E-4</v>
      </c>
      <c r="J17" s="49">
        <f t="shared" si="4"/>
        <v>3.0637384752724145E-4</v>
      </c>
      <c r="K17" s="51">
        <f t="shared" si="5"/>
        <v>0.74756960765925606</v>
      </c>
      <c r="L17" s="51">
        <f t="shared" si="6"/>
        <v>0.74695685996420158</v>
      </c>
      <c r="M17" s="51">
        <f t="shared" si="7"/>
        <v>6.1274769505448301E-4</v>
      </c>
      <c r="N17" s="50">
        <f t="shared" si="8"/>
        <v>3.0637384752724151E-4</v>
      </c>
      <c r="Y17" t="s">
        <v>103</v>
      </c>
    </row>
    <row r="18" spans="1:25">
      <c r="A18" s="48">
        <v>7200</v>
      </c>
      <c r="B18">
        <v>1926.912</v>
      </c>
      <c r="C18">
        <v>9153.9030000000002</v>
      </c>
      <c r="D18" s="26">
        <f t="shared" si="0"/>
        <v>0.82610376583310885</v>
      </c>
      <c r="E18">
        <v>1695.79</v>
      </c>
      <c r="F18">
        <v>8642.1959999999999</v>
      </c>
      <c r="G18" s="26">
        <f t="shared" si="1"/>
        <v>0.83596514833740332</v>
      </c>
      <c r="H18" s="49">
        <f t="shared" si="2"/>
        <v>0.83103445708525614</v>
      </c>
      <c r="I18" s="49">
        <f t="shared" si="3"/>
        <v>6.973050440660997E-3</v>
      </c>
      <c r="J18" s="49">
        <f t="shared" si="4"/>
        <v>4.9306912521472337E-3</v>
      </c>
      <c r="K18" s="51">
        <f t="shared" si="5"/>
        <v>0.83596514833740332</v>
      </c>
      <c r="L18" s="51">
        <f t="shared" si="6"/>
        <v>0.82610376583310885</v>
      </c>
      <c r="M18" s="51">
        <f t="shared" si="7"/>
        <v>9.8613825042944692E-3</v>
      </c>
      <c r="N18" s="50">
        <f t="shared" si="8"/>
        <v>4.9306912521472346E-3</v>
      </c>
      <c r="Y18" t="s">
        <v>104</v>
      </c>
    </row>
    <row r="19" spans="1:25">
      <c r="A19" s="48">
        <v>10800</v>
      </c>
      <c r="B19">
        <v>1069.8910000000001</v>
      </c>
      <c r="C19">
        <v>10204.974</v>
      </c>
      <c r="D19" s="26">
        <f t="shared" si="0"/>
        <v>0.90510830950082333</v>
      </c>
      <c r="E19">
        <v>995.94100000000003</v>
      </c>
      <c r="F19">
        <v>9492.4390000000003</v>
      </c>
      <c r="G19" s="26">
        <f t="shared" si="1"/>
        <v>0.90504339087637931</v>
      </c>
      <c r="H19" s="49">
        <f t="shared" si="2"/>
        <v>0.90507585018860137</v>
      </c>
      <c r="I19" s="49">
        <f t="shared" si="3"/>
        <v>4.5904399569670299E-5</v>
      </c>
      <c r="J19" s="49">
        <f t="shared" si="4"/>
        <v>3.2459312222010699E-5</v>
      </c>
      <c r="K19" s="51">
        <f t="shared" si="5"/>
        <v>0.90510830950082333</v>
      </c>
      <c r="L19" s="51">
        <f t="shared" si="6"/>
        <v>0.90504339087637931</v>
      </c>
      <c r="M19" s="51">
        <f t="shared" si="7"/>
        <v>6.4918624444021411E-5</v>
      </c>
      <c r="N19" s="50">
        <f>M19/2</f>
        <v>3.2459312222010706E-5</v>
      </c>
    </row>
    <row r="21" spans="1:25">
      <c r="A21" s="20" t="s">
        <v>143</v>
      </c>
      <c r="D21" s="31" t="s">
        <v>24</v>
      </c>
      <c r="G21" s="31" t="s">
        <v>24</v>
      </c>
    </row>
    <row r="22" spans="1:25">
      <c r="A22" s="3"/>
      <c r="B22" s="83" t="s">
        <v>269</v>
      </c>
      <c r="C22" s="83"/>
      <c r="D22" s="83"/>
      <c r="E22" s="83" t="s">
        <v>270</v>
      </c>
      <c r="F22" s="83"/>
      <c r="G22" s="83"/>
      <c r="H22" s="3"/>
      <c r="I22" s="3"/>
      <c r="J22" s="3"/>
      <c r="K22" s="47"/>
      <c r="L22" s="47"/>
      <c r="M22" s="3"/>
      <c r="N22" s="83"/>
      <c r="O22" s="83"/>
      <c r="P22" s="83"/>
    </row>
    <row r="23" spans="1:25">
      <c r="A23" s="48" t="s">
        <v>85</v>
      </c>
      <c r="B23" t="s">
        <v>86</v>
      </c>
      <c r="C23" t="s">
        <v>87</v>
      </c>
      <c r="D23" s="26" t="s">
        <v>88</v>
      </c>
      <c r="E23" t="s">
        <v>86</v>
      </c>
      <c r="F23" t="s">
        <v>87</v>
      </c>
      <c r="G23" s="26" t="s">
        <v>88</v>
      </c>
      <c r="H23" s="49" t="s">
        <v>89</v>
      </c>
      <c r="I23" s="49" t="s">
        <v>90</v>
      </c>
      <c r="J23" s="49" t="s">
        <v>91</v>
      </c>
      <c r="K23" s="50" t="s">
        <v>92</v>
      </c>
      <c r="L23" s="50" t="s">
        <v>93</v>
      </c>
      <c r="M23" s="50" t="s">
        <v>94</v>
      </c>
      <c r="N23" s="50" t="s">
        <v>95</v>
      </c>
    </row>
    <row r="24" spans="1:25">
      <c r="A24" s="48">
        <v>0</v>
      </c>
      <c r="B24">
        <v>100</v>
      </c>
      <c r="C24">
        <v>0</v>
      </c>
      <c r="D24" s="26">
        <v>0</v>
      </c>
      <c r="E24">
        <v>100</v>
      </c>
      <c r="F24">
        <v>0</v>
      </c>
      <c r="G24" s="26">
        <v>0</v>
      </c>
      <c r="H24" s="49">
        <f>AVERAGE(D24,G24)</f>
        <v>0</v>
      </c>
      <c r="I24" s="49">
        <f>STDEV(D24,G24)</f>
        <v>0</v>
      </c>
      <c r="J24" s="49">
        <f>STDEV(D24,G24)/SQRT(COUNT(D24,G24))</f>
        <v>0</v>
      </c>
      <c r="K24" s="51">
        <f>MAX($D24,$G24)</f>
        <v>0</v>
      </c>
      <c r="L24" s="51">
        <f>MIN($D24,$G24)</f>
        <v>0</v>
      </c>
      <c r="M24" s="51">
        <f>K24-L24</f>
        <v>0</v>
      </c>
      <c r="N24" s="50">
        <f>M24/2</f>
        <v>0</v>
      </c>
    </row>
    <row r="25" spans="1:25">
      <c r="A25" s="48">
        <v>120</v>
      </c>
      <c r="B25">
        <v>100</v>
      </c>
      <c r="C25">
        <v>0</v>
      </c>
      <c r="D25" s="26">
        <f>C25/(B25+C25)</f>
        <v>0</v>
      </c>
      <c r="E25">
        <v>100</v>
      </c>
      <c r="F25">
        <v>0</v>
      </c>
      <c r="G25" s="26">
        <f t="shared" ref="G25:G34" si="9">F25/(E25+F25)</f>
        <v>0</v>
      </c>
      <c r="H25" s="49">
        <f t="shared" ref="H25:H34" si="10">AVERAGE(D25,G25)</f>
        <v>0</v>
      </c>
      <c r="I25" s="49">
        <f t="shared" ref="I25:I34" si="11">STDEV(D25,G25)</f>
        <v>0</v>
      </c>
      <c r="J25" s="49">
        <f t="shared" ref="J25:J34" si="12">STDEV(D25,G25)/SQRT(COUNT(D25,G25))</f>
        <v>0</v>
      </c>
      <c r="K25" s="51">
        <f t="shared" ref="K25:K34" si="13">MAX($D25,$G25)</f>
        <v>0</v>
      </c>
      <c r="L25" s="51">
        <f t="shared" ref="L25:L34" si="14">MIN($D25,$G25)</f>
        <v>0</v>
      </c>
      <c r="M25" s="51">
        <f t="shared" ref="M25:M34" si="15">K25-L25</f>
        <v>0</v>
      </c>
      <c r="N25" s="50">
        <f t="shared" ref="N25:N33" si="16">M25/2</f>
        <v>0</v>
      </c>
    </row>
    <row r="26" spans="1:25">
      <c r="A26" s="48">
        <v>300</v>
      </c>
      <c r="B26">
        <v>100</v>
      </c>
      <c r="C26">
        <v>0</v>
      </c>
      <c r="D26" s="26">
        <f t="shared" ref="D26:D34" si="17">C26/(B26+C26)</f>
        <v>0</v>
      </c>
      <c r="E26">
        <v>100</v>
      </c>
      <c r="F26">
        <v>0</v>
      </c>
      <c r="G26" s="26">
        <f t="shared" si="9"/>
        <v>0</v>
      </c>
      <c r="H26" s="49">
        <f t="shared" si="10"/>
        <v>0</v>
      </c>
      <c r="I26" s="49">
        <f t="shared" si="11"/>
        <v>0</v>
      </c>
      <c r="J26" s="49">
        <f t="shared" si="12"/>
        <v>0</v>
      </c>
      <c r="K26" s="51">
        <f t="shared" si="13"/>
        <v>0</v>
      </c>
      <c r="L26" s="51">
        <f t="shared" si="14"/>
        <v>0</v>
      </c>
      <c r="M26" s="51">
        <f t="shared" si="15"/>
        <v>0</v>
      </c>
      <c r="N26" s="50">
        <f t="shared" si="16"/>
        <v>0</v>
      </c>
    </row>
    <row r="27" spans="1:25">
      <c r="A27" s="48">
        <v>600</v>
      </c>
      <c r="B27">
        <v>100</v>
      </c>
      <c r="C27">
        <v>0</v>
      </c>
      <c r="D27" s="26">
        <f t="shared" si="17"/>
        <v>0</v>
      </c>
      <c r="E27">
        <v>100</v>
      </c>
      <c r="F27">
        <v>0</v>
      </c>
      <c r="G27" s="26">
        <f t="shared" si="9"/>
        <v>0</v>
      </c>
      <c r="H27" s="49">
        <f t="shared" si="10"/>
        <v>0</v>
      </c>
      <c r="I27" s="49">
        <f t="shared" si="11"/>
        <v>0</v>
      </c>
      <c r="J27" s="49">
        <f t="shared" si="12"/>
        <v>0</v>
      </c>
      <c r="K27" s="51">
        <f t="shared" si="13"/>
        <v>0</v>
      </c>
      <c r="L27" s="51">
        <f t="shared" si="14"/>
        <v>0</v>
      </c>
      <c r="M27" s="51">
        <f t="shared" si="15"/>
        <v>0</v>
      </c>
      <c r="N27" s="50">
        <f t="shared" si="16"/>
        <v>0</v>
      </c>
    </row>
    <row r="28" spans="1:25">
      <c r="A28" s="48">
        <v>1200</v>
      </c>
      <c r="B28">
        <v>100</v>
      </c>
      <c r="C28">
        <v>0</v>
      </c>
      <c r="D28" s="26">
        <f t="shared" si="17"/>
        <v>0</v>
      </c>
      <c r="E28">
        <v>100</v>
      </c>
      <c r="F28">
        <v>0</v>
      </c>
      <c r="G28" s="26">
        <f t="shared" si="9"/>
        <v>0</v>
      </c>
      <c r="H28" s="49">
        <f t="shared" si="10"/>
        <v>0</v>
      </c>
      <c r="I28" s="49">
        <f t="shared" si="11"/>
        <v>0</v>
      </c>
      <c r="J28" s="49">
        <f t="shared" si="12"/>
        <v>0</v>
      </c>
      <c r="K28" s="51">
        <f t="shared" si="13"/>
        <v>0</v>
      </c>
      <c r="L28" s="51">
        <f t="shared" si="14"/>
        <v>0</v>
      </c>
      <c r="M28" s="51">
        <f t="shared" si="15"/>
        <v>0</v>
      </c>
      <c r="N28" s="50">
        <f t="shared" si="16"/>
        <v>0</v>
      </c>
    </row>
    <row r="29" spans="1:25">
      <c r="A29" s="48">
        <v>1800</v>
      </c>
      <c r="B29">
        <v>100</v>
      </c>
      <c r="C29">
        <v>0</v>
      </c>
      <c r="D29" s="26">
        <f t="shared" si="17"/>
        <v>0</v>
      </c>
      <c r="E29">
        <v>100</v>
      </c>
      <c r="F29">
        <v>0</v>
      </c>
      <c r="G29" s="26">
        <f t="shared" si="9"/>
        <v>0</v>
      </c>
      <c r="H29" s="49">
        <f t="shared" si="10"/>
        <v>0</v>
      </c>
      <c r="I29" s="49">
        <f t="shared" si="11"/>
        <v>0</v>
      </c>
      <c r="J29" s="49">
        <f t="shared" si="12"/>
        <v>0</v>
      </c>
      <c r="K29" s="51">
        <f t="shared" si="13"/>
        <v>0</v>
      </c>
      <c r="L29" s="51">
        <f t="shared" si="14"/>
        <v>0</v>
      </c>
      <c r="M29" s="51">
        <f t="shared" si="15"/>
        <v>0</v>
      </c>
      <c r="N29" s="50">
        <f t="shared" si="16"/>
        <v>0</v>
      </c>
    </row>
    <row r="30" spans="1:25">
      <c r="A30" s="48">
        <v>2700</v>
      </c>
      <c r="B30">
        <v>100</v>
      </c>
      <c r="C30">
        <v>0</v>
      </c>
      <c r="D30" s="26">
        <f t="shared" si="17"/>
        <v>0</v>
      </c>
      <c r="E30">
        <v>100</v>
      </c>
      <c r="F30">
        <v>0</v>
      </c>
      <c r="G30" s="26">
        <f t="shared" si="9"/>
        <v>0</v>
      </c>
      <c r="H30" s="49">
        <f t="shared" si="10"/>
        <v>0</v>
      </c>
      <c r="I30" s="49">
        <f t="shared" si="11"/>
        <v>0</v>
      </c>
      <c r="J30" s="49">
        <f t="shared" si="12"/>
        <v>0</v>
      </c>
      <c r="K30" s="51">
        <f t="shared" si="13"/>
        <v>0</v>
      </c>
      <c r="L30" s="51">
        <f t="shared" si="14"/>
        <v>0</v>
      </c>
      <c r="M30" s="51">
        <f t="shared" si="15"/>
        <v>0</v>
      </c>
      <c r="N30" s="50">
        <f t="shared" si="16"/>
        <v>0</v>
      </c>
    </row>
    <row r="31" spans="1:25">
      <c r="A31" s="48">
        <v>3600</v>
      </c>
      <c r="B31">
        <v>100</v>
      </c>
      <c r="C31">
        <v>0</v>
      </c>
      <c r="D31" s="26">
        <f t="shared" si="17"/>
        <v>0</v>
      </c>
      <c r="E31">
        <v>100</v>
      </c>
      <c r="F31">
        <v>0</v>
      </c>
      <c r="G31" s="26">
        <f t="shared" si="9"/>
        <v>0</v>
      </c>
      <c r="H31" s="49">
        <f t="shared" si="10"/>
        <v>0</v>
      </c>
      <c r="I31" s="49">
        <f t="shared" si="11"/>
        <v>0</v>
      </c>
      <c r="J31" s="49">
        <f t="shared" si="12"/>
        <v>0</v>
      </c>
      <c r="K31" s="51">
        <f t="shared" si="13"/>
        <v>0</v>
      </c>
      <c r="L31" s="51">
        <f t="shared" si="14"/>
        <v>0</v>
      </c>
      <c r="M31" s="51">
        <f t="shared" si="15"/>
        <v>0</v>
      </c>
      <c r="N31" s="50">
        <f t="shared" si="16"/>
        <v>0</v>
      </c>
    </row>
    <row r="32" spans="1:25">
      <c r="A32" s="48">
        <v>5400</v>
      </c>
      <c r="B32">
        <v>100</v>
      </c>
      <c r="C32">
        <v>0</v>
      </c>
      <c r="D32" s="26">
        <f t="shared" si="17"/>
        <v>0</v>
      </c>
      <c r="E32">
        <v>100</v>
      </c>
      <c r="F32">
        <v>0</v>
      </c>
      <c r="G32" s="26">
        <f t="shared" si="9"/>
        <v>0</v>
      </c>
      <c r="H32" s="49">
        <f t="shared" si="10"/>
        <v>0</v>
      </c>
      <c r="I32" s="49">
        <f t="shared" si="11"/>
        <v>0</v>
      </c>
      <c r="J32" s="49">
        <f t="shared" si="12"/>
        <v>0</v>
      </c>
      <c r="K32" s="51">
        <f t="shared" si="13"/>
        <v>0</v>
      </c>
      <c r="L32" s="51">
        <f t="shared" si="14"/>
        <v>0</v>
      </c>
      <c r="M32" s="51">
        <f t="shared" si="15"/>
        <v>0</v>
      </c>
      <c r="N32" s="50">
        <f t="shared" si="16"/>
        <v>0</v>
      </c>
    </row>
    <row r="33" spans="1:16">
      <c r="A33" s="48">
        <v>7200</v>
      </c>
      <c r="B33">
        <v>100</v>
      </c>
      <c r="C33">
        <v>0</v>
      </c>
      <c r="D33" s="26">
        <f t="shared" si="17"/>
        <v>0</v>
      </c>
      <c r="E33">
        <v>100</v>
      </c>
      <c r="F33">
        <v>0</v>
      </c>
      <c r="G33" s="26">
        <f t="shared" si="9"/>
        <v>0</v>
      </c>
      <c r="H33" s="49">
        <f t="shared" si="10"/>
        <v>0</v>
      </c>
      <c r="I33" s="49">
        <f t="shared" si="11"/>
        <v>0</v>
      </c>
      <c r="J33" s="49">
        <f t="shared" si="12"/>
        <v>0</v>
      </c>
      <c r="K33" s="51">
        <f t="shared" si="13"/>
        <v>0</v>
      </c>
      <c r="L33" s="51">
        <f t="shared" si="14"/>
        <v>0</v>
      </c>
      <c r="M33" s="51">
        <f t="shared" si="15"/>
        <v>0</v>
      </c>
      <c r="N33" s="50">
        <f t="shared" si="16"/>
        <v>0</v>
      </c>
    </row>
    <row r="34" spans="1:16">
      <c r="A34" s="48">
        <v>10800</v>
      </c>
      <c r="B34">
        <v>100</v>
      </c>
      <c r="C34">
        <v>0</v>
      </c>
      <c r="D34" s="26">
        <f t="shared" si="17"/>
        <v>0</v>
      </c>
      <c r="E34">
        <v>100</v>
      </c>
      <c r="F34">
        <v>0</v>
      </c>
      <c r="G34" s="26">
        <f t="shared" si="9"/>
        <v>0</v>
      </c>
      <c r="H34" s="49">
        <f t="shared" si="10"/>
        <v>0</v>
      </c>
      <c r="I34" s="49">
        <f t="shared" si="11"/>
        <v>0</v>
      </c>
      <c r="J34" s="49">
        <f t="shared" si="12"/>
        <v>0</v>
      </c>
      <c r="K34" s="51">
        <f t="shared" si="13"/>
        <v>0</v>
      </c>
      <c r="L34" s="51">
        <f t="shared" si="14"/>
        <v>0</v>
      </c>
      <c r="M34" s="51">
        <f t="shared" si="15"/>
        <v>0</v>
      </c>
      <c r="N34" s="50">
        <f>M34/2</f>
        <v>0</v>
      </c>
    </row>
    <row r="36" spans="1:16">
      <c r="A36" s="20" t="s">
        <v>146</v>
      </c>
      <c r="D36" s="31" t="s">
        <v>24</v>
      </c>
      <c r="G36" s="31" t="s">
        <v>24</v>
      </c>
    </row>
    <row r="37" spans="1:16">
      <c r="A37" s="3"/>
      <c r="B37" s="83" t="s">
        <v>271</v>
      </c>
      <c r="C37" s="83"/>
      <c r="D37" s="83"/>
      <c r="E37" s="83" t="s">
        <v>271</v>
      </c>
      <c r="F37" s="83"/>
      <c r="G37" s="83"/>
      <c r="H37" s="3"/>
      <c r="I37" s="3"/>
      <c r="J37" s="3"/>
      <c r="K37" s="47"/>
      <c r="L37" s="47"/>
      <c r="M37" s="3"/>
      <c r="N37" s="83"/>
      <c r="O37" s="83"/>
      <c r="P37" s="83"/>
    </row>
    <row r="38" spans="1:16">
      <c r="A38" s="48" t="s">
        <v>85</v>
      </c>
      <c r="B38" t="s">
        <v>86</v>
      </c>
      <c r="C38" t="s">
        <v>87</v>
      </c>
      <c r="D38" s="26" t="s">
        <v>88</v>
      </c>
      <c r="E38" t="s">
        <v>86</v>
      </c>
      <c r="F38" t="s">
        <v>87</v>
      </c>
      <c r="G38" s="26" t="s">
        <v>88</v>
      </c>
      <c r="H38" s="49" t="s">
        <v>89</v>
      </c>
      <c r="I38" s="49" t="s">
        <v>90</v>
      </c>
      <c r="J38" s="49" t="s">
        <v>91</v>
      </c>
      <c r="K38" s="50" t="s">
        <v>92</v>
      </c>
      <c r="L38" s="50" t="s">
        <v>93</v>
      </c>
      <c r="M38" s="50" t="s">
        <v>94</v>
      </c>
      <c r="N38" s="50" t="s">
        <v>95</v>
      </c>
    </row>
    <row r="39" spans="1:16">
      <c r="A39" s="48">
        <v>0</v>
      </c>
      <c r="B39">
        <v>100</v>
      </c>
      <c r="C39">
        <v>0</v>
      </c>
      <c r="D39" s="26">
        <v>0</v>
      </c>
      <c r="E39">
        <v>100</v>
      </c>
      <c r="F39">
        <v>0</v>
      </c>
      <c r="G39" s="26">
        <v>0</v>
      </c>
      <c r="H39" s="49">
        <f>AVERAGE(D39,G39)</f>
        <v>0</v>
      </c>
      <c r="I39" s="49">
        <f>STDEV(D39,G39)</f>
        <v>0</v>
      </c>
      <c r="J39" s="49">
        <f>STDEV(D39,G39)/SQRT(COUNT(D39,G39))</f>
        <v>0</v>
      </c>
      <c r="K39" s="51">
        <f>MAX($D39,$G39)</f>
        <v>0</v>
      </c>
      <c r="L39" s="51">
        <f>MIN($D39,$G39)</f>
        <v>0</v>
      </c>
      <c r="M39" s="51">
        <f>K39-L39</f>
        <v>0</v>
      </c>
      <c r="N39" s="50">
        <f>M39/2</f>
        <v>0</v>
      </c>
    </row>
    <row r="40" spans="1:16">
      <c r="A40" s="48">
        <v>120</v>
      </c>
      <c r="B40">
        <v>11662.681</v>
      </c>
      <c r="C40">
        <v>290.19200000000001</v>
      </c>
      <c r="D40" s="26">
        <f t="shared" ref="D40:D49" si="18">C40/(B40+C40)</f>
        <v>2.4278012491222824E-2</v>
      </c>
      <c r="E40">
        <v>5125.0039999999999</v>
      </c>
      <c r="F40">
        <v>204.77799999999999</v>
      </c>
      <c r="G40" s="26">
        <f t="shared" ref="G40:G49" si="19">F40/(E40+F40)</f>
        <v>3.8421458888937672E-2</v>
      </c>
      <c r="H40" s="49">
        <f t="shared" ref="H40:H49" si="20">AVERAGE(D40,G40)</f>
        <v>3.1349735690080247E-2</v>
      </c>
      <c r="I40" s="49">
        <f t="shared" ref="I40:I49" si="21">STDEV(D40,G40)</f>
        <v>1.0000926857172618E-2</v>
      </c>
      <c r="J40" s="49">
        <f t="shared" ref="J40:J49" si="22">STDEV(D40,G40)/SQRT(COUNT(D40,G40))</f>
        <v>7.0717231988574238E-3</v>
      </c>
      <c r="K40" s="51">
        <f t="shared" ref="K40:K49" si="23">MAX($D40,$G40)</f>
        <v>3.8421458888937672E-2</v>
      </c>
      <c r="L40" s="51">
        <f t="shared" ref="L40:L49" si="24">MIN($D40,$G40)</f>
        <v>2.4278012491222824E-2</v>
      </c>
      <c r="M40" s="51">
        <f t="shared" ref="M40:M49" si="25">K40-L40</f>
        <v>1.4143446397714848E-2</v>
      </c>
      <c r="N40" s="50">
        <f t="shared" ref="N40:N48" si="26">M40/2</f>
        <v>7.0717231988574238E-3</v>
      </c>
    </row>
    <row r="41" spans="1:16">
      <c r="A41" s="48">
        <v>300</v>
      </c>
      <c r="B41">
        <v>11755.803</v>
      </c>
      <c r="C41">
        <v>944.64800000000002</v>
      </c>
      <c r="D41" s="26">
        <f t="shared" si="18"/>
        <v>7.4379090947242751E-2</v>
      </c>
      <c r="E41">
        <v>4660.933</v>
      </c>
      <c r="F41">
        <v>575.33500000000004</v>
      </c>
      <c r="G41" s="26">
        <f t="shared" si="19"/>
        <v>0.1098750102172005</v>
      </c>
      <c r="H41" s="49">
        <f t="shared" si="20"/>
        <v>9.212705058222162E-2</v>
      </c>
      <c r="I41" s="49">
        <f t="shared" si="21"/>
        <v>2.5099405220237462E-2</v>
      </c>
      <c r="J41" s="49">
        <f t="shared" si="22"/>
        <v>1.7747959634978938E-2</v>
      </c>
      <c r="K41" s="51">
        <f t="shared" si="23"/>
        <v>0.1098750102172005</v>
      </c>
      <c r="L41" s="51">
        <f t="shared" si="24"/>
        <v>7.4379090947242751E-2</v>
      </c>
      <c r="M41" s="51">
        <f t="shared" si="25"/>
        <v>3.5495919269957751E-2</v>
      </c>
      <c r="N41" s="50">
        <f t="shared" si="26"/>
        <v>1.7747959634978876E-2</v>
      </c>
    </row>
    <row r="42" spans="1:16">
      <c r="A42" s="48">
        <v>600</v>
      </c>
      <c r="B42">
        <v>11411.681</v>
      </c>
      <c r="C42">
        <v>2568.8609999999999</v>
      </c>
      <c r="D42" s="26">
        <f t="shared" si="18"/>
        <v>0.18374545135660689</v>
      </c>
      <c r="E42">
        <v>4615.3469999999998</v>
      </c>
      <c r="F42">
        <v>1199.598</v>
      </c>
      <c r="G42" s="26">
        <f t="shared" si="19"/>
        <v>0.20629567433569879</v>
      </c>
      <c r="H42" s="49">
        <f t="shared" si="20"/>
        <v>0.19502056284615282</v>
      </c>
      <c r="I42" s="49">
        <f t="shared" si="21"/>
        <v>1.5945415585784592E-2</v>
      </c>
      <c r="J42" s="49">
        <f t="shared" si="22"/>
        <v>1.127511148954595E-2</v>
      </c>
      <c r="K42" s="51">
        <f t="shared" si="23"/>
        <v>0.20629567433569879</v>
      </c>
      <c r="L42" s="51">
        <f t="shared" si="24"/>
        <v>0.18374545135660689</v>
      </c>
      <c r="M42" s="51">
        <f t="shared" si="25"/>
        <v>2.25502229790919E-2</v>
      </c>
      <c r="N42" s="50">
        <f t="shared" si="26"/>
        <v>1.127511148954595E-2</v>
      </c>
    </row>
    <row r="43" spans="1:16">
      <c r="A43" s="48">
        <v>1200</v>
      </c>
      <c r="B43">
        <v>10133.439</v>
      </c>
      <c r="C43">
        <v>3834.4679999999998</v>
      </c>
      <c r="D43" s="26">
        <f t="shared" si="18"/>
        <v>0.27451986901115538</v>
      </c>
      <c r="E43">
        <v>10386.61</v>
      </c>
      <c r="F43">
        <v>6056.8320000000003</v>
      </c>
      <c r="G43" s="26">
        <f t="shared" si="19"/>
        <v>0.36834331887447891</v>
      </c>
      <c r="H43" s="49">
        <f t="shared" si="20"/>
        <v>0.32143159394281717</v>
      </c>
      <c r="I43" s="49">
        <f t="shared" si="21"/>
        <v>6.6343197632671796E-2</v>
      </c>
      <c r="J43" s="49">
        <f t="shared" si="22"/>
        <v>4.6911724931661528E-2</v>
      </c>
      <c r="K43" s="51">
        <f t="shared" si="23"/>
        <v>0.36834331887447891</v>
      </c>
      <c r="L43" s="51">
        <f t="shared" si="24"/>
        <v>0.27451986901115538</v>
      </c>
      <c r="M43" s="51">
        <f t="shared" si="25"/>
        <v>9.3823449863323527E-2</v>
      </c>
      <c r="N43" s="50">
        <f t="shared" si="26"/>
        <v>4.6911724931661763E-2</v>
      </c>
    </row>
    <row r="44" spans="1:16">
      <c r="A44" s="48">
        <v>1800</v>
      </c>
      <c r="B44">
        <v>7729.1959999999999</v>
      </c>
      <c r="C44">
        <v>6369.8320000000003</v>
      </c>
      <c r="D44" s="26">
        <f t="shared" si="18"/>
        <v>0.45179227958125912</v>
      </c>
      <c r="E44">
        <v>6408.1959999999999</v>
      </c>
      <c r="F44">
        <v>8026.4889999999996</v>
      </c>
      <c r="G44" s="26">
        <f t="shared" si="19"/>
        <v>0.55605570887068201</v>
      </c>
      <c r="H44" s="49">
        <f t="shared" si="20"/>
        <v>0.50392399422597056</v>
      </c>
      <c r="I44" s="49">
        <f t="shared" si="21"/>
        <v>7.3725377880315093E-2</v>
      </c>
      <c r="J44" s="49">
        <f t="shared" si="22"/>
        <v>5.2131714644711495E-2</v>
      </c>
      <c r="K44" s="51">
        <f t="shared" si="23"/>
        <v>0.55605570887068201</v>
      </c>
      <c r="L44" s="51">
        <f t="shared" si="24"/>
        <v>0.45179227958125912</v>
      </c>
      <c r="M44" s="51">
        <f t="shared" si="25"/>
        <v>0.10426342928942289</v>
      </c>
      <c r="N44" s="50">
        <f t="shared" si="26"/>
        <v>5.2131714644711447E-2</v>
      </c>
    </row>
    <row r="45" spans="1:16">
      <c r="A45" s="48">
        <v>2700</v>
      </c>
      <c r="B45">
        <v>6082.66</v>
      </c>
      <c r="C45">
        <v>7413.7309999999998</v>
      </c>
      <c r="D45" s="26">
        <f t="shared" si="18"/>
        <v>0.54931210869631741</v>
      </c>
      <c r="E45">
        <v>2524.8609999999999</v>
      </c>
      <c r="F45">
        <v>3496.2249999999999</v>
      </c>
      <c r="G45" s="26">
        <f t="shared" si="19"/>
        <v>0.58066352149761691</v>
      </c>
      <c r="H45" s="49">
        <f t="shared" si="20"/>
        <v>0.56498781509696716</v>
      </c>
      <c r="I45" s="49">
        <f t="shared" si="21"/>
        <v>2.2168796591577607E-2</v>
      </c>
      <c r="J45" s="49">
        <f t="shared" si="22"/>
        <v>1.5675706400649747E-2</v>
      </c>
      <c r="K45" s="51">
        <f t="shared" si="23"/>
        <v>0.58066352149761691</v>
      </c>
      <c r="L45" s="51">
        <f t="shared" si="24"/>
        <v>0.54931210869631741</v>
      </c>
      <c r="M45" s="51">
        <f t="shared" si="25"/>
        <v>3.1351412801299494E-2</v>
      </c>
      <c r="N45" s="50">
        <f t="shared" si="26"/>
        <v>1.5675706400649747E-2</v>
      </c>
    </row>
    <row r="46" spans="1:16">
      <c r="A46" s="48">
        <v>3600</v>
      </c>
      <c r="B46">
        <v>4870.2960000000003</v>
      </c>
      <c r="C46">
        <v>8955.0949999999993</v>
      </c>
      <c r="D46" s="26">
        <f t="shared" si="18"/>
        <v>0.64772815466846467</v>
      </c>
      <c r="E46">
        <v>1745.0830000000001</v>
      </c>
      <c r="F46">
        <v>3820.761</v>
      </c>
      <c r="G46" s="26">
        <f t="shared" si="19"/>
        <v>0.68646570044004107</v>
      </c>
      <c r="H46" s="49">
        <f t="shared" si="20"/>
        <v>0.66709692755425287</v>
      </c>
      <c r="I46" s="49">
        <f t="shared" si="21"/>
        <v>2.7391581301605943E-2</v>
      </c>
      <c r="J46" s="49">
        <f t="shared" si="22"/>
        <v>1.9368772885788199E-2</v>
      </c>
      <c r="K46" s="51">
        <f t="shared" si="23"/>
        <v>0.68646570044004107</v>
      </c>
      <c r="L46" s="51">
        <f t="shared" si="24"/>
        <v>0.64772815466846467</v>
      </c>
      <c r="M46" s="51">
        <f t="shared" si="25"/>
        <v>3.8737545771576398E-2</v>
      </c>
      <c r="N46" s="50">
        <f t="shared" si="26"/>
        <v>1.9368772885788199E-2</v>
      </c>
    </row>
    <row r="47" spans="1:16">
      <c r="A47" s="48">
        <v>5400</v>
      </c>
      <c r="B47">
        <v>3479.4679999999998</v>
      </c>
      <c r="C47">
        <v>10648.803</v>
      </c>
      <c r="D47" s="26">
        <f t="shared" si="18"/>
        <v>0.7537230139484159</v>
      </c>
      <c r="E47">
        <v>977.64800000000002</v>
      </c>
      <c r="F47">
        <v>4073.1750000000002</v>
      </c>
      <c r="G47" s="26">
        <f t="shared" si="19"/>
        <v>0.80643788150960738</v>
      </c>
      <c r="H47" s="49">
        <f t="shared" si="20"/>
        <v>0.78008044772901164</v>
      </c>
      <c r="I47" s="49">
        <f t="shared" si="21"/>
        <v>3.7275040321869256E-2</v>
      </c>
      <c r="J47" s="49">
        <f t="shared" si="22"/>
        <v>2.6357433780595737E-2</v>
      </c>
      <c r="K47" s="51">
        <f t="shared" si="23"/>
        <v>0.80643788150960738</v>
      </c>
      <c r="L47" s="51">
        <f t="shared" si="24"/>
        <v>0.7537230139484159</v>
      </c>
      <c r="M47" s="51">
        <f t="shared" si="25"/>
        <v>5.2714867561191481E-2</v>
      </c>
      <c r="N47" s="50">
        <f t="shared" si="26"/>
        <v>2.635743378059574E-2</v>
      </c>
    </row>
    <row r="48" spans="1:16">
      <c r="A48" s="48">
        <v>7200</v>
      </c>
      <c r="B48">
        <v>2454.9830000000002</v>
      </c>
      <c r="C48">
        <v>10669.51</v>
      </c>
      <c r="D48" s="26">
        <f t="shared" si="18"/>
        <v>0.81294645057908144</v>
      </c>
      <c r="E48">
        <v>657.16300000000001</v>
      </c>
      <c r="F48">
        <v>4817.7110000000002</v>
      </c>
      <c r="G48" s="26">
        <f t="shared" si="19"/>
        <v>0.87996746591793717</v>
      </c>
      <c r="H48" s="49">
        <f t="shared" si="20"/>
        <v>0.84645695824850931</v>
      </c>
      <c r="I48" s="49">
        <f t="shared" si="21"/>
        <v>4.7391014428112513E-2</v>
      </c>
      <c r="J48" s="49">
        <f t="shared" si="22"/>
        <v>3.3510507669427869E-2</v>
      </c>
      <c r="K48" s="51">
        <f t="shared" si="23"/>
        <v>0.87996746591793717</v>
      </c>
      <c r="L48" s="51">
        <f t="shared" si="24"/>
        <v>0.81294645057908144</v>
      </c>
      <c r="M48" s="51">
        <f t="shared" si="25"/>
        <v>6.7021015338855738E-2</v>
      </c>
      <c r="N48" s="50">
        <f t="shared" si="26"/>
        <v>3.3510507669427869E-2</v>
      </c>
    </row>
    <row r="49" spans="1:16">
      <c r="A49" s="48">
        <v>10800</v>
      </c>
      <c r="B49">
        <v>1637.548</v>
      </c>
      <c r="C49">
        <v>12924.459000000001</v>
      </c>
      <c r="D49" s="26">
        <f t="shared" si="18"/>
        <v>0.88754654492337492</v>
      </c>
      <c r="E49">
        <v>394.435</v>
      </c>
      <c r="F49">
        <v>5057.125</v>
      </c>
      <c r="G49" s="26">
        <f t="shared" si="19"/>
        <v>0.9276473156307552</v>
      </c>
      <c r="H49" s="49">
        <f t="shared" si="20"/>
        <v>0.90759693027706501</v>
      </c>
      <c r="I49" s="49">
        <f t="shared" si="21"/>
        <v>2.8355526897995458E-2</v>
      </c>
      <c r="J49" s="49">
        <f t="shared" si="22"/>
        <v>2.0050385353690137E-2</v>
      </c>
      <c r="K49" s="51">
        <f t="shared" si="23"/>
        <v>0.9276473156307552</v>
      </c>
      <c r="L49" s="51">
        <f t="shared" si="24"/>
        <v>0.88754654492337492</v>
      </c>
      <c r="M49" s="51">
        <f t="shared" si="25"/>
        <v>4.0100770707380273E-2</v>
      </c>
      <c r="N49" s="50">
        <f>M49/2</f>
        <v>2.0050385353690137E-2</v>
      </c>
    </row>
    <row r="51" spans="1:16">
      <c r="A51" s="20" t="s">
        <v>272</v>
      </c>
      <c r="D51" s="31" t="s">
        <v>24</v>
      </c>
      <c r="G51" s="31" t="s">
        <v>24</v>
      </c>
    </row>
    <row r="52" spans="1:16">
      <c r="A52" s="3"/>
      <c r="B52" s="83" t="s">
        <v>269</v>
      </c>
      <c r="C52" s="83"/>
      <c r="D52" s="83"/>
      <c r="E52" s="83" t="s">
        <v>270</v>
      </c>
      <c r="F52" s="83"/>
      <c r="G52" s="83"/>
      <c r="H52" s="3"/>
      <c r="I52" s="3"/>
      <c r="J52" s="3"/>
      <c r="K52" s="47"/>
      <c r="L52" s="47"/>
      <c r="M52" s="3"/>
      <c r="N52" s="83"/>
      <c r="O52" s="83"/>
      <c r="P52" s="83"/>
    </row>
    <row r="53" spans="1:16">
      <c r="A53" s="48" t="s">
        <v>85</v>
      </c>
      <c r="B53" t="s">
        <v>86</v>
      </c>
      <c r="C53" t="s">
        <v>87</v>
      </c>
      <c r="D53" s="26" t="s">
        <v>88</v>
      </c>
      <c r="E53" t="s">
        <v>86</v>
      </c>
      <c r="F53" t="s">
        <v>87</v>
      </c>
      <c r="G53" s="26" t="s">
        <v>88</v>
      </c>
      <c r="H53" s="49" t="s">
        <v>89</v>
      </c>
      <c r="I53" s="49" t="s">
        <v>90</v>
      </c>
      <c r="J53" s="49" t="s">
        <v>91</v>
      </c>
      <c r="K53" s="50" t="s">
        <v>92</v>
      </c>
      <c r="L53" s="50" t="s">
        <v>93</v>
      </c>
      <c r="M53" s="50" t="s">
        <v>94</v>
      </c>
      <c r="N53" s="50" t="s">
        <v>95</v>
      </c>
    </row>
    <row r="54" spans="1:16">
      <c r="A54" s="48">
        <v>0</v>
      </c>
      <c r="B54">
        <v>100</v>
      </c>
      <c r="C54">
        <v>0</v>
      </c>
      <c r="D54" s="26">
        <v>0</v>
      </c>
      <c r="E54">
        <v>100</v>
      </c>
      <c r="F54">
        <v>0</v>
      </c>
      <c r="G54" s="26">
        <v>0</v>
      </c>
      <c r="H54" s="49">
        <f>AVERAGE(D54,G54)</f>
        <v>0</v>
      </c>
      <c r="I54" s="49">
        <f>STDEV(D54,G54)</f>
        <v>0</v>
      </c>
      <c r="J54" s="49">
        <f>STDEV(D54,G54)/SQRT(COUNT(D54,G54))</f>
        <v>0</v>
      </c>
      <c r="K54" s="51">
        <f>MAX($D54,$G54)</f>
        <v>0</v>
      </c>
      <c r="L54" s="51">
        <f>MIN($D54,$G54)</f>
        <v>0</v>
      </c>
      <c r="M54" s="51">
        <f>K54-L54</f>
        <v>0</v>
      </c>
      <c r="N54" s="50">
        <f>M54/2</f>
        <v>0</v>
      </c>
    </row>
    <row r="55" spans="1:16">
      <c r="A55" s="48">
        <v>120</v>
      </c>
      <c r="B55">
        <v>8996.3680000000004</v>
      </c>
      <c r="C55">
        <v>6.1210000000000004</v>
      </c>
      <c r="D55" s="26">
        <f t="shared" ref="D55:D64" si="27">C55/(B55+C55)</f>
        <v>6.799230746074781E-4</v>
      </c>
      <c r="E55">
        <v>12969.359</v>
      </c>
      <c r="F55">
        <v>11.536</v>
      </c>
      <c r="G55" s="26">
        <f t="shared" ref="G55:G64" si="28">F55/(E55+F55)</f>
        <v>8.8869064883430608E-4</v>
      </c>
      <c r="H55" s="49">
        <f t="shared" ref="H55:H64" si="29">AVERAGE(D55,G55)</f>
        <v>7.8430686172089215E-4</v>
      </c>
      <c r="I55" s="49">
        <f t="shared" ref="I55:I64" si="30">STDEV(D55,G55)</f>
        <v>1.4762096742765597E-4</v>
      </c>
      <c r="J55" s="49">
        <f t="shared" ref="J55:J64" si="31">STDEV(D55,G55)/SQRT(COUNT(D55,G55))</f>
        <v>1.0438378711341398E-4</v>
      </c>
      <c r="K55" s="51">
        <f t="shared" ref="K55:K64" si="32">MAX($D55,$G55)</f>
        <v>8.8869064883430608E-4</v>
      </c>
      <c r="L55" s="51">
        <f t="shared" ref="L55:L64" si="33">MIN($D55,$G55)</f>
        <v>6.799230746074781E-4</v>
      </c>
      <c r="M55" s="51">
        <f t="shared" ref="M55:M64" si="34">K55-L55</f>
        <v>2.0876757422682798E-4</v>
      </c>
      <c r="N55" s="50">
        <f t="shared" ref="N55:N63" si="35">M55/2</f>
        <v>1.0438378711341399E-4</v>
      </c>
    </row>
    <row r="56" spans="1:16">
      <c r="A56" s="48">
        <v>300</v>
      </c>
      <c r="B56">
        <v>9534.0750000000007</v>
      </c>
      <c r="C56">
        <v>125.364</v>
      </c>
      <c r="D56" s="26">
        <f t="shared" si="27"/>
        <v>1.2978393465707481E-2</v>
      </c>
      <c r="E56">
        <v>12610.338</v>
      </c>
      <c r="F56">
        <v>10.536</v>
      </c>
      <c r="G56" s="26">
        <f t="shared" si="28"/>
        <v>8.3480747846781454E-4</v>
      </c>
      <c r="H56" s="49">
        <f t="shared" si="29"/>
        <v>6.9066004720876473E-3</v>
      </c>
      <c r="I56" s="49">
        <f t="shared" si="30"/>
        <v>8.5868119994991048E-3</v>
      </c>
      <c r="J56" s="49">
        <f t="shared" si="31"/>
        <v>6.0717929936198334E-3</v>
      </c>
      <c r="K56" s="51">
        <f t="shared" si="32"/>
        <v>1.2978393465707481E-2</v>
      </c>
      <c r="L56" s="51">
        <f t="shared" si="33"/>
        <v>8.3480747846781454E-4</v>
      </c>
      <c r="M56" s="51">
        <f t="shared" si="34"/>
        <v>1.2143585987239667E-2</v>
      </c>
      <c r="N56" s="50">
        <f t="shared" si="35"/>
        <v>6.0717929936198334E-3</v>
      </c>
    </row>
    <row r="57" spans="1:16">
      <c r="A57" s="48">
        <v>600</v>
      </c>
      <c r="B57">
        <v>10040.245999999999</v>
      </c>
      <c r="C57">
        <v>131.19200000000001</v>
      </c>
      <c r="D57" s="26">
        <f t="shared" si="27"/>
        <v>1.2898077931556977E-2</v>
      </c>
      <c r="E57">
        <v>12837.701999999999</v>
      </c>
      <c r="F57">
        <v>12.121</v>
      </c>
      <c r="G57" s="26">
        <f t="shared" si="28"/>
        <v>9.4328147555028591E-4</v>
      </c>
      <c r="H57" s="49">
        <f t="shared" si="29"/>
        <v>6.920679703553631E-3</v>
      </c>
      <c r="I57" s="49">
        <f t="shared" si="30"/>
        <v>8.4533176417472371E-3</v>
      </c>
      <c r="J57" s="49">
        <f t="shared" si="31"/>
        <v>5.9773982280033455E-3</v>
      </c>
      <c r="K57" s="51">
        <f t="shared" si="32"/>
        <v>1.2898077931556977E-2</v>
      </c>
      <c r="L57" s="51">
        <f t="shared" si="33"/>
        <v>9.4328147555028591E-4</v>
      </c>
      <c r="M57" s="51">
        <f t="shared" si="34"/>
        <v>1.1954796456006691E-2</v>
      </c>
      <c r="N57" s="50">
        <f t="shared" si="35"/>
        <v>5.9773982280033455E-3</v>
      </c>
    </row>
    <row r="58" spans="1:16">
      <c r="A58" s="48">
        <v>1200</v>
      </c>
      <c r="B58">
        <v>10622.489</v>
      </c>
      <c r="C58">
        <v>224.02099999999999</v>
      </c>
      <c r="D58" s="26">
        <f t="shared" si="27"/>
        <v>2.0653740235338371E-2</v>
      </c>
      <c r="E58">
        <v>15827.823</v>
      </c>
      <c r="F58">
        <v>159.19200000000001</v>
      </c>
      <c r="G58" s="26">
        <f t="shared" si="28"/>
        <v>9.9575811994922145E-3</v>
      </c>
      <c r="H58" s="49">
        <f t="shared" si="29"/>
        <v>1.5305660717415293E-2</v>
      </c>
      <c r="I58" s="49">
        <f t="shared" si="30"/>
        <v>7.5633265868965821E-3</v>
      </c>
      <c r="J58" s="49">
        <f t="shared" si="31"/>
        <v>5.3480795179230781E-3</v>
      </c>
      <c r="K58" s="51">
        <f t="shared" si="32"/>
        <v>2.0653740235338371E-2</v>
      </c>
      <c r="L58" s="51">
        <f t="shared" si="33"/>
        <v>9.9575811994922145E-3</v>
      </c>
      <c r="M58" s="51">
        <f t="shared" si="34"/>
        <v>1.0696159035846156E-2</v>
      </c>
      <c r="N58" s="50">
        <f t="shared" si="35"/>
        <v>5.3480795179230781E-3</v>
      </c>
    </row>
    <row r="59" spans="1:16">
      <c r="A59" s="48">
        <v>1800</v>
      </c>
      <c r="B59">
        <v>10931.731</v>
      </c>
      <c r="C59">
        <v>421.678</v>
      </c>
      <c r="D59" s="26">
        <f t="shared" si="27"/>
        <v>3.7141091279280086E-2</v>
      </c>
      <c r="E59">
        <v>15838.237999999999</v>
      </c>
      <c r="F59">
        <v>101.364</v>
      </c>
      <c r="G59" s="26">
        <f t="shared" si="28"/>
        <v>6.3592553942062044E-3</v>
      </c>
      <c r="H59" s="49">
        <f t="shared" si="29"/>
        <v>2.1750173336743145E-2</v>
      </c>
      <c r="I59" s="49">
        <f t="shared" si="30"/>
        <v>2.1766044891707154E-2</v>
      </c>
      <c r="J59" s="49">
        <f t="shared" si="31"/>
        <v>1.539091794253694E-2</v>
      </c>
      <c r="K59" s="51">
        <f t="shared" si="32"/>
        <v>3.7141091279280086E-2</v>
      </c>
      <c r="L59" s="51">
        <f t="shared" si="33"/>
        <v>6.3592553942062044E-3</v>
      </c>
      <c r="M59" s="51">
        <f t="shared" si="34"/>
        <v>3.0781835885073883E-2</v>
      </c>
      <c r="N59" s="50">
        <f t="shared" si="35"/>
        <v>1.5390917942536941E-2</v>
      </c>
    </row>
    <row r="60" spans="1:16">
      <c r="A60" s="48">
        <v>2700</v>
      </c>
      <c r="B60">
        <v>10144.489</v>
      </c>
      <c r="C60">
        <v>576.91999999999996</v>
      </c>
      <c r="D60" s="26">
        <f t="shared" si="27"/>
        <v>5.3810091565390329E-2</v>
      </c>
      <c r="E60">
        <v>14701.995000000001</v>
      </c>
      <c r="F60">
        <v>251.02099999999999</v>
      </c>
      <c r="G60" s="26">
        <f t="shared" si="28"/>
        <v>1.6787315682668967E-2</v>
      </c>
      <c r="H60" s="49">
        <f t="shared" si="29"/>
        <v>3.5298703624029648E-2</v>
      </c>
      <c r="I60" s="49">
        <f t="shared" si="30"/>
        <v>2.6179055885022045E-2</v>
      </c>
      <c r="J60" s="49">
        <f t="shared" si="31"/>
        <v>1.8511387941360681E-2</v>
      </c>
      <c r="K60" s="51">
        <f t="shared" si="32"/>
        <v>5.3810091565390329E-2</v>
      </c>
      <c r="L60" s="51">
        <f t="shared" si="33"/>
        <v>1.6787315682668967E-2</v>
      </c>
      <c r="M60" s="51">
        <f t="shared" si="34"/>
        <v>3.7022775882721362E-2</v>
      </c>
      <c r="N60" s="50">
        <f t="shared" si="35"/>
        <v>1.8511387941360681E-2</v>
      </c>
    </row>
    <row r="61" spans="1:16">
      <c r="A61" s="48">
        <v>3600</v>
      </c>
      <c r="B61">
        <v>10459.075000000001</v>
      </c>
      <c r="C61">
        <v>594.33500000000004</v>
      </c>
      <c r="D61" s="26">
        <f t="shared" si="27"/>
        <v>5.376937976606315E-2</v>
      </c>
      <c r="E61">
        <v>15064.409</v>
      </c>
      <c r="F61">
        <v>273.02100000000002</v>
      </c>
      <c r="G61" s="26">
        <f t="shared" si="28"/>
        <v>1.7800961438780814E-2</v>
      </c>
      <c r="H61" s="49">
        <f t="shared" si="29"/>
        <v>3.5785170602421978E-2</v>
      </c>
      <c r="I61" s="49">
        <f t="shared" si="30"/>
        <v>2.5433512507775854E-2</v>
      </c>
      <c r="J61" s="49">
        <f t="shared" si="31"/>
        <v>1.7984209163641178E-2</v>
      </c>
      <c r="K61" s="51">
        <f t="shared" si="32"/>
        <v>5.376937976606315E-2</v>
      </c>
      <c r="L61" s="51">
        <f t="shared" si="33"/>
        <v>1.7800961438780814E-2</v>
      </c>
      <c r="M61" s="51">
        <f t="shared" si="34"/>
        <v>3.5968418327282335E-2</v>
      </c>
      <c r="N61" s="50">
        <f t="shared" si="35"/>
        <v>1.7984209163641168E-2</v>
      </c>
    </row>
    <row r="62" spans="1:16">
      <c r="A62" s="48">
        <v>5400</v>
      </c>
      <c r="B62">
        <v>10751.196</v>
      </c>
      <c r="C62">
        <v>844.40599999999995</v>
      </c>
      <c r="D62" s="26">
        <f t="shared" si="27"/>
        <v>7.2821229980125232E-2</v>
      </c>
      <c r="E62">
        <v>15246.53</v>
      </c>
      <c r="F62">
        <v>394.09199999999998</v>
      </c>
      <c r="G62" s="26">
        <f t="shared" si="28"/>
        <v>2.5196696141624033E-2</v>
      </c>
      <c r="H62" s="49">
        <f t="shared" si="29"/>
        <v>4.9008963060874634E-2</v>
      </c>
      <c r="I62" s="49">
        <f t="shared" si="30"/>
        <v>3.3675630828052396E-2</v>
      </c>
      <c r="J62" s="49">
        <f t="shared" si="31"/>
        <v>2.3812266919250598E-2</v>
      </c>
      <c r="K62" s="51">
        <f t="shared" si="32"/>
        <v>7.2821229980125232E-2</v>
      </c>
      <c r="L62" s="51">
        <f t="shared" si="33"/>
        <v>2.5196696141624033E-2</v>
      </c>
      <c r="M62" s="51">
        <f t="shared" si="34"/>
        <v>4.7624533838501196E-2</v>
      </c>
      <c r="N62" s="50">
        <f t="shared" si="35"/>
        <v>2.3812266919250598E-2</v>
      </c>
    </row>
    <row r="63" spans="1:16">
      <c r="A63" s="48">
        <v>7200</v>
      </c>
      <c r="B63">
        <v>10928.196</v>
      </c>
      <c r="C63">
        <v>980.94100000000003</v>
      </c>
      <c r="D63" s="26">
        <f t="shared" si="27"/>
        <v>8.2368772817039554E-2</v>
      </c>
      <c r="E63">
        <v>15728.066000000001</v>
      </c>
      <c r="F63">
        <v>765.87</v>
      </c>
      <c r="G63" s="26">
        <f t="shared" si="28"/>
        <v>4.6433428624920087E-2</v>
      </c>
      <c r="H63" s="49">
        <f t="shared" si="29"/>
        <v>6.440110072097982E-2</v>
      </c>
      <c r="I63" s="49">
        <f t="shared" si="30"/>
        <v>2.5410125562520321E-2</v>
      </c>
      <c r="J63" s="49">
        <f t="shared" si="31"/>
        <v>1.7967672096059754E-2</v>
      </c>
      <c r="K63" s="51">
        <f t="shared" si="32"/>
        <v>8.2368772817039554E-2</v>
      </c>
      <c r="L63" s="51">
        <f t="shared" si="33"/>
        <v>4.6433428624920087E-2</v>
      </c>
      <c r="M63" s="51">
        <f t="shared" si="34"/>
        <v>3.5935344192119467E-2</v>
      </c>
      <c r="N63" s="50">
        <f t="shared" si="35"/>
        <v>1.7967672096059734E-2</v>
      </c>
    </row>
    <row r="64" spans="1:16">
      <c r="A64" s="48">
        <v>10800</v>
      </c>
      <c r="B64">
        <v>10116.489</v>
      </c>
      <c r="C64">
        <v>1128.184</v>
      </c>
      <c r="D64" s="26">
        <f t="shared" si="27"/>
        <v>0.1003305298428865</v>
      </c>
      <c r="E64">
        <v>15980.016</v>
      </c>
      <c r="F64">
        <v>1047.941</v>
      </c>
      <c r="G64" s="26">
        <f t="shared" si="28"/>
        <v>6.1542379981344805E-2</v>
      </c>
      <c r="H64" s="49">
        <f t="shared" si="29"/>
        <v>8.0936454912115652E-2</v>
      </c>
      <c r="I64" s="49">
        <f t="shared" si="30"/>
        <v>2.7427363796776162E-2</v>
      </c>
      <c r="J64" s="49">
        <f t="shared" si="31"/>
        <v>1.9394074930770836E-2</v>
      </c>
      <c r="K64" s="51">
        <f t="shared" si="32"/>
        <v>0.1003305298428865</v>
      </c>
      <c r="L64" s="51">
        <f t="shared" si="33"/>
        <v>6.1542379981344805E-2</v>
      </c>
      <c r="M64" s="51">
        <f t="shared" si="34"/>
        <v>3.8788149861541693E-2</v>
      </c>
      <c r="N64" s="50">
        <f>M64/2</f>
        <v>1.9394074930770847E-2</v>
      </c>
    </row>
  </sheetData>
  <mergeCells count="12">
    <mergeCell ref="B7:D7"/>
    <mergeCell ref="E7:G7"/>
    <mergeCell ref="N7:P7"/>
    <mergeCell ref="B52:D52"/>
    <mergeCell ref="E52:G52"/>
    <mergeCell ref="N52:P52"/>
    <mergeCell ref="B22:D22"/>
    <mergeCell ref="E22:G22"/>
    <mergeCell ref="N22:P22"/>
    <mergeCell ref="B37:D37"/>
    <mergeCell ref="E37:G37"/>
    <mergeCell ref="N37:P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4</vt:lpstr>
      <vt:lpstr>Figure 5</vt:lpstr>
      <vt:lpstr>Supp.Table 1 </vt:lpstr>
      <vt:lpstr>Supp. Table 2</vt:lpstr>
      <vt:lpstr>Supp.Table 3</vt:lpstr>
      <vt:lpstr>Supp. Fig 1</vt:lpstr>
      <vt:lpstr>Supp. Fig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Naemi Csoma</dc:creator>
  <cp:keywords/>
  <dc:description/>
  <cp:lastModifiedBy>Antonio Calabrese</cp:lastModifiedBy>
  <cp:revision/>
  <dcterms:created xsi:type="dcterms:W3CDTF">2024-07-19T07:29:17Z</dcterms:created>
  <dcterms:modified xsi:type="dcterms:W3CDTF">2025-08-06T13:24:45Z</dcterms:modified>
  <cp:category/>
  <cp:contentStatus/>
</cp:coreProperties>
</file>