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defaultThemeVersion="166925"/>
  <mc:AlternateContent xmlns:mc="http://schemas.openxmlformats.org/markup-compatibility/2006">
    <mc:Choice Requires="x15">
      <x15ac:absPath xmlns:x15ac="http://schemas.microsoft.com/office/spreadsheetml/2010/11/ac" url="https://biocentis-my.sharepoint.com/personal/anna_strampelli_biocentis_com/Documents/99 Personal/04 MDFS manuscript/"/>
    </mc:Choice>
  </mc:AlternateContent>
  <xr:revisionPtr revIDLastSave="117" documentId="8_{E7CCD1D0-EA79-4D57-B1C6-349C6B0274D0}" xr6:coauthVersionLast="47" xr6:coauthVersionMax="47" xr10:uidLastSave="{542F1744-1357-42E1-AEAD-14889FA1D88E}"/>
  <bookViews>
    <workbookView xWindow="-110" yWindow="-110" windowWidth="19420" windowHeight="10300" firstSheet="2" xr2:uid="{00000000-000D-0000-FFFF-FFFF00000000}"/>
  </bookViews>
  <sheets>
    <sheet name="Fig. 4b-4d and Supp. fig. 3 " sheetId="4" r:id="rId1"/>
    <sheet name="Fig. 4e" sheetId="5" r:id="rId2"/>
    <sheet name="Fig. 5"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6" l="1"/>
  <c r="W19" i="6"/>
  <c r="W18" i="6"/>
  <c r="J18" i="6"/>
  <c r="C17" i="6"/>
  <c r="W17" i="6"/>
  <c r="Q17" i="6"/>
  <c r="J17" i="6"/>
  <c r="W16" i="6"/>
  <c r="R16" i="6"/>
  <c r="J16" i="6"/>
  <c r="E16" i="6"/>
  <c r="W15" i="6"/>
  <c r="R15" i="6"/>
  <c r="J15" i="6"/>
  <c r="E15" i="6"/>
  <c r="W14" i="6"/>
  <c r="R14" i="6"/>
  <c r="J14" i="6"/>
  <c r="E14" i="6"/>
  <c r="V13" i="6"/>
  <c r="V12" i="6"/>
  <c r="Q13" i="6"/>
  <c r="I13" i="6"/>
  <c r="I12" i="6"/>
  <c r="D13" i="6"/>
  <c r="Q12" i="6"/>
  <c r="D12" i="6"/>
  <c r="R11" i="6"/>
  <c r="E11" i="6"/>
  <c r="R10" i="6"/>
  <c r="E10" i="6"/>
  <c r="Z36" i="4"/>
  <c r="Z43" i="4"/>
  <c r="Z44" i="4"/>
  <c r="Z51" i="4"/>
  <c r="Z15" i="4"/>
  <c r="Z24" i="4"/>
  <c r="Z27" i="4"/>
  <c r="Z28" i="4"/>
  <c r="W51" i="4"/>
  <c r="W55" i="4"/>
  <c r="W57" i="4"/>
  <c r="W58" i="4"/>
  <c r="W34" i="4"/>
  <c r="W35" i="4"/>
  <c r="W36" i="4"/>
  <c r="W38" i="4"/>
  <c r="W39" i="4"/>
  <c r="W40" i="4"/>
  <c r="W41" i="4"/>
  <c r="W42" i="4"/>
  <c r="W43" i="4"/>
  <c r="W44" i="4"/>
  <c r="W45" i="4"/>
  <c r="W46" i="4"/>
  <c r="W49" i="4"/>
  <c r="W50" i="4"/>
  <c r="W15" i="4"/>
  <c r="W16" i="4"/>
  <c r="W17" i="4"/>
  <c r="W18" i="4"/>
  <c r="W20" i="4"/>
  <c r="W21" i="4"/>
  <c r="W22" i="4"/>
  <c r="W24" i="4"/>
  <c r="W25" i="4"/>
  <c r="W27" i="4"/>
  <c r="W28" i="4"/>
  <c r="W29" i="4"/>
  <c r="W30" i="4"/>
  <c r="W31" i="4"/>
  <c r="W32" i="4"/>
  <c r="W33" i="4"/>
  <c r="W14" i="4"/>
  <c r="M49" i="4"/>
  <c r="M51" i="4"/>
  <c r="M52" i="4"/>
  <c r="M53" i="4"/>
  <c r="M54" i="4"/>
  <c r="M56" i="4"/>
  <c r="M57" i="4"/>
  <c r="M31" i="4"/>
  <c r="M33" i="4"/>
  <c r="M34" i="4"/>
  <c r="M36" i="4"/>
  <c r="M37" i="4"/>
  <c r="M38" i="4"/>
  <c r="M39" i="4"/>
  <c r="M40" i="4"/>
  <c r="M41" i="4"/>
  <c r="M42" i="4"/>
  <c r="M43" i="4"/>
  <c r="M45" i="4"/>
  <c r="M46" i="4"/>
  <c r="M15" i="4"/>
  <c r="M16" i="4"/>
  <c r="M17" i="4"/>
  <c r="M18" i="4"/>
  <c r="M19" i="4"/>
  <c r="M20" i="4"/>
  <c r="M22" i="4"/>
  <c r="M23" i="4"/>
  <c r="M24" i="4"/>
  <c r="M26" i="4"/>
  <c r="M27" i="4"/>
  <c r="M28" i="4"/>
  <c r="M29" i="4"/>
  <c r="Y40" i="4"/>
  <c r="Z40" i="4" s="1"/>
  <c r="Y18" i="4"/>
  <c r="Z18" i="4" s="1"/>
  <c r="Y57" i="4"/>
  <c r="Z57" i="4" s="1"/>
  <c r="Y58" i="4"/>
  <c r="Z58" i="4" s="1"/>
  <c r="Y55" i="4"/>
  <c r="Z55" i="4" s="1"/>
  <c r="Y50" i="4"/>
  <c r="Z50" i="4" s="1"/>
  <c r="Y49" i="4"/>
  <c r="Z49" i="4" s="1"/>
  <c r="Y46" i="4"/>
  <c r="Z46" i="4" s="1"/>
  <c r="Y42" i="4"/>
  <c r="Z42" i="4" s="1"/>
  <c r="Y41" i="4"/>
  <c r="Z41" i="4" s="1"/>
  <c r="Y39" i="4"/>
  <c r="Z39" i="4" s="1"/>
  <c r="Y38" i="4"/>
  <c r="Z38" i="4" s="1"/>
  <c r="Y35" i="4"/>
  <c r="Z35" i="4" s="1"/>
  <c r="Y34" i="4"/>
  <c r="Z34" i="4" s="1"/>
  <c r="Y33" i="4"/>
  <c r="Z33" i="4" s="1"/>
  <c r="Y32" i="4"/>
  <c r="Z32" i="4" s="1"/>
  <c r="Y31" i="4"/>
  <c r="Z31" i="4" s="1"/>
  <c r="Y30" i="4"/>
  <c r="Z30" i="4" s="1"/>
  <c r="Y25" i="4"/>
  <c r="Z25" i="4" s="1"/>
  <c r="T30" i="4"/>
  <c r="Y29" i="4"/>
  <c r="Z29" i="4" s="1"/>
  <c r="Y21" i="4"/>
  <c r="Z21" i="4" s="1"/>
  <c r="Y20" i="4"/>
  <c r="Z20" i="4" s="1"/>
  <c r="Y17" i="4"/>
  <c r="Z17" i="4" s="1"/>
  <c r="Y16" i="4"/>
  <c r="Z16" i="4" s="1"/>
  <c r="Y14" i="4"/>
  <c r="Z14" i="4" s="1"/>
  <c r="T14" i="4"/>
  <c r="J26" i="4"/>
  <c r="J40" i="4"/>
  <c r="AA15" i="4"/>
  <c r="AA18" i="4"/>
  <c r="AA21" i="4"/>
  <c r="N37" i="4"/>
  <c r="N39" i="4"/>
  <c r="N42" i="4"/>
  <c r="N43" i="4"/>
  <c r="N45" i="4"/>
  <c r="N46" i="4"/>
  <c r="N27" i="4"/>
  <c r="N28" i="4"/>
  <c r="N15" i="4"/>
  <c r="N14" i="4"/>
  <c r="E51" i="4"/>
  <c r="E46" i="4"/>
  <c r="E44" i="4"/>
  <c r="E33" i="4"/>
  <c r="E20" i="4"/>
  <c r="E16" i="4"/>
  <c r="J19" i="4"/>
  <c r="N19" i="4" s="1"/>
  <c r="D48" i="4"/>
  <c r="E48" i="4" s="1"/>
  <c r="D49" i="4"/>
  <c r="E49" i="4" s="1"/>
  <c r="D24" i="4" l="1"/>
  <c r="E24" i="4" s="1"/>
  <c r="D26" i="4"/>
  <c r="J57" i="4"/>
  <c r="N57" i="4" s="1"/>
  <c r="J56" i="4"/>
  <c r="N56" i="4" s="1"/>
  <c r="J52" i="4"/>
  <c r="N52" i="4" s="1"/>
  <c r="T22" i="4"/>
  <c r="AA22" i="4" s="1"/>
  <c r="J54" i="4"/>
  <c r="N54" i="4" s="1"/>
  <c r="J31" i="4"/>
  <c r="N31" i="4" s="1"/>
  <c r="N26" i="4"/>
  <c r="J24" i="4"/>
  <c r="N24" i="4" s="1"/>
  <c r="J23" i="4"/>
  <c r="N23" i="4" s="1"/>
  <c r="D22" i="4"/>
  <c r="D29" i="4"/>
  <c r="D30" i="4"/>
  <c r="E30" i="4" s="1"/>
  <c r="J34" i="4"/>
  <c r="T49" i="4"/>
  <c r="T24" i="4"/>
  <c r="AA24" i="4" s="1"/>
  <c r="J38" i="4"/>
  <c r="N38" i="4" s="1"/>
  <c r="J36" i="4"/>
  <c r="N36" i="4" s="1"/>
  <c r="J21" i="4"/>
  <c r="D52" i="4"/>
  <c r="E52" i="4" s="1"/>
  <c r="D36" i="4"/>
  <c r="E36" i="4" s="1"/>
  <c r="D28" i="4"/>
  <c r="E28" i="4" s="1"/>
  <c r="D27" i="4"/>
  <c r="E27" i="4" s="1"/>
  <c r="D31" i="4"/>
  <c r="E31" i="4" s="1"/>
  <c r="D13" i="4"/>
  <c r="E13" i="4" s="1"/>
  <c r="J55" i="4"/>
  <c r="N55" i="4" s="1"/>
  <c r="J53" i="4"/>
  <c r="N53" i="4" s="1"/>
  <c r="J51" i="4"/>
  <c r="N51" i="4" s="1"/>
  <c r="J50" i="4"/>
  <c r="N50" i="4" s="1"/>
  <c r="J49" i="4"/>
  <c r="N49" i="4" s="1"/>
  <c r="T57" i="4"/>
  <c r="AA57" i="4" s="1"/>
  <c r="T58" i="4"/>
  <c r="AA58" i="4" s="1"/>
  <c r="T55" i="4"/>
  <c r="AA55" i="4" s="1"/>
  <c r="T51" i="4"/>
  <c r="AA51" i="4" s="1"/>
  <c r="T50" i="4"/>
  <c r="AA50" i="4" s="1"/>
  <c r="T46" i="4"/>
  <c r="AA46" i="4" s="1"/>
  <c r="T45" i="4"/>
  <c r="AA45" i="4" s="1"/>
  <c r="T44" i="4"/>
  <c r="AA44" i="4" s="1"/>
  <c r="T43" i="4"/>
  <c r="AA43" i="4" s="1"/>
  <c r="T42" i="4"/>
  <c r="AA42" i="4" s="1"/>
  <c r="T41" i="4"/>
  <c r="AA41" i="4" s="1"/>
  <c r="T40" i="4"/>
  <c r="T39" i="4"/>
  <c r="AA39" i="4" s="1"/>
  <c r="T38" i="4"/>
  <c r="AA38" i="4" s="1"/>
  <c r="T36" i="4"/>
  <c r="AA36" i="4" s="1"/>
  <c r="T35" i="4"/>
  <c r="AA35" i="4" s="1"/>
  <c r="T34" i="4"/>
  <c r="AA34" i="4" s="1"/>
  <c r="T33" i="4"/>
  <c r="T32" i="4"/>
  <c r="AA32" i="4" s="1"/>
  <c r="T31" i="4"/>
  <c r="AA31" i="4" s="1"/>
  <c r="AA30" i="4"/>
  <c r="T29" i="4"/>
  <c r="T28" i="4"/>
  <c r="AA28" i="4" s="1"/>
  <c r="T27" i="4"/>
  <c r="AA27" i="4" s="1"/>
  <c r="T25" i="4"/>
  <c r="T20" i="4"/>
  <c r="AA20" i="4" s="1"/>
  <c r="T17" i="4"/>
  <c r="AA17" i="4" s="1"/>
  <c r="T16" i="4"/>
  <c r="AA14" i="4"/>
  <c r="D19" i="4"/>
  <c r="D17" i="4"/>
  <c r="E17" i="4" s="1"/>
  <c r="D14" i="4"/>
  <c r="E14" i="4" s="1"/>
  <c r="D12" i="4"/>
  <c r="D32" i="4"/>
  <c r="D23" i="4"/>
  <c r="D21" i="4"/>
  <c r="D47" i="4"/>
  <c r="E47" i="4" s="1"/>
  <c r="D45" i="4"/>
  <c r="E45" i="4" s="1"/>
  <c r="D42" i="4"/>
  <c r="E42" i="4" s="1"/>
  <c r="D41" i="4"/>
  <c r="E41" i="4" s="1"/>
  <c r="D40" i="4"/>
  <c r="E40" i="4" s="1"/>
  <c r="D39" i="4"/>
  <c r="E39" i="4" s="1"/>
  <c r="D37" i="4"/>
  <c r="E37" i="4" s="1"/>
  <c r="D38" i="4"/>
  <c r="E38" i="4" s="1"/>
  <c r="D53" i="4"/>
  <c r="E53" i="4" s="1"/>
  <c r="J33" i="4"/>
  <c r="N33" i="4" s="1"/>
  <c r="J29" i="4"/>
  <c r="J22" i="4"/>
  <c r="N22" i="4" s="1"/>
  <c r="J20" i="4"/>
  <c r="N20" i="4" s="1"/>
  <c r="J18" i="4"/>
  <c r="J17" i="4"/>
  <c r="N17" i="4" s="1"/>
  <c r="J16" i="4"/>
  <c r="J41" i="4"/>
  <c r="N41" i="4" s="1"/>
  <c r="N40" i="4"/>
  <c r="AA29" i="4" l="1"/>
  <c r="AA40" i="4"/>
  <c r="AA33" i="4"/>
  <c r="AA25" i="4"/>
  <c r="AA49" i="4"/>
  <c r="N34" i="4"/>
  <c r="N29" i="4"/>
  <c r="N18" i="4"/>
  <c r="E29" i="4"/>
  <c r="E22" i="4"/>
  <c r="E19" i="4"/>
  <c r="E21" i="4"/>
  <c r="E23" i="4"/>
  <c r="E26" i="4"/>
  <c r="E32" i="4"/>
  <c r="AA16" i="4"/>
  <c r="E12" i="4"/>
  <c r="N16" i="4"/>
</calcChain>
</file>

<file path=xl/sharedStrings.xml><?xml version="1.0" encoding="utf-8"?>
<sst xmlns="http://schemas.openxmlformats.org/spreadsheetml/2006/main" count="190" uniqueCount="52">
  <si>
    <t>Data for figures 4b, 4c and 4d: fertility and inheritance assay of WT, MDFS and MDFS;X-shredder males</t>
  </si>
  <si>
    <t>Legend</t>
  </si>
  <si>
    <t>Cup excluded because female died in the water</t>
  </si>
  <si>
    <t>Cup excluded because female did not mate or experiment not performed correctly</t>
  </si>
  <si>
    <t>Cup selected for sex ratio measurement</t>
  </si>
  <si>
    <t xml:space="preserve">WT ♂ x WT ♀ </t>
  </si>
  <si>
    <t xml:space="preserve">MDFS ♂ x WT ♀ </t>
  </si>
  <si>
    <t xml:space="preserve">MDFS/X-shredder ♂ x WT ♀ </t>
  </si>
  <si>
    <t>♀</t>
  </si>
  <si>
    <t>No. eggs</t>
  </si>
  <si>
    <t>No. larvae</t>
  </si>
  <si>
    <t>Hatching rate</t>
  </si>
  <si>
    <t>CFP+</t>
  </si>
  <si>
    <t>CFP-</t>
  </si>
  <si>
    <t>% CFP</t>
  </si>
  <si>
    <t>Notes</t>
  </si>
  <si>
    <t>RFP+</t>
  </si>
  <si>
    <t>RFP-</t>
  </si>
  <si>
    <t>% RFP</t>
  </si>
  <si>
    <t>na</t>
  </si>
  <si>
    <t>used for sex ratio measurement but not homing rate</t>
  </si>
  <si>
    <t>Data for figure 4e: sex ratios of WT, MDFS and MDFS;X-shredder males</t>
  </si>
  <si>
    <t>Life stage</t>
  </si>
  <si>
    <t>Sex</t>
  </si>
  <si>
    <t>MDFS</t>
  </si>
  <si>
    <t>MDFS;X-shredder</t>
  </si>
  <si>
    <t>WT</t>
  </si>
  <si>
    <t>Pupa</t>
  </si>
  <si>
    <t>Male</t>
  </si>
  <si>
    <t>Female</t>
  </si>
  <si>
    <t>Adult</t>
  </si>
  <si>
    <t xml:space="preserve">Male </t>
  </si>
  <si>
    <t>/</t>
  </si>
  <si>
    <t>Data for figure 5: cage trial CFP frequencies and number of females</t>
  </si>
  <si>
    <t>CAGE TRIAL 1</t>
  </si>
  <si>
    <t>CAGE TRIAL 2</t>
  </si>
  <si>
    <t>Generation</t>
  </si>
  <si>
    <t>Release cage L1s (after mortality rate)</t>
  </si>
  <si>
    <t>Release cage CFP+ (n)</t>
  </si>
  <si>
    <t>Release cage CFP- (n)</t>
  </si>
  <si>
    <t>Release cage CFP frequency</t>
  </si>
  <si>
    <t>Release cage females</t>
  </si>
  <si>
    <t>Halted release L1s (after mortality rate)</t>
  </si>
  <si>
    <t>Halted release cage CFP+ (n)</t>
  </si>
  <si>
    <t>Halted release cage CFP- (n)</t>
  </si>
  <si>
    <t>Halted release cage CFP frequency</t>
  </si>
  <si>
    <t>Halted release cage females</t>
  </si>
  <si>
    <t>Release cage L1s  (after mortality rate)</t>
  </si>
  <si>
    <t>Halted release L1s  (after mortality rate)</t>
  </si>
  <si>
    <t>in excess</t>
  </si>
  <si>
    <t>.</t>
  </si>
  <si>
    <t>Note: the number of L1s used yo seed the cages in each generation does not necessarily correspond to the number of larvae screened, because 750 larvae were screened whenever possible, even if the mortality rate applied then reduced the number used to seed the cage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</si>
</sst>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font>
      <sz val="12"/>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b/>
      <sz val="12"/>
      <color theme="8"/>
      <name val="Calibri"/>
      <family val="2"/>
      <scheme val="minor"/>
    </font>
    <font>
      <b/>
      <sz val="12"/>
      <color rgb="FFFF0000"/>
      <name val="Calibri"/>
      <family val="2"/>
      <scheme val="minor"/>
    </font>
    <font>
      <b/>
      <sz val="14"/>
      <color theme="1"/>
      <name val="Calibri"/>
      <family val="2"/>
      <scheme val="minor"/>
    </font>
    <font>
      <b/>
      <sz val="16"/>
      <color theme="1"/>
      <name val="Calibri"/>
      <family val="2"/>
      <scheme val="minor"/>
    </font>
    <font>
      <sz val="12"/>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i/>
      <sz val="14"/>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8CBAD"/>
        <bgColor indexed="64"/>
      </patternFill>
    </fill>
    <fill>
      <patternFill patternType="solid">
        <fgColor rgb="FFC6E0B4"/>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7C80"/>
        <bgColor indexed="64"/>
      </patternFill>
    </fill>
    <fill>
      <patternFill patternType="solid">
        <fgColor theme="4"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rgb="FF000000"/>
      </top>
      <bottom style="medium">
        <color rgb="FF000000"/>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rgb="FF000000"/>
      </left>
      <right style="medium">
        <color rgb="FF000000"/>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9" fontId="2" fillId="0" borderId="0" applyFont="0" applyFill="0" applyBorder="0" applyAlignment="0" applyProtection="0"/>
  </cellStyleXfs>
  <cellXfs count="117">
    <xf numFmtId="0" fontId="0" fillId="0" borderId="0" xfId="0"/>
    <xf numFmtId="0" fontId="0" fillId="0" borderId="0" xfId="0" applyAlignment="1">
      <alignment horizontal="center"/>
    </xf>
    <xf numFmtId="0" fontId="1" fillId="0" borderId="5" xfId="0" applyFont="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3" borderId="7" xfId="0" applyFill="1" applyBorder="1" applyAlignment="1">
      <alignment horizontal="center"/>
    </xf>
    <xf numFmtId="0" fontId="0" fillId="4" borderId="7" xfId="0" applyFill="1" applyBorder="1" applyAlignment="1">
      <alignment horizontal="center"/>
    </xf>
    <xf numFmtId="0" fontId="0" fillId="5" borderId="7" xfId="0" applyFill="1" applyBorder="1" applyAlignment="1">
      <alignment horizontal="center"/>
    </xf>
    <xf numFmtId="0" fontId="0" fillId="5" borderId="10" xfId="0" applyFill="1" applyBorder="1" applyAlignment="1">
      <alignment horizontal="center"/>
    </xf>
    <xf numFmtId="0" fontId="0" fillId="5" borderId="12" xfId="0" applyFill="1" applyBorder="1" applyAlignment="1">
      <alignment horizontal="center"/>
    </xf>
    <xf numFmtId="0" fontId="0" fillId="4" borderId="8" xfId="0" applyFill="1" applyBorder="1" applyAlignment="1">
      <alignment horizontal="center"/>
    </xf>
    <xf numFmtId="0" fontId="3" fillId="2" borderId="7" xfId="0" applyFont="1" applyFill="1" applyBorder="1" applyAlignment="1">
      <alignment horizontal="center"/>
    </xf>
    <xf numFmtId="0" fontId="0" fillId="6" borderId="7" xfId="0" applyFill="1" applyBorder="1" applyAlignment="1">
      <alignment horizontal="center"/>
    </xf>
    <xf numFmtId="9" fontId="0" fillId="6" borderId="10" xfId="0" applyNumberFormat="1" applyFill="1" applyBorder="1" applyAlignment="1">
      <alignment horizontal="center"/>
    </xf>
    <xf numFmtId="0" fontId="0" fillId="6" borderId="6" xfId="0" applyFill="1" applyBorder="1" applyAlignment="1">
      <alignment horizontal="center"/>
    </xf>
    <xf numFmtId="2" fontId="0" fillId="6" borderId="9" xfId="1" applyNumberFormat="1" applyFont="1" applyFill="1" applyBorder="1" applyAlignment="1">
      <alignment horizontal="center"/>
    </xf>
    <xf numFmtId="2" fontId="0" fillId="2" borderId="10" xfId="0" applyNumberFormat="1" applyFill="1" applyBorder="1" applyAlignment="1">
      <alignment horizontal="center"/>
    </xf>
    <xf numFmtId="2" fontId="0" fillId="6" borderId="10" xfId="0" applyNumberFormat="1" applyFill="1" applyBorder="1" applyAlignment="1">
      <alignment horizontal="center"/>
    </xf>
    <xf numFmtId="2" fontId="0" fillId="0" borderId="0" xfId="0" applyNumberFormat="1" applyAlignment="1">
      <alignment horizontal="center"/>
    </xf>
    <xf numFmtId="2" fontId="0" fillId="5" borderId="12" xfId="0" applyNumberFormat="1" applyFill="1" applyBorder="1" applyAlignment="1">
      <alignment horizontal="center"/>
    </xf>
    <xf numFmtId="0" fontId="0" fillId="2" borderId="14" xfId="0" applyFill="1" applyBorder="1" applyAlignment="1">
      <alignment horizontal="center"/>
    </xf>
    <xf numFmtId="0" fontId="4" fillId="0" borderId="0" xfId="0" applyFont="1" applyAlignment="1">
      <alignment horizontal="center"/>
    </xf>
    <xf numFmtId="0" fontId="1" fillId="0" borderId="0" xfId="0" applyFont="1" applyAlignment="1">
      <alignment horizontal="center"/>
    </xf>
    <xf numFmtId="164" fontId="0" fillId="0" borderId="0" xfId="0" applyNumberFormat="1" applyAlignment="1">
      <alignment horizontal="center"/>
    </xf>
    <xf numFmtId="9" fontId="0" fillId="0" borderId="0" xfId="1" applyFont="1" applyAlignment="1">
      <alignment horizontal="center"/>
    </xf>
    <xf numFmtId="165" fontId="0" fillId="0" borderId="0" xfId="1" applyNumberFormat="1" applyFont="1" applyAlignment="1">
      <alignment horizontal="center"/>
    </xf>
    <xf numFmtId="2" fontId="0" fillId="2" borderId="13" xfId="0" applyNumberFormat="1" applyFill="1" applyBorder="1" applyAlignment="1">
      <alignment horizontal="center"/>
    </xf>
    <xf numFmtId="164" fontId="0" fillId="0" borderId="0" xfId="1" applyNumberFormat="1" applyFont="1" applyAlignment="1">
      <alignment horizontal="center"/>
    </xf>
    <xf numFmtId="0" fontId="5" fillId="0" borderId="0" xfId="0" applyFont="1" applyAlignment="1">
      <alignment horizontal="center"/>
    </xf>
    <xf numFmtId="2" fontId="0" fillId="5" borderId="10" xfId="0" applyNumberFormat="1" applyFill="1" applyBorder="1" applyAlignment="1">
      <alignment horizontal="center"/>
    </xf>
    <xf numFmtId="2" fontId="0" fillId="2" borderId="15" xfId="0" applyNumberFormat="1" applyFill="1" applyBorder="1" applyAlignment="1">
      <alignment horizontal="center"/>
    </xf>
    <xf numFmtId="2" fontId="0" fillId="6" borderId="11" xfId="1" applyNumberFormat="1" applyFont="1" applyFill="1" applyBorder="1" applyAlignment="1">
      <alignment horizontal="center"/>
    </xf>
    <xf numFmtId="2" fontId="0" fillId="2" borderId="12" xfId="0" applyNumberFormat="1" applyFill="1" applyBorder="1" applyAlignment="1">
      <alignment horizontal="center"/>
    </xf>
    <xf numFmtId="2" fontId="0" fillId="6" borderId="12" xfId="0" applyNumberFormat="1" applyFill="1" applyBorder="1" applyAlignment="1">
      <alignment horizontal="center"/>
    </xf>
    <xf numFmtId="2" fontId="0" fillId="3" borderId="10" xfId="0" applyNumberFormat="1" applyFill="1" applyBorder="1" applyAlignment="1">
      <alignment horizontal="center"/>
    </xf>
    <xf numFmtId="2" fontId="0" fillId="3" borderId="12" xfId="0" applyNumberFormat="1" applyFill="1" applyBorder="1" applyAlignment="1">
      <alignment horizontal="center"/>
    </xf>
    <xf numFmtId="0" fontId="0" fillId="7" borderId="6" xfId="0" applyFill="1" applyBorder="1" applyAlignment="1">
      <alignment horizontal="center"/>
    </xf>
    <xf numFmtId="0" fontId="3" fillId="7" borderId="6" xfId="0" applyFont="1" applyFill="1" applyBorder="1" applyAlignment="1">
      <alignment horizontal="center"/>
    </xf>
    <xf numFmtId="0" fontId="0" fillId="7" borderId="7" xfId="0" applyFill="1" applyBorder="1" applyAlignment="1">
      <alignment horizontal="center"/>
    </xf>
    <xf numFmtId="2" fontId="0" fillId="0" borderId="0" xfId="1" applyNumberFormat="1" applyFont="1" applyAlignment="1">
      <alignment horizontal="center"/>
    </xf>
    <xf numFmtId="0" fontId="0" fillId="6" borderId="17" xfId="0" applyFill="1" applyBorder="1" applyAlignment="1">
      <alignment horizontal="center"/>
    </xf>
    <xf numFmtId="0" fontId="0" fillId="5" borderId="14" xfId="0" applyFill="1" applyBorder="1" applyAlignment="1">
      <alignment horizontal="center"/>
    </xf>
    <xf numFmtId="0" fontId="0" fillId="3" borderId="14" xfId="0" applyFill="1" applyBorder="1" applyAlignment="1">
      <alignment horizontal="center"/>
    </xf>
    <xf numFmtId="0" fontId="0" fillId="6" borderId="14" xfId="0" applyFill="1" applyBorder="1" applyAlignment="1">
      <alignment horizontal="center"/>
    </xf>
    <xf numFmtId="0" fontId="0" fillId="2" borderId="16" xfId="0" applyFill="1" applyBorder="1" applyAlignment="1">
      <alignment horizontal="center"/>
    </xf>
    <xf numFmtId="0" fontId="0" fillId="6" borderId="20" xfId="0" applyFill="1" applyBorder="1" applyAlignment="1">
      <alignment horizontal="center"/>
    </xf>
    <xf numFmtId="0" fontId="0" fillId="5" borderId="21" xfId="0" applyFill="1" applyBorder="1" applyAlignment="1">
      <alignment horizontal="center"/>
    </xf>
    <xf numFmtId="2" fontId="0" fillId="2" borderId="21" xfId="0" applyNumberFormat="1" applyFill="1" applyBorder="1" applyAlignment="1">
      <alignment horizontal="center"/>
    </xf>
    <xf numFmtId="2" fontId="0" fillId="6" borderId="21" xfId="0" applyNumberFormat="1" applyFill="1" applyBorder="1" applyAlignment="1">
      <alignment horizontal="center"/>
    </xf>
    <xf numFmtId="2" fontId="0" fillId="5" borderId="21" xfId="0" applyNumberFormat="1" applyFill="1" applyBorder="1" applyAlignment="1">
      <alignment horizontal="center"/>
    </xf>
    <xf numFmtId="0" fontId="0" fillId="2" borderId="21" xfId="0" applyFill="1" applyBorder="1" applyAlignment="1">
      <alignment horizontal="center"/>
    </xf>
    <xf numFmtId="0" fontId="0" fillId="7" borderId="19" xfId="0" applyFill="1" applyBorder="1" applyAlignment="1">
      <alignment horizontal="center"/>
    </xf>
    <xf numFmtId="2" fontId="0" fillId="7" borderId="21" xfId="0" applyNumberFormat="1" applyFill="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2" fontId="0" fillId="2" borderId="7" xfId="0" applyNumberFormat="1" applyFill="1" applyBorder="1" applyAlignment="1">
      <alignment horizontal="center"/>
    </xf>
    <xf numFmtId="2" fontId="0" fillId="7" borderId="7" xfId="0" applyNumberFormat="1" applyFill="1" applyBorder="1" applyAlignment="1">
      <alignment horizontal="center"/>
    </xf>
    <xf numFmtId="2" fontId="0" fillId="5" borderId="7" xfId="0" applyNumberFormat="1" applyFill="1" applyBorder="1" applyAlignment="1">
      <alignment horizontal="center"/>
    </xf>
    <xf numFmtId="2" fontId="0" fillId="2" borderId="19" xfId="0" applyNumberFormat="1" applyFill="1" applyBorder="1" applyAlignment="1">
      <alignment horizontal="center"/>
    </xf>
    <xf numFmtId="2" fontId="0" fillId="2" borderId="18" xfId="0" applyNumberFormat="1" applyFill="1" applyBorder="1" applyAlignment="1">
      <alignment horizontal="center"/>
    </xf>
    <xf numFmtId="0" fontId="7" fillId="0" borderId="0" xfId="0" applyFont="1" applyAlignment="1">
      <alignment horizontal="left"/>
    </xf>
    <xf numFmtId="0" fontId="8" fillId="7" borderId="7" xfId="0" applyFont="1" applyFill="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7" xfId="0" applyFont="1" applyBorder="1" applyAlignment="1">
      <alignment horizontal="center"/>
    </xf>
    <xf numFmtId="0" fontId="0" fillId="2" borderId="28" xfId="0" applyFill="1" applyBorder="1" applyAlignment="1">
      <alignment horizontal="center"/>
    </xf>
    <xf numFmtId="2" fontId="0" fillId="2" borderId="29" xfId="0" applyNumberFormat="1" applyFill="1" applyBorder="1" applyAlignment="1">
      <alignment horizontal="center"/>
    </xf>
    <xf numFmtId="2" fontId="0" fillId="7" borderId="11" xfId="1" applyNumberFormat="1" applyFont="1" applyFill="1" applyBorder="1" applyAlignment="1">
      <alignment horizontal="center"/>
    </xf>
    <xf numFmtId="2" fontId="0" fillId="5" borderId="7" xfId="1" applyNumberFormat="1" applyFont="1" applyFill="1" applyBorder="1" applyAlignment="1">
      <alignment horizontal="center"/>
    </xf>
    <xf numFmtId="2" fontId="0" fillId="7" borderId="12" xfId="1" applyNumberFormat="1" applyFont="1" applyFill="1" applyBorder="1" applyAlignment="1">
      <alignment horizontal="center"/>
    </xf>
    <xf numFmtId="2" fontId="8" fillId="7" borderId="12" xfId="1" applyNumberFormat="1" applyFont="1" applyFill="1" applyBorder="1" applyAlignment="1">
      <alignment horizontal="center"/>
    </xf>
    <xf numFmtId="2" fontId="0" fillId="2" borderId="12" xfId="1" applyNumberFormat="1" applyFont="1" applyFill="1" applyBorder="1" applyAlignment="1">
      <alignment horizontal="center"/>
    </xf>
    <xf numFmtId="2" fontId="0" fillId="6" borderId="12" xfId="1" applyNumberFormat="1" applyFont="1" applyFill="1" applyBorder="1" applyAlignment="1">
      <alignment horizontal="center"/>
    </xf>
    <xf numFmtId="2" fontId="0" fillId="2" borderId="8" xfId="1" applyNumberFormat="1" applyFont="1" applyFill="1" applyBorder="1" applyAlignment="1">
      <alignment horizontal="center"/>
    </xf>
    <xf numFmtId="0" fontId="9" fillId="0" borderId="0" xfId="0" applyFont="1" applyAlignment="1">
      <alignment horizontal="left"/>
    </xf>
    <xf numFmtId="0" fontId="0" fillId="5" borderId="0" xfId="0" applyFill="1" applyAlignment="1">
      <alignment horizontal="center"/>
    </xf>
    <xf numFmtId="0" fontId="0" fillId="8" borderId="0" xfId="0" applyFill="1" applyAlignment="1">
      <alignment horizontal="center"/>
    </xf>
    <xf numFmtId="0" fontId="9" fillId="5" borderId="30" xfId="0" applyFont="1" applyFill="1" applyBorder="1" applyAlignment="1">
      <alignment horizontal="left"/>
    </xf>
    <xf numFmtId="0" fontId="0" fillId="5" borderId="31" xfId="0" applyFill="1" applyBorder="1" applyAlignment="1">
      <alignment horizontal="center"/>
    </xf>
    <xf numFmtId="0" fontId="9" fillId="8" borderId="30" xfId="0" applyFont="1" applyFill="1" applyBorder="1" applyAlignment="1">
      <alignment horizontal="left"/>
    </xf>
    <xf numFmtId="0" fontId="0" fillId="8" borderId="31" xfId="0" applyFill="1" applyBorder="1" applyAlignment="1">
      <alignment horizontal="center"/>
    </xf>
    <xf numFmtId="0" fontId="9" fillId="3" borderId="24" xfId="0" applyFont="1" applyFill="1" applyBorder="1" applyAlignment="1">
      <alignment horizontal="left"/>
    </xf>
    <xf numFmtId="0" fontId="0" fillId="3" borderId="26" xfId="0" applyFill="1" applyBorder="1" applyAlignment="1">
      <alignment horizontal="center"/>
    </xf>
    <xf numFmtId="0" fontId="0" fillId="3" borderId="27" xfId="0" applyFill="1" applyBorder="1" applyAlignment="1">
      <alignment horizontal="center"/>
    </xf>
    <xf numFmtId="0" fontId="7" fillId="9" borderId="0" xfId="0" applyFont="1" applyFill="1" applyAlignment="1">
      <alignment horizontal="left"/>
    </xf>
    <xf numFmtId="0" fontId="0" fillId="9" borderId="0" xfId="0" applyFill="1" applyAlignment="1">
      <alignment horizontal="center"/>
    </xf>
    <xf numFmtId="0" fontId="9" fillId="0" borderId="0" xfId="0" applyFont="1" applyAlignment="1">
      <alignment horizontal="right"/>
    </xf>
    <xf numFmtId="0" fontId="9" fillId="0" borderId="26" xfId="0" applyFont="1" applyBorder="1" applyAlignment="1">
      <alignment horizontal="right"/>
    </xf>
    <xf numFmtId="0" fontId="6" fillId="0" borderId="26" xfId="0" applyFont="1" applyBorder="1" applyAlignment="1">
      <alignment horizontal="right"/>
    </xf>
    <xf numFmtId="0" fontId="0" fillId="0" borderId="26" xfId="0" applyBorder="1"/>
    <xf numFmtId="0" fontId="6" fillId="2" borderId="2" xfId="0" applyFont="1" applyFill="1" applyBorder="1" applyAlignment="1">
      <alignment horizontal="left"/>
    </xf>
    <xf numFmtId="0" fontId="0" fillId="2" borderId="3" xfId="0" applyFill="1" applyBorder="1" applyAlignment="1">
      <alignment horizontal="center"/>
    </xf>
    <xf numFmtId="0" fontId="0" fillId="2" borderId="4" xfId="0" applyFill="1" applyBorder="1" applyAlignment="1">
      <alignment horizontal="center"/>
    </xf>
    <xf numFmtId="0" fontId="10" fillId="0" borderId="26" xfId="0" applyFont="1" applyBorder="1"/>
    <xf numFmtId="0" fontId="10" fillId="0" borderId="0" xfId="0" applyFont="1"/>
    <xf numFmtId="0" fontId="11" fillId="0" borderId="0" xfId="0" applyFont="1"/>
    <xf numFmtId="10" fontId="0" fillId="0" borderId="0" xfId="0" applyNumberFormat="1"/>
    <xf numFmtId="10" fontId="11" fillId="0" borderId="0" xfId="0" applyNumberFormat="1" applyFont="1"/>
    <xf numFmtId="0" fontId="0" fillId="0" borderId="0" xfId="0" applyAlignment="1">
      <alignment horizontal="right"/>
    </xf>
    <xf numFmtId="0" fontId="11" fillId="0" borderId="26" xfId="0" applyFont="1" applyBorder="1"/>
    <xf numFmtId="10" fontId="11" fillId="0" borderId="26" xfId="0" applyNumberFormat="1" applyFont="1" applyBorder="1"/>
    <xf numFmtId="0" fontId="0" fillId="0" borderId="26" xfId="0" applyBorder="1" applyAlignment="1">
      <alignment horizontal="right"/>
    </xf>
    <xf numFmtId="0" fontId="7" fillId="10" borderId="26" xfId="0" applyFont="1" applyFill="1" applyBorder="1"/>
    <xf numFmtId="0" fontId="1" fillId="10" borderId="26" xfId="0" applyFont="1" applyFill="1" applyBorder="1"/>
    <xf numFmtId="0" fontId="7" fillId="11" borderId="26" xfId="0" applyFont="1" applyFill="1" applyBorder="1"/>
    <xf numFmtId="0" fontId="1" fillId="11" borderId="26" xfId="0" applyFont="1" applyFill="1" applyBorder="1"/>
    <xf numFmtId="0" fontId="11" fillId="0" borderId="0" xfId="0" applyFont="1" applyAlignment="1">
      <alignment horizontal="right"/>
    </xf>
    <xf numFmtId="0" fontId="11" fillId="0" borderId="26" xfId="0" applyFont="1" applyBorder="1" applyAlignment="1">
      <alignment horizontal="right"/>
    </xf>
    <xf numFmtId="0" fontId="10" fillId="0" borderId="26" xfId="0" applyFont="1" applyBorder="1" applyAlignment="1">
      <alignment horizontal="right"/>
    </xf>
    <xf numFmtId="0" fontId="12" fillId="0" borderId="0" xfId="0" applyFont="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9" fillId="0" borderId="0" xfId="0" applyFont="1" applyAlignment="1">
      <alignment horizontal="right" vertical="center"/>
    </xf>
    <xf numFmtId="0" fontId="9" fillId="0" borderId="26" xfId="0" applyFont="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5"/>
  <sheetViews>
    <sheetView tabSelected="1" topLeftCell="M1" zoomScale="61" zoomScaleNormal="70" workbookViewId="0">
      <selection activeCell="AA20" sqref="AA20"/>
    </sheetView>
  </sheetViews>
  <sheetFormatPr defaultColWidth="10.875" defaultRowHeight="15.6"/>
  <cols>
    <col min="1" max="4" width="10.875" style="1"/>
    <col min="5" max="5" width="12.375" style="1" bestFit="1" customWidth="1"/>
    <col min="6" max="12" width="10.875" style="1"/>
    <col min="13" max="14" width="12.375" style="1" bestFit="1" customWidth="1"/>
    <col min="15" max="15" width="46.25" style="1" bestFit="1" customWidth="1"/>
    <col min="16" max="21" width="10.875" style="1"/>
    <col min="22" max="22" width="12.375" style="1" bestFit="1" customWidth="1"/>
    <col min="23" max="23" width="12.375" style="1" customWidth="1"/>
    <col min="24" max="26" width="10.875" style="1"/>
    <col min="27" max="27" width="12.375" style="1" bestFit="1" customWidth="1"/>
    <col min="28" max="31" width="10.875" style="1"/>
    <col min="32" max="32" width="12.375" style="1" bestFit="1" customWidth="1"/>
    <col min="33" max="33" width="10.875" style="1"/>
    <col min="34" max="34" width="17" style="1" bestFit="1" customWidth="1"/>
    <col min="35" max="16384" width="10.875" style="1"/>
  </cols>
  <sheetData>
    <row r="1" spans="1:34" s="87" customFormat="1" ht="21">
      <c r="A1" s="86" t="s">
        <v>0</v>
      </c>
    </row>
    <row r="2" spans="1:34" ht="21.6" thickBot="1">
      <c r="A2" s="60"/>
    </row>
    <row r="3" spans="1:34" ht="21.6" thickBot="1">
      <c r="A3" s="60"/>
      <c r="B3" s="92" t="s">
        <v>1</v>
      </c>
      <c r="C3" s="93"/>
      <c r="D3" s="93"/>
      <c r="E3" s="93"/>
      <c r="F3" s="93"/>
      <c r="G3" s="93"/>
      <c r="H3" s="93"/>
      <c r="I3" s="94"/>
    </row>
    <row r="4" spans="1:34" ht="21">
      <c r="A4" s="60"/>
      <c r="B4" s="79" t="s">
        <v>2</v>
      </c>
      <c r="C4" s="77"/>
      <c r="D4" s="77"/>
      <c r="E4" s="77"/>
      <c r="F4" s="77"/>
      <c r="G4" s="77"/>
      <c r="H4" s="77"/>
      <c r="I4" s="80"/>
    </row>
    <row r="5" spans="1:34" ht="18.600000000000001">
      <c r="B5" s="81" t="s">
        <v>3</v>
      </c>
      <c r="C5" s="78"/>
      <c r="D5" s="78"/>
      <c r="E5" s="78"/>
      <c r="F5" s="78"/>
      <c r="G5" s="78"/>
      <c r="H5" s="78"/>
      <c r="I5" s="82"/>
    </row>
    <row r="6" spans="1:34" ht="18.95" thickBot="1">
      <c r="B6" s="83" t="s">
        <v>4</v>
      </c>
      <c r="C6" s="84"/>
      <c r="D6" s="84"/>
      <c r="E6" s="84"/>
      <c r="F6" s="84"/>
      <c r="G6" s="84"/>
      <c r="H6" s="84"/>
      <c r="I6" s="85"/>
    </row>
    <row r="7" spans="1:34" ht="18.600000000000001">
      <c r="B7" s="76"/>
    </row>
    <row r="8" spans="1:34" ht="18.600000000000001">
      <c r="B8" s="76"/>
    </row>
    <row r="9" spans="1:34" ht="15.95" thickBot="1"/>
    <row r="10" spans="1:34" ht="15.95" thickBot="1">
      <c r="B10" s="112" t="s">
        <v>5</v>
      </c>
      <c r="C10" s="113"/>
      <c r="D10" s="113"/>
      <c r="E10" s="114"/>
      <c r="H10" s="112" t="s">
        <v>6</v>
      </c>
      <c r="I10" s="113"/>
      <c r="J10" s="113"/>
      <c r="K10" s="113"/>
      <c r="L10" s="113"/>
      <c r="M10" s="113"/>
      <c r="N10" s="113"/>
      <c r="O10" s="114"/>
      <c r="R10" s="112" t="s">
        <v>7</v>
      </c>
      <c r="S10" s="113"/>
      <c r="T10" s="113"/>
      <c r="U10" s="113"/>
      <c r="V10" s="113"/>
      <c r="W10" s="113"/>
      <c r="X10" s="113"/>
      <c r="Y10" s="113"/>
      <c r="Z10" s="113"/>
      <c r="AA10" s="114"/>
      <c r="AC10"/>
      <c r="AD10"/>
      <c r="AE10"/>
      <c r="AF10"/>
      <c r="AG10"/>
      <c r="AH10"/>
    </row>
    <row r="11" spans="1:34" ht="15.95" thickBot="1">
      <c r="B11" s="2" t="s">
        <v>8</v>
      </c>
      <c r="C11" s="53" t="s">
        <v>9</v>
      </c>
      <c r="D11" s="53" t="s">
        <v>10</v>
      </c>
      <c r="E11" s="53" t="s">
        <v>11</v>
      </c>
      <c r="H11" s="2" t="s">
        <v>8</v>
      </c>
      <c r="I11" s="53" t="s">
        <v>9</v>
      </c>
      <c r="J11" s="53" t="s">
        <v>10</v>
      </c>
      <c r="K11" s="53" t="s">
        <v>12</v>
      </c>
      <c r="L11" s="53" t="s">
        <v>13</v>
      </c>
      <c r="M11" s="53" t="s">
        <v>14</v>
      </c>
      <c r="N11" s="54" t="s">
        <v>11</v>
      </c>
      <c r="O11" s="2" t="s">
        <v>15</v>
      </c>
      <c r="R11" s="62" t="s">
        <v>8</v>
      </c>
      <c r="S11" s="63" t="s">
        <v>9</v>
      </c>
      <c r="T11" s="63" t="s">
        <v>10</v>
      </c>
      <c r="U11" s="63" t="s">
        <v>12</v>
      </c>
      <c r="V11" s="63" t="s">
        <v>13</v>
      </c>
      <c r="W11" s="63" t="s">
        <v>14</v>
      </c>
      <c r="X11" s="63" t="s">
        <v>16</v>
      </c>
      <c r="Y11" s="64" t="s">
        <v>17</v>
      </c>
      <c r="Z11" s="65" t="s">
        <v>18</v>
      </c>
      <c r="AA11" s="66" t="s">
        <v>11</v>
      </c>
      <c r="AC11"/>
      <c r="AD11"/>
      <c r="AE11"/>
      <c r="AF11"/>
      <c r="AG11"/>
      <c r="AH11"/>
    </row>
    <row r="12" spans="1:34" ht="15.95" thickBot="1">
      <c r="B12" s="36">
        <v>1</v>
      </c>
      <c r="C12" s="37">
        <v>127</v>
      </c>
      <c r="D12" s="37">
        <f>121+5</f>
        <v>126</v>
      </c>
      <c r="E12" s="69">
        <f>D12/C12*100</f>
        <v>99.212598425196859</v>
      </c>
      <c r="H12" s="14">
        <v>43</v>
      </c>
      <c r="I12" s="14"/>
      <c r="J12" s="14"/>
      <c r="K12" s="14"/>
      <c r="L12" s="14"/>
      <c r="M12" s="14"/>
      <c r="N12" s="15"/>
      <c r="O12" s="14"/>
      <c r="R12" s="14">
        <v>89</v>
      </c>
      <c r="S12" s="14"/>
      <c r="T12" s="14"/>
      <c r="U12" s="14"/>
      <c r="V12" s="14"/>
      <c r="W12" s="14"/>
      <c r="X12" s="14"/>
      <c r="Y12" s="40"/>
      <c r="Z12" s="45"/>
      <c r="AA12" s="31"/>
      <c r="AC12"/>
      <c r="AD12"/>
      <c r="AE12"/>
      <c r="AF12"/>
      <c r="AG12"/>
      <c r="AH12"/>
    </row>
    <row r="13" spans="1:34" ht="15.95" thickBot="1">
      <c r="B13" s="38">
        <v>2</v>
      </c>
      <c r="C13" s="38">
        <v>113</v>
      </c>
      <c r="D13" s="38">
        <f>98+1+1</f>
        <v>100</v>
      </c>
      <c r="E13" s="69">
        <f>D13/C13*100</f>
        <v>88.495575221238937</v>
      </c>
      <c r="H13" s="12">
        <v>44</v>
      </c>
      <c r="I13" s="12"/>
      <c r="J13" s="12"/>
      <c r="K13" s="12"/>
      <c r="L13" s="12"/>
      <c r="M13" s="12"/>
      <c r="N13" s="13"/>
      <c r="O13" s="12"/>
      <c r="R13" s="7">
        <v>90</v>
      </c>
      <c r="S13" s="7"/>
      <c r="T13" s="7"/>
      <c r="U13" s="7"/>
      <c r="V13" s="7"/>
      <c r="W13" s="7"/>
      <c r="X13" s="7"/>
      <c r="Y13" s="41"/>
      <c r="Z13" s="46"/>
      <c r="AA13" s="9"/>
      <c r="AC13"/>
      <c r="AD13"/>
      <c r="AE13"/>
      <c r="AF13"/>
      <c r="AG13"/>
      <c r="AH13"/>
    </row>
    <row r="14" spans="1:34">
      <c r="B14" s="38">
        <v>3</v>
      </c>
      <c r="C14" s="38">
        <v>55</v>
      </c>
      <c r="D14" s="38">
        <f>50+2</f>
        <v>52</v>
      </c>
      <c r="E14" s="69">
        <f>D14/C14*100</f>
        <v>94.545454545454547</v>
      </c>
      <c r="H14" s="6">
        <v>45</v>
      </c>
      <c r="I14" s="3">
        <v>37</v>
      </c>
      <c r="J14" s="3">
        <v>1</v>
      </c>
      <c r="K14" s="3">
        <v>1</v>
      </c>
      <c r="L14" s="3">
        <v>0</v>
      </c>
      <c r="M14" s="3" t="s">
        <v>19</v>
      </c>
      <c r="N14" s="16">
        <f>J14/I14*100</f>
        <v>2.7027027027027026</v>
      </c>
      <c r="O14" s="3"/>
      <c r="R14" s="6">
        <v>91</v>
      </c>
      <c r="S14" s="3">
        <v>58</v>
      </c>
      <c r="T14" s="3">
        <f>47+2</f>
        <v>49</v>
      </c>
      <c r="U14" s="3">
        <v>49</v>
      </c>
      <c r="V14" s="3">
        <v>0</v>
      </c>
      <c r="W14" s="3">
        <f>U14/SUM(U14:V14)*100</f>
        <v>100</v>
      </c>
      <c r="X14" s="3">
        <v>22</v>
      </c>
      <c r="Y14" s="20">
        <f>49-22</f>
        <v>27</v>
      </c>
      <c r="Z14" s="47">
        <f>X14/SUM(X14:Y14)*100</f>
        <v>44.897959183673471</v>
      </c>
      <c r="AA14" s="32">
        <f>T14/S14*100</f>
        <v>84.482758620689651</v>
      </c>
      <c r="AC14"/>
      <c r="AD14"/>
      <c r="AE14"/>
      <c r="AF14"/>
      <c r="AG14"/>
      <c r="AH14"/>
    </row>
    <row r="15" spans="1:34">
      <c r="B15" s="7">
        <v>4</v>
      </c>
      <c r="C15" s="7"/>
      <c r="D15" s="7"/>
      <c r="E15" s="70"/>
      <c r="H15" s="5">
        <v>46</v>
      </c>
      <c r="I15" s="5">
        <v>59</v>
      </c>
      <c r="J15" s="5">
        <v>59</v>
      </c>
      <c r="K15" s="5">
        <v>59</v>
      </c>
      <c r="L15" s="5">
        <v>0</v>
      </c>
      <c r="M15" s="38">
        <f t="shared" ref="M15:M24" si="0">K15/(SUM($K15:$L15))*100</f>
        <v>100</v>
      </c>
      <c r="N15" s="34">
        <f t="shared" ref="N15:N21" si="1">J15/I15*100</f>
        <v>100</v>
      </c>
      <c r="O15" s="5"/>
      <c r="R15" s="5">
        <v>92</v>
      </c>
      <c r="S15" s="5">
        <v>49</v>
      </c>
      <c r="T15" s="5">
        <v>42</v>
      </c>
      <c r="U15" s="5">
        <v>42</v>
      </c>
      <c r="V15" s="5">
        <v>0</v>
      </c>
      <c r="W15" s="38">
        <f t="shared" ref="W15:W58" si="2">U15/SUM(U15:V15)*100</f>
        <v>100</v>
      </c>
      <c r="X15" s="5">
        <v>24</v>
      </c>
      <c r="Y15" s="42">
        <v>19</v>
      </c>
      <c r="Z15" s="52">
        <f t="shared" ref="Z15:Z58" si="3">X15/SUM(X15:Y15)*100</f>
        <v>55.813953488372093</v>
      </c>
      <c r="AA15" s="35">
        <f t="shared" ref="AA15:AA22" si="4">T15/S15*100</f>
        <v>85.714285714285708</v>
      </c>
      <c r="AC15"/>
      <c r="AD15"/>
      <c r="AE15"/>
      <c r="AF15"/>
      <c r="AG15"/>
      <c r="AH15"/>
    </row>
    <row r="16" spans="1:34">
      <c r="B16" s="38">
        <v>5</v>
      </c>
      <c r="C16" s="38">
        <v>61</v>
      </c>
      <c r="D16" s="38">
        <v>49</v>
      </c>
      <c r="E16" s="71">
        <f>D16/C16*100</f>
        <v>80.327868852459019</v>
      </c>
      <c r="H16" s="5">
        <v>47</v>
      </c>
      <c r="I16" s="5">
        <v>92</v>
      </c>
      <c r="J16" s="5">
        <f>84+6</f>
        <v>90</v>
      </c>
      <c r="K16" s="5">
        <v>88</v>
      </c>
      <c r="L16" s="5">
        <v>0</v>
      </c>
      <c r="M16" s="38">
        <f t="shared" si="0"/>
        <v>100</v>
      </c>
      <c r="N16" s="34">
        <f t="shared" si="1"/>
        <v>97.826086956521735</v>
      </c>
      <c r="O16" s="5"/>
      <c r="R16" s="5">
        <v>93</v>
      </c>
      <c r="S16" s="5">
        <v>103</v>
      </c>
      <c r="T16" s="5">
        <f>99+2</f>
        <v>101</v>
      </c>
      <c r="U16" s="5">
        <v>101</v>
      </c>
      <c r="V16" s="5">
        <v>0</v>
      </c>
      <c r="W16" s="38">
        <f t="shared" si="2"/>
        <v>100</v>
      </c>
      <c r="X16" s="5">
        <v>46</v>
      </c>
      <c r="Y16" s="42">
        <f>U16-46</f>
        <v>55</v>
      </c>
      <c r="Z16" s="52">
        <f t="shared" si="3"/>
        <v>45.544554455445549</v>
      </c>
      <c r="AA16" s="35">
        <f t="shared" si="4"/>
        <v>98.05825242718447</v>
      </c>
      <c r="AC16"/>
      <c r="AD16"/>
      <c r="AE16"/>
      <c r="AF16"/>
      <c r="AG16"/>
      <c r="AH16"/>
    </row>
    <row r="17" spans="2:34">
      <c r="B17" s="38">
        <v>6</v>
      </c>
      <c r="C17" s="38">
        <v>61</v>
      </c>
      <c r="D17" s="38">
        <f>58+2</f>
        <v>60</v>
      </c>
      <c r="E17" s="71">
        <f>D17/C17*100</f>
        <v>98.360655737704917</v>
      </c>
      <c r="H17" s="5">
        <v>48</v>
      </c>
      <c r="I17" s="5">
        <v>100</v>
      </c>
      <c r="J17" s="5">
        <f>94+6</f>
        <v>100</v>
      </c>
      <c r="K17" s="5">
        <v>99</v>
      </c>
      <c r="L17" s="5">
        <v>0</v>
      </c>
      <c r="M17" s="38">
        <f t="shared" si="0"/>
        <v>100</v>
      </c>
      <c r="N17" s="34">
        <f t="shared" si="1"/>
        <v>100</v>
      </c>
      <c r="O17" s="5"/>
      <c r="R17" s="5">
        <v>94</v>
      </c>
      <c r="S17" s="5">
        <v>97</v>
      </c>
      <c r="T17" s="5">
        <f>76+3</f>
        <v>79</v>
      </c>
      <c r="U17" s="5">
        <v>79</v>
      </c>
      <c r="V17" s="5">
        <v>0</v>
      </c>
      <c r="W17" s="38">
        <f t="shared" si="2"/>
        <v>100</v>
      </c>
      <c r="X17" s="5">
        <v>36</v>
      </c>
      <c r="Y17" s="42">
        <f>U17-36</f>
        <v>43</v>
      </c>
      <c r="Z17" s="52">
        <f t="shared" si="3"/>
        <v>45.569620253164558</v>
      </c>
      <c r="AA17" s="35">
        <f t="shared" si="4"/>
        <v>81.44329896907216</v>
      </c>
      <c r="AC17"/>
      <c r="AD17"/>
      <c r="AE17"/>
      <c r="AF17"/>
      <c r="AG17"/>
      <c r="AH17"/>
    </row>
    <row r="18" spans="2:34">
      <c r="B18" s="7">
        <v>7</v>
      </c>
      <c r="C18" s="7"/>
      <c r="D18" s="7"/>
      <c r="E18" s="70"/>
      <c r="H18" s="5">
        <v>49</v>
      </c>
      <c r="I18" s="5">
        <v>108</v>
      </c>
      <c r="J18" s="5">
        <f>65+20</f>
        <v>85</v>
      </c>
      <c r="K18" s="5">
        <v>84</v>
      </c>
      <c r="L18" s="5">
        <v>0</v>
      </c>
      <c r="M18" s="38">
        <f t="shared" si="0"/>
        <v>100</v>
      </c>
      <c r="N18" s="34">
        <f t="shared" si="1"/>
        <v>78.703703703703709</v>
      </c>
      <c r="O18" s="5"/>
      <c r="R18" s="6">
        <v>95</v>
      </c>
      <c r="S18" s="3">
        <v>48</v>
      </c>
      <c r="T18" s="3">
        <v>46</v>
      </c>
      <c r="U18" s="3">
        <v>46</v>
      </c>
      <c r="V18" s="3">
        <v>0</v>
      </c>
      <c r="W18" s="3">
        <f t="shared" si="2"/>
        <v>100</v>
      </c>
      <c r="X18" s="3">
        <v>21</v>
      </c>
      <c r="Y18" s="20">
        <f>U18-21</f>
        <v>25</v>
      </c>
      <c r="Z18" s="47">
        <f t="shared" si="3"/>
        <v>45.652173913043477</v>
      </c>
      <c r="AA18" s="32">
        <f t="shared" si="4"/>
        <v>95.833333333333343</v>
      </c>
      <c r="AD18"/>
      <c r="AE18"/>
      <c r="AF18"/>
      <c r="AG18"/>
      <c r="AH18"/>
    </row>
    <row r="19" spans="2:34">
      <c r="B19" s="38">
        <v>8</v>
      </c>
      <c r="C19" s="38">
        <v>95</v>
      </c>
      <c r="D19" s="38">
        <f>87+5</f>
        <v>92</v>
      </c>
      <c r="E19" s="71">
        <f t="shared" ref="E19:E24" si="5">D19/C19*100</f>
        <v>96.84210526315789</v>
      </c>
      <c r="H19" s="6">
        <v>50</v>
      </c>
      <c r="I19" s="3">
        <v>50</v>
      </c>
      <c r="J19" s="3">
        <f>37+5+1</f>
        <v>43</v>
      </c>
      <c r="K19" s="3">
        <v>42</v>
      </c>
      <c r="L19" s="3">
        <v>0</v>
      </c>
      <c r="M19" s="3">
        <f t="shared" si="0"/>
        <v>100</v>
      </c>
      <c r="N19" s="16">
        <f t="shared" si="1"/>
        <v>86</v>
      </c>
      <c r="O19" s="3"/>
      <c r="R19" s="6">
        <v>96</v>
      </c>
      <c r="S19" s="3">
        <v>0</v>
      </c>
      <c r="T19" s="3">
        <v>0</v>
      </c>
      <c r="U19" s="3">
        <v>0</v>
      </c>
      <c r="V19" s="3">
        <v>0</v>
      </c>
      <c r="W19" s="3"/>
      <c r="X19" s="3">
        <v>0</v>
      </c>
      <c r="Y19" s="20">
        <v>0</v>
      </c>
      <c r="Z19" s="47"/>
      <c r="AA19" s="32"/>
      <c r="AC19"/>
      <c r="AD19"/>
      <c r="AE19"/>
      <c r="AF19"/>
      <c r="AG19"/>
      <c r="AH19"/>
    </row>
    <row r="20" spans="2:34">
      <c r="B20" s="61">
        <v>9</v>
      </c>
      <c r="C20" s="61">
        <v>58</v>
      </c>
      <c r="D20" s="61">
        <v>9</v>
      </c>
      <c r="E20" s="72">
        <f t="shared" si="5"/>
        <v>15.517241379310345</v>
      </c>
      <c r="H20" s="5">
        <v>51</v>
      </c>
      <c r="I20" s="5">
        <v>97</v>
      </c>
      <c r="J20" s="5">
        <f>80+14</f>
        <v>94</v>
      </c>
      <c r="K20" s="5">
        <v>94</v>
      </c>
      <c r="L20" s="5">
        <v>0</v>
      </c>
      <c r="M20" s="38">
        <f t="shared" si="0"/>
        <v>100</v>
      </c>
      <c r="N20" s="34">
        <f t="shared" si="1"/>
        <v>96.907216494845358</v>
      </c>
      <c r="O20" s="5"/>
      <c r="R20" s="5">
        <v>97</v>
      </c>
      <c r="S20" s="5">
        <v>72</v>
      </c>
      <c r="T20" s="5">
        <f>66+2</f>
        <v>68</v>
      </c>
      <c r="U20" s="5">
        <v>68</v>
      </c>
      <c r="V20" s="5">
        <v>0</v>
      </c>
      <c r="W20" s="38">
        <f t="shared" si="2"/>
        <v>100</v>
      </c>
      <c r="X20" s="5">
        <v>32</v>
      </c>
      <c r="Y20" s="42">
        <f>U20-32</f>
        <v>36</v>
      </c>
      <c r="Z20" s="52">
        <f t="shared" si="3"/>
        <v>47.058823529411761</v>
      </c>
      <c r="AA20" s="35">
        <f t="shared" si="4"/>
        <v>94.444444444444443</v>
      </c>
      <c r="AC20"/>
      <c r="AD20"/>
      <c r="AE20"/>
      <c r="AF20"/>
      <c r="AG20"/>
      <c r="AH20"/>
    </row>
    <row r="21" spans="2:34">
      <c r="B21" s="38">
        <v>10</v>
      </c>
      <c r="C21" s="38">
        <v>88</v>
      </c>
      <c r="D21" s="38">
        <f>78+1</f>
        <v>79</v>
      </c>
      <c r="E21" s="71">
        <f t="shared" si="5"/>
        <v>89.772727272727266</v>
      </c>
      <c r="H21" s="5">
        <v>52</v>
      </c>
      <c r="I21" s="5">
        <v>46</v>
      </c>
      <c r="J21" s="5">
        <f>31+1+1</f>
        <v>33</v>
      </c>
      <c r="K21" s="5"/>
      <c r="L21" s="5"/>
      <c r="M21" s="5"/>
      <c r="N21" s="34"/>
      <c r="O21" s="5" t="s">
        <v>20</v>
      </c>
      <c r="R21" s="5">
        <v>98</v>
      </c>
      <c r="S21" s="5">
        <v>71</v>
      </c>
      <c r="T21" s="5">
        <v>65</v>
      </c>
      <c r="U21" s="5">
        <v>65</v>
      </c>
      <c r="V21" s="5">
        <v>0</v>
      </c>
      <c r="W21" s="38">
        <f t="shared" si="2"/>
        <v>100</v>
      </c>
      <c r="X21" s="5">
        <v>33</v>
      </c>
      <c r="Y21" s="42">
        <f>U21-33</f>
        <v>32</v>
      </c>
      <c r="Z21" s="52">
        <f t="shared" si="3"/>
        <v>50.769230769230766</v>
      </c>
      <c r="AA21" s="35">
        <f t="shared" si="4"/>
        <v>91.549295774647888</v>
      </c>
      <c r="AC21"/>
      <c r="AD21"/>
      <c r="AE21"/>
      <c r="AF21"/>
      <c r="AG21"/>
      <c r="AH21"/>
    </row>
    <row r="22" spans="2:34">
      <c r="B22" s="38">
        <v>11</v>
      </c>
      <c r="C22" s="38">
        <v>77</v>
      </c>
      <c r="D22" s="38">
        <f>63+9+1</f>
        <v>73</v>
      </c>
      <c r="E22" s="71">
        <f t="shared" si="5"/>
        <v>94.805194805194802</v>
      </c>
      <c r="H22" s="5">
        <v>53</v>
      </c>
      <c r="I22" s="5">
        <v>78</v>
      </c>
      <c r="J22" s="5">
        <f>69+4+3</f>
        <v>76</v>
      </c>
      <c r="K22" s="5">
        <v>76</v>
      </c>
      <c r="L22" s="5">
        <v>0</v>
      </c>
      <c r="M22" s="38">
        <f t="shared" si="0"/>
        <v>100</v>
      </c>
      <c r="N22" s="34">
        <f>J22/I22*100</f>
        <v>97.435897435897431</v>
      </c>
      <c r="O22" s="5"/>
      <c r="R22" s="6">
        <v>99</v>
      </c>
      <c r="S22" s="3">
        <v>59</v>
      </c>
      <c r="T22" s="3">
        <f>43+6</f>
        <v>49</v>
      </c>
      <c r="U22" s="3">
        <v>43</v>
      </c>
      <c r="V22" s="3">
        <v>6</v>
      </c>
      <c r="W22" s="55">
        <f t="shared" si="2"/>
        <v>87.755102040816325</v>
      </c>
      <c r="X22" s="3"/>
      <c r="Y22" s="20"/>
      <c r="Z22" s="47"/>
      <c r="AA22" s="32">
        <f t="shared" si="4"/>
        <v>83.050847457627114</v>
      </c>
      <c r="AC22"/>
      <c r="AD22"/>
      <c r="AE22"/>
      <c r="AF22"/>
      <c r="AG22"/>
      <c r="AH22"/>
    </row>
    <row r="23" spans="2:34">
      <c r="B23" s="38">
        <v>12</v>
      </c>
      <c r="C23" s="38">
        <v>65</v>
      </c>
      <c r="D23" s="38">
        <f>50+12</f>
        <v>62</v>
      </c>
      <c r="E23" s="71">
        <f t="shared" si="5"/>
        <v>95.384615384615387</v>
      </c>
      <c r="H23" s="6">
        <v>54</v>
      </c>
      <c r="I23" s="3">
        <v>86</v>
      </c>
      <c r="J23" s="3">
        <f>58+24</f>
        <v>82</v>
      </c>
      <c r="K23" s="3">
        <v>82</v>
      </c>
      <c r="L23" s="3">
        <v>0</v>
      </c>
      <c r="M23" s="3">
        <f t="shared" si="0"/>
        <v>100</v>
      </c>
      <c r="N23" s="16">
        <f t="shared" ref="N23:N24" si="6">J23/I23*100</f>
        <v>95.348837209302332</v>
      </c>
      <c r="O23" s="3"/>
      <c r="R23" s="12">
        <v>100</v>
      </c>
      <c r="S23" s="12"/>
      <c r="T23" s="12"/>
      <c r="U23" s="12"/>
      <c r="V23" s="12"/>
      <c r="W23" s="12"/>
      <c r="X23" s="12"/>
      <c r="Y23" s="43"/>
      <c r="Z23" s="48"/>
      <c r="AA23" s="33"/>
      <c r="AC23"/>
      <c r="AD23"/>
      <c r="AE23"/>
      <c r="AF23"/>
      <c r="AG23"/>
      <c r="AH23"/>
    </row>
    <row r="24" spans="2:34">
      <c r="B24" s="38">
        <v>13</v>
      </c>
      <c r="C24" s="38">
        <v>59</v>
      </c>
      <c r="D24" s="38">
        <f>47+1+1+5</f>
        <v>54</v>
      </c>
      <c r="E24" s="71">
        <f t="shared" si="5"/>
        <v>91.525423728813564</v>
      </c>
      <c r="H24" s="6">
        <v>55</v>
      </c>
      <c r="I24" s="3">
        <v>81</v>
      </c>
      <c r="J24" s="3">
        <f>42+21</f>
        <v>63</v>
      </c>
      <c r="K24" s="3">
        <v>63</v>
      </c>
      <c r="L24" s="3">
        <v>0</v>
      </c>
      <c r="M24" s="3">
        <f t="shared" si="0"/>
        <v>100</v>
      </c>
      <c r="N24" s="16">
        <f t="shared" si="6"/>
        <v>77.777777777777786</v>
      </c>
      <c r="O24" s="3"/>
      <c r="R24" s="6">
        <v>101</v>
      </c>
      <c r="S24" s="3">
        <v>27</v>
      </c>
      <c r="T24" s="3">
        <f>25+1</f>
        <v>26</v>
      </c>
      <c r="U24" s="3">
        <v>24</v>
      </c>
      <c r="V24" s="3">
        <v>0</v>
      </c>
      <c r="W24" s="3">
        <f t="shared" si="2"/>
        <v>100</v>
      </c>
      <c r="X24" s="3">
        <v>16</v>
      </c>
      <c r="Y24" s="20">
        <v>8</v>
      </c>
      <c r="Z24" s="47">
        <f t="shared" si="3"/>
        <v>66.666666666666657</v>
      </c>
      <c r="AA24" s="32">
        <f>T24/S24*100</f>
        <v>96.296296296296291</v>
      </c>
      <c r="AC24"/>
      <c r="AD24"/>
      <c r="AE24"/>
      <c r="AF24"/>
      <c r="AG24"/>
      <c r="AH24"/>
    </row>
    <row r="25" spans="2:34">
      <c r="B25" s="7">
        <v>14</v>
      </c>
      <c r="C25" s="7"/>
      <c r="D25" s="7"/>
      <c r="E25" s="70"/>
      <c r="H25" s="7">
        <v>56</v>
      </c>
      <c r="I25" s="7"/>
      <c r="J25" s="7"/>
      <c r="K25" s="7"/>
      <c r="L25" s="7"/>
      <c r="M25" s="7"/>
      <c r="N25" s="8"/>
      <c r="O25" s="7"/>
      <c r="R25" s="5">
        <v>102</v>
      </c>
      <c r="S25" s="5">
        <v>82</v>
      </c>
      <c r="T25" s="5">
        <f>74+4+1</f>
        <v>79</v>
      </c>
      <c r="U25" s="5">
        <v>78</v>
      </c>
      <c r="V25" s="5">
        <v>0</v>
      </c>
      <c r="W25" s="5">
        <f t="shared" si="2"/>
        <v>100</v>
      </c>
      <c r="X25" s="5">
        <v>34</v>
      </c>
      <c r="Y25" s="42">
        <f>U25-34</f>
        <v>44</v>
      </c>
      <c r="Z25" s="52">
        <f t="shared" si="3"/>
        <v>43.589743589743591</v>
      </c>
      <c r="AA25" s="35">
        <f>T25/S25*100</f>
        <v>96.341463414634148</v>
      </c>
      <c r="AC25"/>
      <c r="AD25"/>
      <c r="AE25"/>
      <c r="AF25"/>
      <c r="AG25"/>
      <c r="AH25"/>
    </row>
    <row r="26" spans="2:34">
      <c r="B26" s="38">
        <v>15</v>
      </c>
      <c r="C26" s="38">
        <v>78</v>
      </c>
      <c r="D26" s="38">
        <f>58+8+5</f>
        <v>71</v>
      </c>
      <c r="E26" s="71">
        <f t="shared" ref="E26:E33" si="7">D26/C26*100</f>
        <v>91.025641025641022</v>
      </c>
      <c r="H26" s="6">
        <v>57</v>
      </c>
      <c r="I26" s="3">
        <v>72</v>
      </c>
      <c r="J26" s="3">
        <f>52+12+1+2</f>
        <v>67</v>
      </c>
      <c r="K26" s="3">
        <v>65</v>
      </c>
      <c r="L26" s="3">
        <v>0</v>
      </c>
      <c r="M26" s="3">
        <f>K26/(SUM($K26:$L26))*100</f>
        <v>100</v>
      </c>
      <c r="N26" s="16">
        <f>J26/I26*100</f>
        <v>93.055555555555557</v>
      </c>
      <c r="O26" s="3"/>
      <c r="R26" s="7">
        <v>103</v>
      </c>
      <c r="S26" s="7"/>
      <c r="T26" s="7"/>
      <c r="U26" s="7"/>
      <c r="V26" s="7"/>
      <c r="W26" s="7"/>
      <c r="X26" s="7"/>
      <c r="Y26" s="41"/>
      <c r="Z26" s="49"/>
      <c r="AA26" s="19"/>
      <c r="AC26"/>
      <c r="AD26"/>
      <c r="AE26"/>
      <c r="AF26"/>
      <c r="AG26"/>
      <c r="AH26"/>
    </row>
    <row r="27" spans="2:34">
      <c r="B27" s="6">
        <v>16</v>
      </c>
      <c r="C27" s="3">
        <v>75</v>
      </c>
      <c r="D27" s="3">
        <f>48+14+12</f>
        <v>74</v>
      </c>
      <c r="E27" s="73">
        <f t="shared" si="7"/>
        <v>98.666666666666671</v>
      </c>
      <c r="H27" s="5">
        <v>58</v>
      </c>
      <c r="I27" s="5">
        <v>101</v>
      </c>
      <c r="J27" s="5">
        <v>100</v>
      </c>
      <c r="K27" s="5">
        <v>99</v>
      </c>
      <c r="L27" s="5">
        <v>0</v>
      </c>
      <c r="M27" s="38">
        <f>K27/(SUM($K27:$L27))*100</f>
        <v>100</v>
      </c>
      <c r="N27" s="34">
        <f t="shared" ref="N27:N29" si="8">J27/I27*100</f>
        <v>99.009900990099013</v>
      </c>
      <c r="O27" s="5"/>
      <c r="R27" s="6">
        <v>104</v>
      </c>
      <c r="S27" s="3">
        <v>80</v>
      </c>
      <c r="T27" s="3">
        <f>72+3</f>
        <v>75</v>
      </c>
      <c r="U27" s="3">
        <v>75</v>
      </c>
      <c r="V27" s="3">
        <v>0</v>
      </c>
      <c r="W27" s="3">
        <f t="shared" si="2"/>
        <v>100</v>
      </c>
      <c r="X27" s="3">
        <v>33</v>
      </c>
      <c r="Y27" s="20">
        <v>42</v>
      </c>
      <c r="Z27" s="47">
        <f t="shared" si="3"/>
        <v>44</v>
      </c>
      <c r="AA27" s="32">
        <f>T27/S27*100</f>
        <v>93.75</v>
      </c>
      <c r="AC27"/>
      <c r="AD27"/>
      <c r="AE27"/>
      <c r="AF27"/>
      <c r="AG27"/>
      <c r="AH27"/>
    </row>
    <row r="28" spans="2:34">
      <c r="B28" s="6">
        <v>17</v>
      </c>
      <c r="C28" s="3">
        <v>149</v>
      </c>
      <c r="D28" s="3">
        <f>128+8+8</f>
        <v>144</v>
      </c>
      <c r="E28" s="73">
        <f t="shared" si="7"/>
        <v>96.644295302013433</v>
      </c>
      <c r="H28" s="5">
        <v>59</v>
      </c>
      <c r="I28" s="5">
        <v>70</v>
      </c>
      <c r="J28" s="5">
        <v>49</v>
      </c>
      <c r="K28" s="5">
        <v>49</v>
      </c>
      <c r="L28" s="5">
        <v>0</v>
      </c>
      <c r="M28" s="38">
        <f>K28/(SUM($K28:$L28))*100</f>
        <v>100</v>
      </c>
      <c r="N28" s="34">
        <f t="shared" si="8"/>
        <v>70</v>
      </c>
      <c r="O28" s="5"/>
      <c r="R28" s="5">
        <v>105</v>
      </c>
      <c r="S28" s="5">
        <v>86</v>
      </c>
      <c r="T28" s="5">
        <f>81+1</f>
        <v>82</v>
      </c>
      <c r="U28" s="5">
        <v>82</v>
      </c>
      <c r="V28" s="5">
        <v>0</v>
      </c>
      <c r="W28" s="38">
        <f t="shared" si="2"/>
        <v>100</v>
      </c>
      <c r="X28" s="5">
        <v>41</v>
      </c>
      <c r="Y28" s="42">
        <v>41</v>
      </c>
      <c r="Z28" s="52">
        <f t="shared" si="3"/>
        <v>50</v>
      </c>
      <c r="AA28" s="35">
        <f t="shared" ref="AA28:AA36" si="9">T28/S28*100</f>
        <v>95.348837209302332</v>
      </c>
      <c r="AC28"/>
      <c r="AD28"/>
      <c r="AE28"/>
      <c r="AF28"/>
      <c r="AG28"/>
      <c r="AH28"/>
    </row>
    <row r="29" spans="2:34">
      <c r="B29" s="38">
        <v>18</v>
      </c>
      <c r="C29" s="38">
        <v>123</v>
      </c>
      <c r="D29" s="38">
        <f>104+1+3</f>
        <v>108</v>
      </c>
      <c r="E29" s="71">
        <f t="shared" si="7"/>
        <v>87.804878048780495</v>
      </c>
      <c r="H29" s="5">
        <v>60</v>
      </c>
      <c r="I29" s="5">
        <v>93</v>
      </c>
      <c r="J29" s="5">
        <f>79+11</f>
        <v>90</v>
      </c>
      <c r="K29" s="5">
        <v>90</v>
      </c>
      <c r="L29" s="5">
        <v>0</v>
      </c>
      <c r="M29" s="38">
        <f>K29/(SUM($K29:$L29))*100</f>
        <v>100</v>
      </c>
      <c r="N29" s="34">
        <f t="shared" si="8"/>
        <v>96.774193548387103</v>
      </c>
      <c r="O29" s="5"/>
      <c r="R29" s="5">
        <v>106</v>
      </c>
      <c r="S29" s="5">
        <v>61</v>
      </c>
      <c r="T29" s="5">
        <f>55+3</f>
        <v>58</v>
      </c>
      <c r="U29" s="5">
        <v>58</v>
      </c>
      <c r="V29" s="5">
        <v>0</v>
      </c>
      <c r="W29" s="38">
        <f t="shared" si="2"/>
        <v>100</v>
      </c>
      <c r="X29" s="5">
        <v>28</v>
      </c>
      <c r="Y29" s="42">
        <f>U29-28</f>
        <v>30</v>
      </c>
      <c r="Z29" s="52">
        <f t="shared" si="3"/>
        <v>48.275862068965516</v>
      </c>
      <c r="AA29" s="35">
        <f t="shared" si="9"/>
        <v>95.081967213114751</v>
      </c>
      <c r="AC29"/>
      <c r="AD29"/>
      <c r="AE29"/>
      <c r="AF29"/>
      <c r="AG29"/>
      <c r="AH29"/>
    </row>
    <row r="30" spans="2:34">
      <c r="B30" s="38">
        <v>19</v>
      </c>
      <c r="C30" s="38">
        <v>83</v>
      </c>
      <c r="D30" s="38">
        <f>60+18+1</f>
        <v>79</v>
      </c>
      <c r="E30" s="71">
        <f t="shared" si="7"/>
        <v>95.180722891566262</v>
      </c>
      <c r="H30" s="6">
        <v>61</v>
      </c>
      <c r="I30" s="3">
        <v>0</v>
      </c>
      <c r="J30" s="3">
        <v>0</v>
      </c>
      <c r="K30" s="3">
        <v>0</v>
      </c>
      <c r="L30" s="3">
        <v>0</v>
      </c>
      <c r="M30" s="3"/>
      <c r="N30" s="16"/>
      <c r="O30" s="3"/>
      <c r="R30" s="5">
        <v>107</v>
      </c>
      <c r="S30" s="5">
        <v>84</v>
      </c>
      <c r="T30" s="5">
        <f>74+1+4</f>
        <v>79</v>
      </c>
      <c r="U30" s="5">
        <v>78</v>
      </c>
      <c r="V30" s="5">
        <v>0</v>
      </c>
      <c r="W30" s="38">
        <f t="shared" si="2"/>
        <v>100</v>
      </c>
      <c r="X30" s="5">
        <v>36</v>
      </c>
      <c r="Y30" s="42">
        <f>U30-36</f>
        <v>42</v>
      </c>
      <c r="Z30" s="52">
        <f t="shared" si="3"/>
        <v>46.153846153846153</v>
      </c>
      <c r="AA30" s="35">
        <f t="shared" si="9"/>
        <v>94.047619047619051</v>
      </c>
      <c r="AC30"/>
      <c r="AD30"/>
      <c r="AE30"/>
      <c r="AF30"/>
      <c r="AG30"/>
      <c r="AH30"/>
    </row>
    <row r="31" spans="2:34">
      <c r="B31" s="38">
        <v>20</v>
      </c>
      <c r="C31" s="38">
        <v>106</v>
      </c>
      <c r="D31" s="38">
        <f>77+13+1</f>
        <v>91</v>
      </c>
      <c r="E31" s="71">
        <f t="shared" si="7"/>
        <v>85.84905660377359</v>
      </c>
      <c r="H31" s="6">
        <v>62</v>
      </c>
      <c r="I31" s="3">
        <v>91</v>
      </c>
      <c r="J31" s="3">
        <f>80+3+1</f>
        <v>84</v>
      </c>
      <c r="K31" s="3">
        <v>79</v>
      </c>
      <c r="L31" s="3">
        <v>1</v>
      </c>
      <c r="M31" s="3">
        <f>K31/(SUM($K31:$L31))*100</f>
        <v>98.75</v>
      </c>
      <c r="N31" s="16">
        <f>J31/I31*100</f>
        <v>92.307692307692307</v>
      </c>
      <c r="O31" s="3"/>
      <c r="R31" s="5">
        <v>108</v>
      </c>
      <c r="S31" s="5">
        <v>53</v>
      </c>
      <c r="T31" s="5">
        <f>31+8+8</f>
        <v>47</v>
      </c>
      <c r="U31" s="5">
        <v>47</v>
      </c>
      <c r="V31" s="5">
        <v>0</v>
      </c>
      <c r="W31" s="38">
        <f t="shared" si="2"/>
        <v>100</v>
      </c>
      <c r="X31" s="5">
        <v>27</v>
      </c>
      <c r="Y31" s="42">
        <f>U31-27</f>
        <v>20</v>
      </c>
      <c r="Z31" s="52">
        <f t="shared" si="3"/>
        <v>57.446808510638306</v>
      </c>
      <c r="AA31" s="35">
        <f t="shared" si="9"/>
        <v>88.679245283018872</v>
      </c>
      <c r="AC31"/>
      <c r="AD31"/>
      <c r="AE31"/>
      <c r="AF31"/>
      <c r="AG31"/>
      <c r="AH31"/>
    </row>
    <row r="32" spans="2:34">
      <c r="B32" s="38">
        <v>21</v>
      </c>
      <c r="C32" s="38">
        <v>47</v>
      </c>
      <c r="D32" s="38">
        <f>41+5</f>
        <v>46</v>
      </c>
      <c r="E32" s="71">
        <f t="shared" si="7"/>
        <v>97.872340425531917</v>
      </c>
      <c r="H32" s="12">
        <v>63</v>
      </c>
      <c r="I32" s="12"/>
      <c r="J32" s="12"/>
      <c r="K32" s="12"/>
      <c r="L32" s="12"/>
      <c r="M32" s="12"/>
      <c r="N32" s="17"/>
      <c r="O32" s="12"/>
      <c r="R32" s="5">
        <v>109</v>
      </c>
      <c r="S32" s="5">
        <v>114</v>
      </c>
      <c r="T32" s="5">
        <f>74+10+1+29</f>
        <v>114</v>
      </c>
      <c r="U32" s="5">
        <v>114</v>
      </c>
      <c r="V32" s="5">
        <v>0</v>
      </c>
      <c r="W32" s="38">
        <f t="shared" si="2"/>
        <v>100</v>
      </c>
      <c r="X32" s="5">
        <v>52</v>
      </c>
      <c r="Y32" s="42">
        <f>U32-52</f>
        <v>62</v>
      </c>
      <c r="Z32" s="52">
        <f t="shared" si="3"/>
        <v>45.614035087719294</v>
      </c>
      <c r="AA32" s="35">
        <f t="shared" si="9"/>
        <v>100</v>
      </c>
      <c r="AC32"/>
      <c r="AD32"/>
      <c r="AE32"/>
      <c r="AF32"/>
      <c r="AG32"/>
      <c r="AH32"/>
    </row>
    <row r="33" spans="2:34">
      <c r="B33" s="6">
        <v>22</v>
      </c>
      <c r="C33" s="3">
        <v>154</v>
      </c>
      <c r="D33" s="3">
        <v>122</v>
      </c>
      <c r="E33" s="73">
        <f t="shared" si="7"/>
        <v>79.220779220779221</v>
      </c>
      <c r="H33" s="5">
        <v>64</v>
      </c>
      <c r="I33" s="5">
        <v>86</v>
      </c>
      <c r="J33" s="5">
        <f>79+5</f>
        <v>84</v>
      </c>
      <c r="K33" s="5">
        <v>84</v>
      </c>
      <c r="L33" s="5">
        <v>0</v>
      </c>
      <c r="M33" s="38">
        <f>K33/(SUM($K33:$L33))*100</f>
        <v>100</v>
      </c>
      <c r="N33" s="34">
        <f>J33/I33*100</f>
        <v>97.674418604651152</v>
      </c>
      <c r="O33" s="5"/>
      <c r="R33" s="5">
        <v>110</v>
      </c>
      <c r="S33" s="5">
        <v>76</v>
      </c>
      <c r="T33" s="5">
        <f>56+4+2</f>
        <v>62</v>
      </c>
      <c r="U33" s="5">
        <v>62</v>
      </c>
      <c r="V33" s="5">
        <v>0</v>
      </c>
      <c r="W33" s="38">
        <f t="shared" si="2"/>
        <v>100</v>
      </c>
      <c r="X33" s="5">
        <v>39</v>
      </c>
      <c r="Y33" s="42">
        <f>U33-39</f>
        <v>23</v>
      </c>
      <c r="Z33" s="52">
        <f t="shared" si="3"/>
        <v>62.903225806451616</v>
      </c>
      <c r="AA33" s="35">
        <f t="shared" si="9"/>
        <v>81.578947368421055</v>
      </c>
      <c r="AC33"/>
      <c r="AD33"/>
      <c r="AE33"/>
      <c r="AF33"/>
      <c r="AG33"/>
      <c r="AH33"/>
    </row>
    <row r="34" spans="2:34">
      <c r="B34" s="7">
        <v>23</v>
      </c>
      <c r="C34" s="7"/>
      <c r="D34" s="7"/>
      <c r="E34" s="70"/>
      <c r="H34" s="5">
        <v>65</v>
      </c>
      <c r="I34" s="5">
        <v>91</v>
      </c>
      <c r="J34" s="5">
        <f>78+4+2+6</f>
        <v>90</v>
      </c>
      <c r="K34" s="5">
        <v>88</v>
      </c>
      <c r="L34" s="5">
        <v>0</v>
      </c>
      <c r="M34" s="38">
        <f>K34/(SUM($K34:$L34))*100</f>
        <v>100</v>
      </c>
      <c r="N34" s="34">
        <f>J34/I34*100</f>
        <v>98.901098901098905</v>
      </c>
      <c r="O34" s="5"/>
      <c r="R34" s="6">
        <v>111</v>
      </c>
      <c r="S34" s="3">
        <v>74</v>
      </c>
      <c r="T34" s="3">
        <f>62+7</f>
        <v>69</v>
      </c>
      <c r="U34" s="3">
        <v>69</v>
      </c>
      <c r="V34" s="3">
        <v>0</v>
      </c>
      <c r="W34" s="3">
        <f>U34/SUM(U34:V34)*100</f>
        <v>100</v>
      </c>
      <c r="X34" s="3">
        <v>32</v>
      </c>
      <c r="Y34" s="20">
        <f>U34-32</f>
        <v>37</v>
      </c>
      <c r="Z34" s="47">
        <f>X34/SUM(X34:Y34)*100</f>
        <v>46.376811594202898</v>
      </c>
      <c r="AA34" s="32">
        <f t="shared" si="9"/>
        <v>93.243243243243242</v>
      </c>
      <c r="AC34"/>
      <c r="AD34"/>
      <c r="AE34"/>
      <c r="AF34"/>
      <c r="AG34"/>
      <c r="AH34"/>
    </row>
    <row r="35" spans="2:34">
      <c r="B35" s="7">
        <v>24</v>
      </c>
      <c r="C35" s="7"/>
      <c r="D35" s="7"/>
      <c r="E35" s="70"/>
      <c r="H35" s="12">
        <v>66</v>
      </c>
      <c r="I35" s="12"/>
      <c r="J35" s="12"/>
      <c r="K35" s="12"/>
      <c r="L35" s="12"/>
      <c r="M35" s="12"/>
      <c r="N35" s="17"/>
      <c r="O35" s="12"/>
      <c r="R35" s="6">
        <v>112</v>
      </c>
      <c r="S35" s="3">
        <v>90</v>
      </c>
      <c r="T35" s="3">
        <f>58+1+20</f>
        <v>79</v>
      </c>
      <c r="U35" s="3">
        <v>78</v>
      </c>
      <c r="V35" s="3">
        <v>0</v>
      </c>
      <c r="W35" s="3">
        <f t="shared" si="2"/>
        <v>100</v>
      </c>
      <c r="X35" s="3">
        <v>44</v>
      </c>
      <c r="Y35" s="20">
        <f>U35-44</f>
        <v>34</v>
      </c>
      <c r="Z35" s="47">
        <f t="shared" si="3"/>
        <v>56.410256410256409</v>
      </c>
      <c r="AA35" s="32">
        <f t="shared" si="9"/>
        <v>87.777777777777771</v>
      </c>
      <c r="AC35"/>
      <c r="AD35"/>
      <c r="AE35"/>
      <c r="AF35"/>
      <c r="AG35"/>
      <c r="AH35"/>
    </row>
    <row r="36" spans="2:34">
      <c r="B36" s="6">
        <v>25</v>
      </c>
      <c r="C36" s="3">
        <v>126</v>
      </c>
      <c r="D36" s="3">
        <f>115+9+1</f>
        <v>125</v>
      </c>
      <c r="E36" s="73">
        <f t="shared" ref="E36:E42" si="10">D36/C36*100</f>
        <v>99.206349206349216</v>
      </c>
      <c r="H36" s="5">
        <v>67</v>
      </c>
      <c r="I36" s="5">
        <v>76</v>
      </c>
      <c r="J36" s="5">
        <f>41+32+1</f>
        <v>74</v>
      </c>
      <c r="K36" s="5">
        <v>74</v>
      </c>
      <c r="L36" s="5">
        <v>0</v>
      </c>
      <c r="M36" s="38">
        <f t="shared" ref="M36:M43" si="11">K36/(SUM($K36:$L36))*100</f>
        <v>100</v>
      </c>
      <c r="N36" s="34">
        <f>J36/I36*100</f>
        <v>97.368421052631575</v>
      </c>
      <c r="O36" s="5"/>
      <c r="R36" s="6">
        <v>113</v>
      </c>
      <c r="S36" s="3">
        <v>80</v>
      </c>
      <c r="T36" s="3">
        <f>55+1+19</f>
        <v>75</v>
      </c>
      <c r="U36" s="3">
        <v>74</v>
      </c>
      <c r="V36" s="3">
        <v>0</v>
      </c>
      <c r="W36" s="3">
        <f t="shared" si="2"/>
        <v>100</v>
      </c>
      <c r="X36" s="3">
        <v>40</v>
      </c>
      <c r="Y36" s="20">
        <v>34</v>
      </c>
      <c r="Z36" s="47">
        <f t="shared" si="3"/>
        <v>54.054054054054056</v>
      </c>
      <c r="AA36" s="32">
        <f t="shared" si="9"/>
        <v>93.75</v>
      </c>
      <c r="AC36"/>
      <c r="AD36"/>
      <c r="AE36"/>
      <c r="AF36"/>
      <c r="AG36"/>
      <c r="AH36"/>
    </row>
    <row r="37" spans="2:34">
      <c r="B37" s="6">
        <v>26</v>
      </c>
      <c r="C37" s="3">
        <v>59</v>
      </c>
      <c r="D37" s="3">
        <f>30+18</f>
        <v>48</v>
      </c>
      <c r="E37" s="73">
        <f t="shared" si="10"/>
        <v>81.355932203389841</v>
      </c>
      <c r="H37" s="6">
        <v>68</v>
      </c>
      <c r="I37" s="3">
        <v>91</v>
      </c>
      <c r="J37" s="3">
        <v>83</v>
      </c>
      <c r="K37" s="3">
        <v>79</v>
      </c>
      <c r="L37" s="3">
        <v>4</v>
      </c>
      <c r="M37" s="55">
        <f t="shared" si="11"/>
        <v>95.180722891566262</v>
      </c>
      <c r="N37" s="16">
        <f t="shared" ref="N37:N46" si="12">J37/I37*100</f>
        <v>91.208791208791212</v>
      </c>
      <c r="O37" s="3"/>
      <c r="R37" s="6">
        <v>114</v>
      </c>
      <c r="S37" s="3">
        <v>0</v>
      </c>
      <c r="T37" s="3">
        <v>0</v>
      </c>
      <c r="U37" s="3">
        <v>0</v>
      </c>
      <c r="V37" s="3">
        <v>0</v>
      </c>
      <c r="W37" s="3"/>
      <c r="X37" s="3">
        <v>0</v>
      </c>
      <c r="Y37" s="20">
        <v>0</v>
      </c>
      <c r="Z37" s="47"/>
      <c r="AA37" s="32"/>
      <c r="AC37"/>
      <c r="AD37"/>
      <c r="AE37"/>
      <c r="AF37"/>
      <c r="AG37"/>
      <c r="AH37"/>
    </row>
    <row r="38" spans="2:34">
      <c r="B38" s="6">
        <v>27</v>
      </c>
      <c r="C38" s="3">
        <v>85</v>
      </c>
      <c r="D38" s="3">
        <f>81+4</f>
        <v>85</v>
      </c>
      <c r="E38" s="73">
        <f t="shared" si="10"/>
        <v>100</v>
      </c>
      <c r="H38" s="6">
        <v>69</v>
      </c>
      <c r="I38" s="3">
        <v>101</v>
      </c>
      <c r="J38" s="3">
        <f>85+3+2</f>
        <v>90</v>
      </c>
      <c r="K38" s="3">
        <v>89</v>
      </c>
      <c r="L38" s="3">
        <v>1</v>
      </c>
      <c r="M38" s="55">
        <f t="shared" si="11"/>
        <v>98.888888888888886</v>
      </c>
      <c r="N38" s="16">
        <f t="shared" si="12"/>
        <v>89.10891089108911</v>
      </c>
      <c r="O38" s="3"/>
      <c r="R38" s="6">
        <v>115</v>
      </c>
      <c r="S38" s="3">
        <v>103</v>
      </c>
      <c r="T38" s="3">
        <f>76+2+8</f>
        <v>86</v>
      </c>
      <c r="U38" s="3">
        <v>84</v>
      </c>
      <c r="V38" s="3">
        <v>0</v>
      </c>
      <c r="W38" s="3">
        <f t="shared" si="2"/>
        <v>100</v>
      </c>
      <c r="X38" s="3">
        <v>46</v>
      </c>
      <c r="Y38" s="20">
        <f>U38-X38</f>
        <v>38</v>
      </c>
      <c r="Z38" s="47">
        <f t="shared" si="3"/>
        <v>54.761904761904766</v>
      </c>
      <c r="AA38" s="32">
        <f>T38/S38*100</f>
        <v>83.495145631067956</v>
      </c>
      <c r="AC38"/>
      <c r="AD38"/>
      <c r="AE38"/>
      <c r="AF38"/>
      <c r="AG38"/>
      <c r="AH38"/>
    </row>
    <row r="39" spans="2:34">
      <c r="B39" s="6">
        <v>28</v>
      </c>
      <c r="C39" s="3">
        <v>62</v>
      </c>
      <c r="D39" s="3">
        <f>20+1</f>
        <v>21</v>
      </c>
      <c r="E39" s="73">
        <f t="shared" si="10"/>
        <v>33.87096774193548</v>
      </c>
      <c r="H39" s="6">
        <v>70</v>
      </c>
      <c r="I39" s="3">
        <v>39</v>
      </c>
      <c r="J39" s="3">
        <v>31</v>
      </c>
      <c r="K39" s="3">
        <v>31</v>
      </c>
      <c r="L39" s="3">
        <v>0</v>
      </c>
      <c r="M39" s="55">
        <f t="shared" si="11"/>
        <v>100</v>
      </c>
      <c r="N39" s="16">
        <f t="shared" si="12"/>
        <v>79.487179487179489</v>
      </c>
      <c r="O39" s="3"/>
      <c r="R39" s="6">
        <v>116</v>
      </c>
      <c r="S39" s="3">
        <v>89</v>
      </c>
      <c r="T39" s="3">
        <f>87+1</f>
        <v>88</v>
      </c>
      <c r="U39" s="3">
        <v>88</v>
      </c>
      <c r="V39" s="3">
        <v>0</v>
      </c>
      <c r="W39" s="3">
        <f t="shared" si="2"/>
        <v>100</v>
      </c>
      <c r="X39" s="3">
        <v>41</v>
      </c>
      <c r="Y39" s="20">
        <f>U39-X39</f>
        <v>47</v>
      </c>
      <c r="Z39" s="47">
        <f t="shared" si="3"/>
        <v>46.590909090909086</v>
      </c>
      <c r="AA39" s="32">
        <f t="shared" ref="AA39:AA46" si="13">T39/S39*100</f>
        <v>98.876404494382015</v>
      </c>
      <c r="AC39"/>
      <c r="AD39"/>
      <c r="AE39"/>
      <c r="AF39"/>
      <c r="AG39"/>
      <c r="AH39"/>
    </row>
    <row r="40" spans="2:34">
      <c r="B40" s="6">
        <v>29</v>
      </c>
      <c r="C40" s="3">
        <v>88</v>
      </c>
      <c r="D40" s="3">
        <f>73+3</f>
        <v>76</v>
      </c>
      <c r="E40" s="73">
        <f t="shared" si="10"/>
        <v>86.36363636363636</v>
      </c>
      <c r="H40" s="5">
        <v>71</v>
      </c>
      <c r="I40" s="5">
        <v>135</v>
      </c>
      <c r="J40" s="5">
        <f>126+3+1+2+1</f>
        <v>133</v>
      </c>
      <c r="K40" s="5">
        <v>128</v>
      </c>
      <c r="L40" s="5">
        <v>0</v>
      </c>
      <c r="M40" s="56">
        <f t="shared" si="11"/>
        <v>100</v>
      </c>
      <c r="N40" s="34">
        <f t="shared" si="12"/>
        <v>98.518518518518519</v>
      </c>
      <c r="O40" s="5"/>
      <c r="R40" s="5">
        <v>117</v>
      </c>
      <c r="S40" s="5">
        <v>108</v>
      </c>
      <c r="T40" s="5">
        <f>106+1</f>
        <v>107</v>
      </c>
      <c r="U40" s="5">
        <v>107</v>
      </c>
      <c r="V40" s="5">
        <v>0</v>
      </c>
      <c r="W40" s="38">
        <f t="shared" si="2"/>
        <v>100</v>
      </c>
      <c r="X40" s="5">
        <v>43</v>
      </c>
      <c r="Y40" s="42">
        <f>U40-43</f>
        <v>64</v>
      </c>
      <c r="Z40" s="52">
        <f t="shared" si="3"/>
        <v>40.186915887850468</v>
      </c>
      <c r="AA40" s="35">
        <f t="shared" si="13"/>
        <v>99.074074074074076</v>
      </c>
      <c r="AC40"/>
      <c r="AD40"/>
      <c r="AE40"/>
      <c r="AF40"/>
      <c r="AG40"/>
      <c r="AH40"/>
    </row>
    <row r="41" spans="2:34">
      <c r="B41" s="6">
        <v>30</v>
      </c>
      <c r="C41" s="3">
        <v>121</v>
      </c>
      <c r="D41" s="3">
        <f>103+1</f>
        <v>104</v>
      </c>
      <c r="E41" s="73">
        <f t="shared" si="10"/>
        <v>85.950413223140501</v>
      </c>
      <c r="H41" s="6">
        <v>72</v>
      </c>
      <c r="I41" s="3">
        <v>75</v>
      </c>
      <c r="J41" s="3">
        <f>63+1</f>
        <v>64</v>
      </c>
      <c r="K41" s="3">
        <v>64</v>
      </c>
      <c r="L41" s="3">
        <v>0</v>
      </c>
      <c r="M41" s="55">
        <f t="shared" si="11"/>
        <v>100</v>
      </c>
      <c r="N41" s="16">
        <f t="shared" si="12"/>
        <v>85.333333333333343</v>
      </c>
      <c r="O41" s="3"/>
      <c r="R41" s="6">
        <v>118</v>
      </c>
      <c r="S41" s="3">
        <v>67</v>
      </c>
      <c r="T41" s="3">
        <f>57+5</f>
        <v>62</v>
      </c>
      <c r="U41" s="3">
        <v>62</v>
      </c>
      <c r="V41" s="3">
        <v>0</v>
      </c>
      <c r="W41" s="3">
        <f t="shared" si="2"/>
        <v>100</v>
      </c>
      <c r="X41" s="3">
        <v>27</v>
      </c>
      <c r="Y41" s="20">
        <f>U41-X41</f>
        <v>35</v>
      </c>
      <c r="Z41" s="47">
        <f t="shared" si="3"/>
        <v>43.548387096774192</v>
      </c>
      <c r="AA41" s="32">
        <f t="shared" si="13"/>
        <v>92.537313432835816</v>
      </c>
    </row>
    <row r="42" spans="2:34">
      <c r="B42" s="6">
        <v>31</v>
      </c>
      <c r="C42" s="11">
        <v>135</v>
      </c>
      <c r="D42" s="11">
        <f>123+5</f>
        <v>128</v>
      </c>
      <c r="E42" s="73">
        <f t="shared" si="10"/>
        <v>94.814814814814824</v>
      </c>
      <c r="H42" s="6">
        <v>73</v>
      </c>
      <c r="I42" s="3">
        <v>80</v>
      </c>
      <c r="J42" s="3">
        <v>75</v>
      </c>
      <c r="K42" s="3">
        <v>73</v>
      </c>
      <c r="L42" s="3">
        <v>2</v>
      </c>
      <c r="M42" s="55">
        <f t="shared" si="11"/>
        <v>97.333333333333343</v>
      </c>
      <c r="N42" s="16">
        <f t="shared" si="12"/>
        <v>93.75</v>
      </c>
      <c r="O42" s="3"/>
      <c r="R42" s="6">
        <v>119</v>
      </c>
      <c r="S42" s="3">
        <v>65</v>
      </c>
      <c r="T42" s="3">
        <f>59+5</f>
        <v>64</v>
      </c>
      <c r="U42" s="3">
        <v>64</v>
      </c>
      <c r="V42" s="3">
        <v>0</v>
      </c>
      <c r="W42" s="3">
        <f t="shared" si="2"/>
        <v>100</v>
      </c>
      <c r="X42" s="3">
        <v>37</v>
      </c>
      <c r="Y42" s="20">
        <f>U42-X42</f>
        <v>27</v>
      </c>
      <c r="Z42" s="47">
        <f t="shared" si="3"/>
        <v>57.8125</v>
      </c>
      <c r="AA42" s="32">
        <f t="shared" si="13"/>
        <v>98.461538461538467</v>
      </c>
    </row>
    <row r="43" spans="2:34">
      <c r="B43" s="12">
        <v>32</v>
      </c>
      <c r="C43" s="12"/>
      <c r="D43" s="12"/>
      <c r="E43" s="74"/>
      <c r="H43" s="6">
        <v>74</v>
      </c>
      <c r="I43" s="3">
        <v>103</v>
      </c>
      <c r="J43" s="3">
        <v>100</v>
      </c>
      <c r="K43" s="3">
        <v>100</v>
      </c>
      <c r="L43" s="3">
        <v>0</v>
      </c>
      <c r="M43" s="55">
        <f t="shared" si="11"/>
        <v>100</v>
      </c>
      <c r="N43" s="16">
        <f t="shared" si="12"/>
        <v>97.087378640776706</v>
      </c>
      <c r="O43" s="3"/>
      <c r="R43" s="6">
        <v>120</v>
      </c>
      <c r="S43" s="3">
        <v>74</v>
      </c>
      <c r="T43" s="3">
        <f>70+1</f>
        <v>71</v>
      </c>
      <c r="U43" s="3">
        <v>71</v>
      </c>
      <c r="V43" s="3">
        <v>0</v>
      </c>
      <c r="W43" s="3">
        <f t="shared" si="2"/>
        <v>100</v>
      </c>
      <c r="X43" s="3">
        <v>37</v>
      </c>
      <c r="Y43" s="20">
        <v>34</v>
      </c>
      <c r="Z43" s="47">
        <f t="shared" si="3"/>
        <v>52.112676056338024</v>
      </c>
      <c r="AA43" s="32">
        <f t="shared" si="13"/>
        <v>95.945945945945937</v>
      </c>
    </row>
    <row r="44" spans="2:34">
      <c r="B44" s="6">
        <v>33</v>
      </c>
      <c r="C44" s="3">
        <v>148</v>
      </c>
      <c r="D44" s="3">
        <v>143</v>
      </c>
      <c r="E44" s="73">
        <f t="shared" ref="E44:E49" si="14">D44/C44*100</f>
        <v>96.621621621621628</v>
      </c>
      <c r="H44" s="6">
        <v>75</v>
      </c>
      <c r="I44" s="3">
        <v>0</v>
      </c>
      <c r="J44" s="3">
        <v>0</v>
      </c>
      <c r="K44" s="3">
        <v>0</v>
      </c>
      <c r="L44" s="3">
        <v>0</v>
      </c>
      <c r="M44" s="55"/>
      <c r="N44" s="16"/>
      <c r="O44" s="3"/>
      <c r="R44" s="6">
        <v>121</v>
      </c>
      <c r="S44" s="3">
        <v>77</v>
      </c>
      <c r="T44" s="3">
        <f>61+6</f>
        <v>67</v>
      </c>
      <c r="U44" s="3">
        <v>67</v>
      </c>
      <c r="V44" s="3">
        <v>0</v>
      </c>
      <c r="W44" s="3">
        <f t="shared" si="2"/>
        <v>100</v>
      </c>
      <c r="X44" s="3">
        <v>38</v>
      </c>
      <c r="Y44" s="20">
        <v>29</v>
      </c>
      <c r="Z44" s="47">
        <f t="shared" si="3"/>
        <v>56.71641791044776</v>
      </c>
      <c r="AA44" s="32">
        <f t="shared" si="13"/>
        <v>87.012987012987011</v>
      </c>
    </row>
    <row r="45" spans="2:34">
      <c r="B45" s="6">
        <v>34</v>
      </c>
      <c r="C45" s="3">
        <v>106</v>
      </c>
      <c r="D45" s="3">
        <f>98+6</f>
        <v>104</v>
      </c>
      <c r="E45" s="73">
        <f t="shared" si="14"/>
        <v>98.113207547169807</v>
      </c>
      <c r="H45" s="6">
        <v>76</v>
      </c>
      <c r="I45" s="3">
        <v>60</v>
      </c>
      <c r="J45" s="3">
        <v>47</v>
      </c>
      <c r="K45" s="3">
        <v>47</v>
      </c>
      <c r="L45" s="3">
        <v>0</v>
      </c>
      <c r="M45" s="55">
        <f>K45/(SUM($K45:$L45))*100</f>
        <v>100</v>
      </c>
      <c r="N45" s="16">
        <f t="shared" si="12"/>
        <v>78.333333333333329</v>
      </c>
      <c r="O45" s="3"/>
      <c r="R45" s="6">
        <v>122</v>
      </c>
      <c r="S45" s="3">
        <v>31</v>
      </c>
      <c r="T45" s="3">
        <f>27+1</f>
        <v>28</v>
      </c>
      <c r="U45" s="3">
        <v>28</v>
      </c>
      <c r="V45" s="3">
        <v>0</v>
      </c>
      <c r="W45" s="3">
        <f t="shared" si="2"/>
        <v>100</v>
      </c>
      <c r="X45" s="3"/>
      <c r="Y45" s="20"/>
      <c r="Z45" s="47"/>
      <c r="AA45" s="32">
        <f t="shared" si="13"/>
        <v>90.322580645161281</v>
      </c>
    </row>
    <row r="46" spans="2:34">
      <c r="B46" s="6">
        <v>35</v>
      </c>
      <c r="C46" s="3">
        <v>103</v>
      </c>
      <c r="D46" s="3">
        <v>89</v>
      </c>
      <c r="E46" s="73">
        <f t="shared" si="14"/>
        <v>86.40776699029125</v>
      </c>
      <c r="H46" s="6">
        <v>77</v>
      </c>
      <c r="I46" s="3">
        <v>64</v>
      </c>
      <c r="J46" s="3">
        <v>63</v>
      </c>
      <c r="K46" s="3">
        <v>63</v>
      </c>
      <c r="L46" s="3">
        <v>0</v>
      </c>
      <c r="M46" s="55">
        <f>K46/(SUM($K46:$L46))*100</f>
        <v>100</v>
      </c>
      <c r="N46" s="16">
        <f t="shared" si="12"/>
        <v>98.4375</v>
      </c>
      <c r="O46" s="3"/>
      <c r="R46" s="6">
        <v>123</v>
      </c>
      <c r="S46" s="3">
        <v>77</v>
      </c>
      <c r="T46" s="3">
        <f>75+2</f>
        <v>77</v>
      </c>
      <c r="U46" s="3">
        <v>77</v>
      </c>
      <c r="V46" s="3">
        <v>0</v>
      </c>
      <c r="W46" s="3">
        <f t="shared" si="2"/>
        <v>100</v>
      </c>
      <c r="X46" s="3">
        <v>35</v>
      </c>
      <c r="Y46" s="20">
        <f>U46-X46</f>
        <v>42</v>
      </c>
      <c r="Z46" s="47">
        <f t="shared" si="3"/>
        <v>45.454545454545453</v>
      </c>
      <c r="AA46" s="32">
        <f t="shared" si="13"/>
        <v>100</v>
      </c>
    </row>
    <row r="47" spans="2:34">
      <c r="B47" s="6">
        <v>36</v>
      </c>
      <c r="C47" s="3">
        <v>65</v>
      </c>
      <c r="D47" s="3">
        <f>59+4</f>
        <v>63</v>
      </c>
      <c r="E47" s="73">
        <f t="shared" si="14"/>
        <v>96.92307692307692</v>
      </c>
      <c r="H47" s="7">
        <v>78</v>
      </c>
      <c r="I47" s="7"/>
      <c r="J47" s="7"/>
      <c r="K47" s="7"/>
      <c r="L47" s="7"/>
      <c r="M47" s="57"/>
      <c r="N47" s="29"/>
      <c r="O47" s="7"/>
      <c r="R47" s="12">
        <v>124</v>
      </c>
      <c r="S47" s="12"/>
      <c r="T47" s="12"/>
      <c r="U47" s="12"/>
      <c r="V47" s="12"/>
      <c r="W47" s="12"/>
      <c r="X47" s="12"/>
      <c r="Y47" s="43"/>
      <c r="Z47" s="48"/>
      <c r="AA47" s="33"/>
    </row>
    <row r="48" spans="2:34">
      <c r="B48" s="6">
        <v>37</v>
      </c>
      <c r="C48" s="3">
        <v>56</v>
      </c>
      <c r="D48" s="3">
        <f>37+3+6+2</f>
        <v>48</v>
      </c>
      <c r="E48" s="73">
        <f t="shared" si="14"/>
        <v>85.714285714285708</v>
      </c>
      <c r="H48" s="7">
        <v>79</v>
      </c>
      <c r="I48" s="7"/>
      <c r="J48" s="7"/>
      <c r="K48" s="7"/>
      <c r="L48" s="7"/>
      <c r="M48" s="57"/>
      <c r="N48" s="29"/>
      <c r="O48" s="7"/>
      <c r="R48" s="12">
        <v>125</v>
      </c>
      <c r="S48" s="12"/>
      <c r="T48" s="12"/>
      <c r="U48" s="12"/>
      <c r="V48" s="12"/>
      <c r="W48" s="12"/>
      <c r="X48" s="12"/>
      <c r="Y48" s="43"/>
      <c r="Z48" s="48"/>
      <c r="AA48" s="33"/>
    </row>
    <row r="49" spans="2:27">
      <c r="B49" s="6">
        <v>38</v>
      </c>
      <c r="C49" s="3">
        <v>106</v>
      </c>
      <c r="D49" s="3">
        <f>11+5+13+1</f>
        <v>30</v>
      </c>
      <c r="E49" s="73">
        <f t="shared" si="14"/>
        <v>28.30188679245283</v>
      </c>
      <c r="H49" s="6">
        <v>80</v>
      </c>
      <c r="I49" s="3">
        <v>50</v>
      </c>
      <c r="J49" s="3">
        <f>46+3</f>
        <v>49</v>
      </c>
      <c r="K49" s="3">
        <v>49</v>
      </c>
      <c r="L49" s="3">
        <v>0</v>
      </c>
      <c r="M49" s="55">
        <f t="shared" ref="M49:M57" si="15">K49/(SUM($K49:$L49))*100</f>
        <v>100</v>
      </c>
      <c r="N49" s="16">
        <f>J49/I49*100</f>
        <v>98</v>
      </c>
      <c r="O49" s="3"/>
      <c r="R49" s="5">
        <v>126</v>
      </c>
      <c r="S49" s="5">
        <v>118</v>
      </c>
      <c r="T49" s="5">
        <f>110+4+1</f>
        <v>115</v>
      </c>
      <c r="U49" s="5">
        <v>115</v>
      </c>
      <c r="V49" s="5">
        <v>0</v>
      </c>
      <c r="W49" s="38">
        <f t="shared" si="2"/>
        <v>100</v>
      </c>
      <c r="X49" s="5">
        <v>55</v>
      </c>
      <c r="Y49" s="42">
        <f>U49-55</f>
        <v>60</v>
      </c>
      <c r="Z49" s="52">
        <f t="shared" si="3"/>
        <v>47.826086956521742</v>
      </c>
      <c r="AA49" s="35">
        <f>T49/S49*100</f>
        <v>97.457627118644069</v>
      </c>
    </row>
    <row r="50" spans="2:27">
      <c r="B50" s="7">
        <v>39</v>
      </c>
      <c r="C50" s="7"/>
      <c r="D50" s="7"/>
      <c r="E50" s="70"/>
      <c r="H50" s="6">
        <v>81</v>
      </c>
      <c r="I50" s="3">
        <v>30</v>
      </c>
      <c r="J50" s="3">
        <f>6+1</f>
        <v>7</v>
      </c>
      <c r="K50" s="3">
        <v>7</v>
      </c>
      <c r="L50" s="3">
        <v>0</v>
      </c>
      <c r="M50" s="55" t="s">
        <v>19</v>
      </c>
      <c r="N50" s="16">
        <f>J50/I50*100</f>
        <v>23.333333333333332</v>
      </c>
      <c r="O50" s="3"/>
      <c r="R50" s="6">
        <v>127</v>
      </c>
      <c r="S50" s="3">
        <v>83</v>
      </c>
      <c r="T50" s="3">
        <f>75+1</f>
        <v>76</v>
      </c>
      <c r="U50" s="3">
        <v>75</v>
      </c>
      <c r="V50" s="3">
        <v>0</v>
      </c>
      <c r="W50" s="3">
        <f t="shared" si="2"/>
        <v>100</v>
      </c>
      <c r="X50" s="3">
        <v>33</v>
      </c>
      <c r="Y50" s="20">
        <f>U50-X50</f>
        <v>42</v>
      </c>
      <c r="Z50" s="47">
        <f t="shared" si="3"/>
        <v>44</v>
      </c>
      <c r="AA50" s="32">
        <f t="shared" ref="AA50:AA51" si="16">T50/S50*100</f>
        <v>91.566265060240966</v>
      </c>
    </row>
    <row r="51" spans="2:27">
      <c r="B51" s="6">
        <v>40</v>
      </c>
      <c r="C51" s="3">
        <v>56</v>
      </c>
      <c r="D51" s="3">
        <v>55</v>
      </c>
      <c r="E51" s="73">
        <f>D51/C51*100</f>
        <v>98.214285714285708</v>
      </c>
      <c r="H51" s="6">
        <v>82</v>
      </c>
      <c r="I51" s="3">
        <v>96</v>
      </c>
      <c r="J51" s="3">
        <f>79+11</f>
        <v>90</v>
      </c>
      <c r="K51" s="3">
        <v>90</v>
      </c>
      <c r="L51" s="3">
        <v>0</v>
      </c>
      <c r="M51" s="55">
        <f t="shared" si="15"/>
        <v>100</v>
      </c>
      <c r="N51" s="16">
        <f t="shared" ref="N51:N57" si="17">J51/I51*100</f>
        <v>93.75</v>
      </c>
      <c r="O51" s="3"/>
      <c r="R51" s="6">
        <v>128</v>
      </c>
      <c r="S51" s="3">
        <v>42</v>
      </c>
      <c r="T51" s="3">
        <f>15+1</f>
        <v>16</v>
      </c>
      <c r="U51" s="3">
        <v>16</v>
      </c>
      <c r="V51" s="3">
        <v>0</v>
      </c>
      <c r="W51" s="3">
        <f>U51/SUM(U51:V51)*100</f>
        <v>100</v>
      </c>
      <c r="X51" s="3">
        <v>9</v>
      </c>
      <c r="Y51" s="20">
        <v>7</v>
      </c>
      <c r="Z51" s="47">
        <f t="shared" si="3"/>
        <v>56.25</v>
      </c>
      <c r="AA51" s="32">
        <f t="shared" si="16"/>
        <v>38.095238095238095</v>
      </c>
    </row>
    <row r="52" spans="2:27">
      <c r="B52" s="6">
        <v>41</v>
      </c>
      <c r="C52" s="3">
        <v>63</v>
      </c>
      <c r="D52" s="3">
        <f>52+9+1</f>
        <v>62</v>
      </c>
      <c r="E52" s="73">
        <f>D52/C52*100</f>
        <v>98.412698412698404</v>
      </c>
      <c r="H52" s="6">
        <v>83</v>
      </c>
      <c r="I52" s="3">
        <v>102</v>
      </c>
      <c r="J52" s="3">
        <f>39+30+12+7+1+1</f>
        <v>90</v>
      </c>
      <c r="K52" s="3">
        <v>88</v>
      </c>
      <c r="L52" s="3">
        <v>0</v>
      </c>
      <c r="M52" s="55">
        <f t="shared" si="15"/>
        <v>100</v>
      </c>
      <c r="N52" s="16">
        <f t="shared" si="17"/>
        <v>88.235294117647058</v>
      </c>
      <c r="O52" s="3"/>
      <c r="R52" s="12">
        <v>129</v>
      </c>
      <c r="S52" s="12"/>
      <c r="T52" s="12"/>
      <c r="U52" s="12"/>
      <c r="V52" s="12"/>
      <c r="W52" s="12"/>
      <c r="X52" s="12"/>
      <c r="Y52" s="43"/>
      <c r="Z52" s="48"/>
      <c r="AA52" s="33"/>
    </row>
    <row r="53" spans="2:27" ht="15.95" thickBot="1">
      <c r="B53" s="10">
        <v>42</v>
      </c>
      <c r="C53" s="4">
        <v>55</v>
      </c>
      <c r="D53" s="4">
        <f>40+4</f>
        <v>44</v>
      </c>
      <c r="E53" s="75">
        <f>D53/C53*100</f>
        <v>80</v>
      </c>
      <c r="H53" s="6">
        <v>84</v>
      </c>
      <c r="I53" s="3">
        <v>89</v>
      </c>
      <c r="J53" s="3">
        <f>77+10</f>
        <v>87</v>
      </c>
      <c r="K53" s="3">
        <v>87</v>
      </c>
      <c r="L53" s="3">
        <v>0</v>
      </c>
      <c r="M53" s="55">
        <f t="shared" si="15"/>
        <v>100</v>
      </c>
      <c r="N53" s="16">
        <f t="shared" si="17"/>
        <v>97.752808988764045</v>
      </c>
      <c r="O53" s="3"/>
      <c r="R53" s="7">
        <v>130</v>
      </c>
      <c r="S53" s="7"/>
      <c r="T53" s="7"/>
      <c r="U53" s="7"/>
      <c r="V53" s="7"/>
      <c r="W53" s="7"/>
      <c r="X53" s="7"/>
      <c r="Y53" s="41"/>
      <c r="Z53" s="49"/>
      <c r="AA53" s="19"/>
    </row>
    <row r="54" spans="2:27">
      <c r="H54" s="6">
        <v>85</v>
      </c>
      <c r="I54" s="3">
        <v>74</v>
      </c>
      <c r="J54" s="3">
        <f>24+23</f>
        <v>47</v>
      </c>
      <c r="K54" s="3">
        <v>47</v>
      </c>
      <c r="L54" s="3">
        <v>0</v>
      </c>
      <c r="M54" s="55">
        <f t="shared" si="15"/>
        <v>100</v>
      </c>
      <c r="N54" s="16">
        <f t="shared" si="17"/>
        <v>63.513513513513509</v>
      </c>
      <c r="O54" s="3"/>
      <c r="R54" s="12">
        <v>131</v>
      </c>
      <c r="S54" s="12"/>
      <c r="T54" s="12"/>
      <c r="U54" s="12"/>
      <c r="V54" s="12"/>
      <c r="W54" s="12"/>
      <c r="X54" s="12"/>
      <c r="Y54" s="43"/>
      <c r="Z54" s="48"/>
      <c r="AA54" s="33"/>
    </row>
    <row r="55" spans="2:27">
      <c r="H55" s="6">
        <v>86</v>
      </c>
      <c r="I55" s="3">
        <v>97</v>
      </c>
      <c r="J55" s="3">
        <f>1+1</f>
        <v>2</v>
      </c>
      <c r="K55" s="3">
        <v>2</v>
      </c>
      <c r="L55" s="3">
        <v>0</v>
      </c>
      <c r="M55" s="55" t="s">
        <v>19</v>
      </c>
      <c r="N55" s="16">
        <f t="shared" si="17"/>
        <v>2.0618556701030926</v>
      </c>
      <c r="O55" s="3"/>
      <c r="R55" s="6">
        <v>132</v>
      </c>
      <c r="S55" s="3">
        <v>73</v>
      </c>
      <c r="T55" s="3">
        <f>59+2</f>
        <v>61</v>
      </c>
      <c r="U55" s="3">
        <v>61</v>
      </c>
      <c r="V55" s="3">
        <v>0</v>
      </c>
      <c r="W55" s="3">
        <f t="shared" si="2"/>
        <v>100</v>
      </c>
      <c r="X55" s="3">
        <v>32</v>
      </c>
      <c r="Y55" s="20">
        <f>U55-32</f>
        <v>29</v>
      </c>
      <c r="Z55" s="47">
        <f t="shared" si="3"/>
        <v>52.459016393442624</v>
      </c>
      <c r="AA55" s="32">
        <f>T55/S55*100</f>
        <v>83.561643835616437</v>
      </c>
    </row>
    <row r="56" spans="2:27">
      <c r="H56" s="6">
        <v>87</v>
      </c>
      <c r="I56" s="3">
        <v>148</v>
      </c>
      <c r="J56" s="3">
        <f>116+25</f>
        <v>141</v>
      </c>
      <c r="K56" s="3">
        <v>140</v>
      </c>
      <c r="L56" s="3">
        <v>1</v>
      </c>
      <c r="M56" s="58">
        <f t="shared" si="15"/>
        <v>99.290780141843967</v>
      </c>
      <c r="N56" s="16">
        <f t="shared" si="17"/>
        <v>95.270270270270274</v>
      </c>
      <c r="O56" s="3"/>
      <c r="R56" s="6">
        <v>133</v>
      </c>
      <c r="S56" s="3">
        <v>0</v>
      </c>
      <c r="T56" s="3">
        <v>0</v>
      </c>
      <c r="U56" s="3">
        <v>0</v>
      </c>
      <c r="V56" s="3">
        <v>0</v>
      </c>
      <c r="W56" s="3"/>
      <c r="X56" s="3">
        <v>0</v>
      </c>
      <c r="Y56" s="20">
        <v>0</v>
      </c>
      <c r="Z56" s="50"/>
      <c r="AA56" s="32"/>
    </row>
    <row r="57" spans="2:27" ht="15.95" thickBot="1">
      <c r="E57" s="18"/>
      <c r="H57" s="10">
        <v>88</v>
      </c>
      <c r="I57" s="4">
        <v>85</v>
      </c>
      <c r="J57" s="4">
        <f>51+24</f>
        <v>75</v>
      </c>
      <c r="K57" s="4">
        <v>69</v>
      </c>
      <c r="L57" s="4">
        <v>6</v>
      </c>
      <c r="M57" s="59">
        <f t="shared" si="15"/>
        <v>92</v>
      </c>
      <c r="N57" s="30">
        <f t="shared" si="17"/>
        <v>88.235294117647058</v>
      </c>
      <c r="O57" s="4"/>
      <c r="R57" s="5">
        <v>134</v>
      </c>
      <c r="S57" s="5">
        <v>97</v>
      </c>
      <c r="T57" s="5">
        <f>80+4</f>
        <v>84</v>
      </c>
      <c r="U57" s="5">
        <v>84</v>
      </c>
      <c r="V57" s="5">
        <v>0</v>
      </c>
      <c r="W57" s="51">
        <f t="shared" si="2"/>
        <v>100</v>
      </c>
      <c r="X57" s="5">
        <v>47</v>
      </c>
      <c r="Y57" s="42">
        <f>U57-47</f>
        <v>37</v>
      </c>
      <c r="Z57" s="52">
        <f t="shared" si="3"/>
        <v>55.952380952380956</v>
      </c>
      <c r="AA57" s="35">
        <f t="shared" ref="AA57:AA58" si="18">T57/S57*100</f>
        <v>86.597938144329902</v>
      </c>
    </row>
    <row r="58" spans="2:27" ht="15.95" thickBot="1">
      <c r="N58" s="18"/>
      <c r="R58" s="10">
        <v>135</v>
      </c>
      <c r="S58" s="4">
        <v>93</v>
      </c>
      <c r="T58" s="4">
        <f>84+1</f>
        <v>85</v>
      </c>
      <c r="U58" s="4">
        <v>85</v>
      </c>
      <c r="V58" s="4">
        <v>0</v>
      </c>
      <c r="W58" s="67">
        <f t="shared" si="2"/>
        <v>100</v>
      </c>
      <c r="X58" s="4">
        <v>45</v>
      </c>
      <c r="Y58" s="44">
        <f>U58-45</f>
        <v>40</v>
      </c>
      <c r="Z58" s="68">
        <f t="shared" si="3"/>
        <v>52.941176470588239</v>
      </c>
      <c r="AA58" s="26">
        <f t="shared" si="18"/>
        <v>91.397849462365585</v>
      </c>
    </row>
    <row r="61" spans="2:27">
      <c r="N61" s="18"/>
      <c r="X61" s="28"/>
      <c r="Y61" s="28"/>
      <c r="Z61" s="28"/>
      <c r="AA61" s="18"/>
    </row>
    <row r="62" spans="2:27">
      <c r="J62" s="21"/>
      <c r="M62" s="18"/>
      <c r="T62" s="21"/>
    </row>
    <row r="63" spans="2:27">
      <c r="X63" s="25"/>
      <c r="Y63" s="24"/>
      <c r="Z63" s="39"/>
    </row>
    <row r="65" spans="10:23">
      <c r="J65" s="22"/>
      <c r="K65" s="23"/>
      <c r="L65" s="25"/>
      <c r="M65" s="25"/>
      <c r="T65" s="22"/>
      <c r="U65" s="27"/>
      <c r="V65" s="25"/>
      <c r="W65" s="25"/>
    </row>
  </sheetData>
  <mergeCells count="3">
    <mergeCell ref="B10:E10"/>
    <mergeCell ref="H10:O10"/>
    <mergeCell ref="R10:AA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7887-04E5-4D24-AFC6-EAF97FE30844}">
  <dimension ref="A1:G8"/>
  <sheetViews>
    <sheetView zoomScale="70" zoomScaleNormal="70" workbookViewId="0"/>
  </sheetViews>
  <sheetFormatPr defaultRowHeight="15.6"/>
  <cols>
    <col min="3" max="3" width="12.625" customWidth="1"/>
    <col min="5" max="5" width="19.5" customWidth="1"/>
    <col min="6" max="6" width="21.625" customWidth="1"/>
    <col min="7" max="7" width="19.625" customWidth="1"/>
  </cols>
  <sheetData>
    <row r="1" spans="1:7" s="87" customFormat="1" ht="21">
      <c r="A1" s="86" t="s">
        <v>21</v>
      </c>
    </row>
    <row r="3" spans="1:7" ht="15.95" thickBot="1">
      <c r="C3" s="91"/>
      <c r="D3" s="91"/>
      <c r="E3" s="91"/>
      <c r="F3" s="91"/>
      <c r="G3" s="91"/>
    </row>
    <row r="4" spans="1:7" ht="18.95" thickBot="1">
      <c r="C4" s="90" t="s">
        <v>22</v>
      </c>
      <c r="D4" s="90" t="s">
        <v>23</v>
      </c>
      <c r="E4" s="90" t="s">
        <v>24</v>
      </c>
      <c r="F4" s="90" t="s">
        <v>25</v>
      </c>
      <c r="G4" s="90" t="s">
        <v>26</v>
      </c>
    </row>
    <row r="5" spans="1:7" ht="18.600000000000001">
      <c r="C5" s="115" t="s">
        <v>27</v>
      </c>
      <c r="D5" s="88" t="s">
        <v>28</v>
      </c>
      <c r="E5" s="88">
        <v>1041</v>
      </c>
      <c r="F5" s="88">
        <v>1119</v>
      </c>
      <c r="G5" s="88">
        <v>457</v>
      </c>
    </row>
    <row r="6" spans="1:7" ht="18.600000000000001">
      <c r="C6" s="115"/>
      <c r="D6" s="88" t="s">
        <v>29</v>
      </c>
      <c r="E6" s="88">
        <v>0</v>
      </c>
      <c r="F6" s="88">
        <v>0</v>
      </c>
      <c r="G6" s="88">
        <v>605</v>
      </c>
    </row>
    <row r="7" spans="1:7" ht="18.600000000000001">
      <c r="C7" s="115" t="s">
        <v>30</v>
      </c>
      <c r="D7" s="88" t="s">
        <v>31</v>
      </c>
      <c r="E7" s="88">
        <v>312</v>
      </c>
      <c r="F7" s="88">
        <v>466</v>
      </c>
      <c r="G7" s="88" t="s">
        <v>32</v>
      </c>
    </row>
    <row r="8" spans="1:7" ht="18.95" thickBot="1">
      <c r="C8" s="116"/>
      <c r="D8" s="89" t="s">
        <v>29</v>
      </c>
      <c r="E8" s="89">
        <v>328</v>
      </c>
      <c r="F8" s="89">
        <v>32</v>
      </c>
      <c r="G8" s="89" t="s">
        <v>32</v>
      </c>
    </row>
  </sheetData>
  <mergeCells count="2">
    <mergeCell ref="C5:C6"/>
    <mergeCell ref="C7: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A9333-6DA1-4326-B723-66A53EDFC60F}">
  <dimension ref="A1:Y22"/>
  <sheetViews>
    <sheetView topLeftCell="A5" zoomScale="60" zoomScaleNormal="60" workbookViewId="0"/>
  </sheetViews>
  <sheetFormatPr defaultRowHeight="15.6"/>
  <cols>
    <col min="1" max="1" width="10.5" customWidth="1"/>
    <col min="2" max="2" width="16.75" bestFit="1" customWidth="1"/>
    <col min="3" max="3" width="38.375" bestFit="1" customWidth="1"/>
    <col min="4" max="4" width="22.125" bestFit="1" customWidth="1"/>
    <col min="5" max="5" width="21.625" bestFit="1" customWidth="1"/>
    <col min="6" max="6" width="28" bestFit="1" customWidth="1"/>
    <col min="7" max="7" width="21.75" bestFit="1" customWidth="1"/>
    <col min="8" max="8" width="39.875" bestFit="1" customWidth="1"/>
    <col min="9" max="9" width="28.625" bestFit="1" customWidth="1"/>
    <col min="10" max="10" width="28.25" bestFit="1" customWidth="1"/>
    <col min="11" max="11" width="34.625" bestFit="1" customWidth="1"/>
    <col min="12" max="12" width="28.375" bestFit="1" customWidth="1"/>
    <col min="15" max="15" width="16.75" bestFit="1" customWidth="1"/>
    <col min="16" max="16" width="38.875" bestFit="1" customWidth="1"/>
    <col min="17" max="17" width="22.125" bestFit="1" customWidth="1"/>
    <col min="18" max="18" width="21.625" bestFit="1" customWidth="1"/>
    <col min="19" max="19" width="28" bestFit="1" customWidth="1"/>
    <col min="20" max="20" width="21.75" bestFit="1" customWidth="1"/>
    <col min="21" max="21" width="40.375" bestFit="1" customWidth="1"/>
    <col min="22" max="22" width="28.625" bestFit="1" customWidth="1"/>
    <col min="23" max="23" width="28.25" customWidth="1"/>
    <col min="24" max="24" width="34.625" bestFit="1" customWidth="1"/>
    <col min="25" max="25" width="28.375" bestFit="1" customWidth="1"/>
    <col min="26" max="26" width="8.625" customWidth="1"/>
  </cols>
  <sheetData>
    <row r="1" spans="1:25" s="87" customFormat="1" ht="21">
      <c r="A1" s="86" t="s">
        <v>33</v>
      </c>
    </row>
    <row r="4" spans="1:25" ht="21.6" thickBot="1">
      <c r="B4" s="104" t="s">
        <v>34</v>
      </c>
      <c r="C4" s="105"/>
      <c r="D4" s="105"/>
      <c r="E4" s="105"/>
      <c r="F4" s="105"/>
      <c r="G4" s="105"/>
      <c r="H4" s="105"/>
      <c r="I4" s="105"/>
      <c r="J4" s="105"/>
      <c r="K4" s="105"/>
      <c r="L4" s="105"/>
      <c r="O4" s="106" t="s">
        <v>35</v>
      </c>
      <c r="P4" s="107"/>
      <c r="Q4" s="107"/>
      <c r="R4" s="107"/>
      <c r="S4" s="107"/>
      <c r="T4" s="107"/>
      <c r="U4" s="107"/>
      <c r="V4" s="107"/>
      <c r="W4" s="107"/>
      <c r="X4" s="107"/>
      <c r="Y4" s="107"/>
    </row>
    <row r="5" spans="1:25" ht="18.95" thickBot="1">
      <c r="B5" s="110" t="s">
        <v>36</v>
      </c>
      <c r="C5" s="110" t="s">
        <v>37</v>
      </c>
      <c r="D5" s="110" t="s">
        <v>38</v>
      </c>
      <c r="E5" s="110" t="s">
        <v>39</v>
      </c>
      <c r="F5" s="110" t="s">
        <v>40</v>
      </c>
      <c r="G5" s="110" t="s">
        <v>41</v>
      </c>
      <c r="H5" s="110" t="s">
        <v>42</v>
      </c>
      <c r="I5" s="110" t="s">
        <v>43</v>
      </c>
      <c r="J5" s="110" t="s">
        <v>44</v>
      </c>
      <c r="K5" s="110" t="s">
        <v>45</v>
      </c>
      <c r="L5" s="110" t="s">
        <v>46</v>
      </c>
      <c r="M5" s="100"/>
      <c r="N5" s="100"/>
      <c r="O5" s="110" t="s">
        <v>36</v>
      </c>
      <c r="P5" s="110" t="s">
        <v>47</v>
      </c>
      <c r="Q5" s="110" t="s">
        <v>38</v>
      </c>
      <c r="R5" s="110" t="s">
        <v>39</v>
      </c>
      <c r="S5" s="110" t="s">
        <v>40</v>
      </c>
      <c r="T5" s="110" t="s">
        <v>41</v>
      </c>
      <c r="U5" s="110" t="s">
        <v>48</v>
      </c>
      <c r="V5" s="110" t="s">
        <v>43</v>
      </c>
      <c r="W5" s="110" t="s">
        <v>44</v>
      </c>
      <c r="X5" s="110" t="s">
        <v>45</v>
      </c>
      <c r="Y5" s="110" t="s">
        <v>46</v>
      </c>
    </row>
    <row r="6" spans="1:25" ht="18.600000000000001">
      <c r="B6" s="96">
        <v>1</v>
      </c>
      <c r="C6" s="108" t="s">
        <v>49</v>
      </c>
      <c r="D6" s="97">
        <v>0</v>
      </c>
      <c r="E6" s="97">
        <v>750</v>
      </c>
      <c r="F6" s="99">
        <v>0</v>
      </c>
      <c r="G6" s="97">
        <v>200</v>
      </c>
      <c r="H6" s="100" t="s">
        <v>32</v>
      </c>
      <c r="I6" s="100" t="s">
        <v>32</v>
      </c>
      <c r="J6" s="100" t="s">
        <v>32</v>
      </c>
      <c r="K6" s="100" t="s">
        <v>32</v>
      </c>
      <c r="L6" s="100" t="s">
        <v>32</v>
      </c>
      <c r="O6" s="96">
        <v>1</v>
      </c>
      <c r="P6" s="108" t="s">
        <v>49</v>
      </c>
      <c r="Q6" s="97">
        <v>0</v>
      </c>
      <c r="R6" s="97">
        <v>400</v>
      </c>
      <c r="S6" s="99">
        <v>0</v>
      </c>
      <c r="T6" s="97">
        <v>200</v>
      </c>
      <c r="U6" s="100" t="s">
        <v>32</v>
      </c>
      <c r="V6" s="100" t="s">
        <v>32</v>
      </c>
      <c r="W6" s="100" t="s">
        <v>32</v>
      </c>
      <c r="X6" s="100" t="s">
        <v>32</v>
      </c>
      <c r="Y6" s="100" t="s">
        <v>32</v>
      </c>
    </row>
    <row r="7" spans="1:25" ht="18.600000000000001">
      <c r="B7" s="96">
        <v>2</v>
      </c>
      <c r="C7" s="108" t="s">
        <v>49</v>
      </c>
      <c r="D7" s="97">
        <v>0</v>
      </c>
      <c r="E7" s="97">
        <v>750</v>
      </c>
      <c r="F7" s="99">
        <v>0</v>
      </c>
      <c r="G7" s="97">
        <v>202</v>
      </c>
      <c r="H7" s="100" t="s">
        <v>32</v>
      </c>
      <c r="I7" s="100" t="s">
        <v>32</v>
      </c>
      <c r="J7" s="100" t="s">
        <v>32</v>
      </c>
      <c r="K7" s="100" t="s">
        <v>32</v>
      </c>
      <c r="L7" s="100" t="s">
        <v>32</v>
      </c>
      <c r="O7" s="96">
        <v>2</v>
      </c>
      <c r="P7" s="108" t="s">
        <v>49</v>
      </c>
      <c r="Q7" s="97">
        <v>0</v>
      </c>
      <c r="R7" s="97">
        <v>400</v>
      </c>
      <c r="S7" s="99">
        <v>0</v>
      </c>
      <c r="T7" s="97">
        <v>186</v>
      </c>
      <c r="U7" s="100" t="s">
        <v>32</v>
      </c>
      <c r="V7" s="100" t="s">
        <v>32</v>
      </c>
      <c r="W7" s="100" t="s">
        <v>32</v>
      </c>
      <c r="X7" s="100" t="s">
        <v>32</v>
      </c>
      <c r="Y7" s="100" t="s">
        <v>32</v>
      </c>
    </row>
    <row r="8" spans="1:25" ht="18.600000000000001">
      <c r="B8" s="96">
        <v>3</v>
      </c>
      <c r="C8" s="108" t="s">
        <v>49</v>
      </c>
      <c r="D8" s="97">
        <v>0</v>
      </c>
      <c r="E8" s="97">
        <v>750</v>
      </c>
      <c r="F8" s="99">
        <v>0</v>
      </c>
      <c r="G8" s="97">
        <v>215</v>
      </c>
      <c r="H8" s="100" t="s">
        <v>32</v>
      </c>
      <c r="I8" s="100" t="s">
        <v>32</v>
      </c>
      <c r="J8" s="100" t="s">
        <v>32</v>
      </c>
      <c r="K8" s="100" t="s">
        <v>32</v>
      </c>
      <c r="L8" s="100" t="s">
        <v>32</v>
      </c>
      <c r="O8" s="96">
        <v>3</v>
      </c>
      <c r="P8" s="108" t="s">
        <v>49</v>
      </c>
      <c r="Q8" s="97">
        <v>0</v>
      </c>
      <c r="R8" s="97">
        <v>400</v>
      </c>
      <c r="S8" s="99">
        <v>0</v>
      </c>
      <c r="T8" s="97">
        <v>198</v>
      </c>
      <c r="U8" s="100" t="s">
        <v>32</v>
      </c>
      <c r="V8" s="100" t="s">
        <v>32</v>
      </c>
      <c r="W8" s="100" t="s">
        <v>32</v>
      </c>
      <c r="X8" s="100" t="s">
        <v>32</v>
      </c>
      <c r="Y8" s="100" t="s">
        <v>32</v>
      </c>
    </row>
    <row r="9" spans="1:25" ht="18.600000000000001">
      <c r="B9" s="96">
        <v>4</v>
      </c>
      <c r="C9" s="108" t="s">
        <v>49</v>
      </c>
      <c r="D9" s="97">
        <v>0</v>
      </c>
      <c r="E9" s="97">
        <v>750</v>
      </c>
      <c r="F9" s="99">
        <v>0</v>
      </c>
      <c r="G9" s="97">
        <v>187</v>
      </c>
      <c r="H9" s="100" t="s">
        <v>32</v>
      </c>
      <c r="I9" s="100" t="s">
        <v>32</v>
      </c>
      <c r="J9" s="100" t="s">
        <v>32</v>
      </c>
      <c r="K9" s="100" t="s">
        <v>32</v>
      </c>
      <c r="L9" s="100" t="s">
        <v>32</v>
      </c>
      <c r="O9" s="96">
        <v>4</v>
      </c>
      <c r="P9" s="108" t="s">
        <v>49</v>
      </c>
      <c r="Q9" s="97">
        <v>0</v>
      </c>
      <c r="R9" s="97">
        <v>400</v>
      </c>
      <c r="S9" s="99">
        <v>0</v>
      </c>
      <c r="T9" s="97">
        <v>189</v>
      </c>
      <c r="U9" s="100" t="s">
        <v>32</v>
      </c>
      <c r="V9" s="100" t="s">
        <v>32</v>
      </c>
      <c r="W9" s="100" t="s">
        <v>32</v>
      </c>
      <c r="X9" s="100" t="s">
        <v>32</v>
      </c>
      <c r="Y9" s="100" t="s">
        <v>32</v>
      </c>
    </row>
    <row r="10" spans="1:25" ht="18.600000000000001">
      <c r="B10" s="96">
        <v>5</v>
      </c>
      <c r="C10" s="108" t="s">
        <v>49</v>
      </c>
      <c r="D10" s="97">
        <v>175</v>
      </c>
      <c r="E10" s="97">
        <f>750-175</f>
        <v>575</v>
      </c>
      <c r="F10" s="99">
        <v>0.23300000000000001</v>
      </c>
      <c r="G10" s="97">
        <v>127</v>
      </c>
      <c r="H10" s="100" t="s">
        <v>32</v>
      </c>
      <c r="I10" s="100" t="s">
        <v>32</v>
      </c>
      <c r="J10" s="100" t="s">
        <v>32</v>
      </c>
      <c r="K10" s="100" t="s">
        <v>32</v>
      </c>
      <c r="L10" s="100" t="s">
        <v>32</v>
      </c>
      <c r="O10" s="96">
        <v>5</v>
      </c>
      <c r="P10" s="108" t="s">
        <v>49</v>
      </c>
      <c r="Q10" s="97">
        <v>175</v>
      </c>
      <c r="R10" s="97">
        <f>750-175</f>
        <v>575</v>
      </c>
      <c r="S10" s="99">
        <v>0.23300000000000001</v>
      </c>
      <c r="T10" s="97">
        <v>143</v>
      </c>
      <c r="U10" s="100" t="s">
        <v>32</v>
      </c>
      <c r="V10" s="100" t="s">
        <v>32</v>
      </c>
      <c r="W10" s="100" t="s">
        <v>32</v>
      </c>
      <c r="X10" s="100" t="s">
        <v>32</v>
      </c>
      <c r="Y10" s="100" t="s">
        <v>32</v>
      </c>
    </row>
    <row r="11" spans="1:25" ht="18.600000000000001">
      <c r="B11" s="96">
        <v>6</v>
      </c>
      <c r="C11" s="108" t="s">
        <v>49</v>
      </c>
      <c r="D11" s="97">
        <v>438</v>
      </c>
      <c r="E11" s="97">
        <f>750-D11</f>
        <v>312</v>
      </c>
      <c r="F11" s="99">
        <v>0.58399999999999996</v>
      </c>
      <c r="G11" s="97">
        <v>81</v>
      </c>
      <c r="H11" s="100" t="s">
        <v>32</v>
      </c>
      <c r="I11" s="100" t="s">
        <v>32</v>
      </c>
      <c r="J11" s="100" t="s">
        <v>32</v>
      </c>
      <c r="K11" s="100" t="s">
        <v>32</v>
      </c>
      <c r="L11" s="100" t="s">
        <v>32</v>
      </c>
      <c r="O11" s="96">
        <v>6</v>
      </c>
      <c r="P11" s="108" t="s">
        <v>49</v>
      </c>
      <c r="Q11" s="97">
        <v>293</v>
      </c>
      <c r="R11" s="97">
        <f>750-Q11</f>
        <v>457</v>
      </c>
      <c r="S11" s="99">
        <v>0.39100000000000001</v>
      </c>
      <c r="T11" s="97">
        <v>128</v>
      </c>
      <c r="U11" s="100" t="s">
        <v>32</v>
      </c>
      <c r="V11" s="100" t="s">
        <v>32</v>
      </c>
      <c r="W11" s="100" t="s">
        <v>32</v>
      </c>
      <c r="X11" s="100" t="s">
        <v>32</v>
      </c>
      <c r="Y11" s="100" t="s">
        <v>32</v>
      </c>
    </row>
    <row r="12" spans="1:25" ht="18.600000000000001">
      <c r="B12" s="96">
        <v>7</v>
      </c>
      <c r="C12" s="108" t="s">
        <v>49</v>
      </c>
      <c r="D12" s="97">
        <f>750-E12</f>
        <v>479</v>
      </c>
      <c r="E12" s="97">
        <v>271</v>
      </c>
      <c r="F12" s="99">
        <v>0.69899999999999995</v>
      </c>
      <c r="G12" s="97">
        <v>43</v>
      </c>
      <c r="H12" s="108" t="s">
        <v>49</v>
      </c>
      <c r="I12" s="97">
        <f>750-J12</f>
        <v>479</v>
      </c>
      <c r="J12" s="97">
        <v>271</v>
      </c>
      <c r="K12" s="99">
        <v>0.69899999999999995</v>
      </c>
      <c r="L12" s="97">
        <v>49</v>
      </c>
      <c r="O12" s="96">
        <v>7</v>
      </c>
      <c r="P12" s="108" t="s">
        <v>49</v>
      </c>
      <c r="Q12" s="97">
        <f>750-R12</f>
        <v>426</v>
      </c>
      <c r="R12" s="97">
        <v>324</v>
      </c>
      <c r="S12" s="99">
        <v>0.64</v>
      </c>
      <c r="T12" s="97">
        <v>72</v>
      </c>
      <c r="U12" s="108" t="s">
        <v>49</v>
      </c>
      <c r="V12" s="97">
        <f>750-W12</f>
        <v>426</v>
      </c>
      <c r="W12" s="97">
        <v>324</v>
      </c>
      <c r="X12" s="98">
        <v>0.64</v>
      </c>
      <c r="Y12" s="97">
        <v>70</v>
      </c>
    </row>
    <row r="13" spans="1:25" ht="18.600000000000001">
      <c r="B13" s="96">
        <v>8</v>
      </c>
      <c r="C13" s="108" t="s">
        <v>49</v>
      </c>
      <c r="D13" s="97">
        <f>750-E13</f>
        <v>512</v>
      </c>
      <c r="E13" s="97">
        <v>238</v>
      </c>
      <c r="F13" s="99">
        <v>0.68300000000000005</v>
      </c>
      <c r="G13" s="97">
        <v>55</v>
      </c>
      <c r="H13" s="108" t="s">
        <v>49</v>
      </c>
      <c r="I13" s="97">
        <f>750-J13</f>
        <v>446</v>
      </c>
      <c r="J13" s="97">
        <v>304</v>
      </c>
      <c r="K13" s="99">
        <v>0.59499999999999997</v>
      </c>
      <c r="L13" s="97">
        <v>87</v>
      </c>
      <c r="O13" s="96">
        <v>8</v>
      </c>
      <c r="P13" s="97">
        <v>380</v>
      </c>
      <c r="Q13" s="97">
        <f>750-R13</f>
        <v>595</v>
      </c>
      <c r="R13" s="97">
        <v>155</v>
      </c>
      <c r="S13" s="99">
        <v>0.79300000000000004</v>
      </c>
      <c r="T13" s="97">
        <v>45</v>
      </c>
      <c r="U13" s="108" t="s">
        <v>49</v>
      </c>
      <c r="V13" s="97">
        <f>750-W13</f>
        <v>478</v>
      </c>
      <c r="W13" s="97">
        <v>272</v>
      </c>
      <c r="X13" s="98">
        <v>0.63700000000000001</v>
      </c>
      <c r="Y13" s="97">
        <v>62</v>
      </c>
    </row>
    <row r="14" spans="1:25" ht="18.600000000000001">
      <c r="B14" s="96">
        <v>9</v>
      </c>
      <c r="C14" s="108" t="s">
        <v>49</v>
      </c>
      <c r="D14" s="97">
        <v>634</v>
      </c>
      <c r="E14" s="97">
        <f>750-D14</f>
        <v>116</v>
      </c>
      <c r="F14" s="99">
        <v>0.84499999999999997</v>
      </c>
      <c r="G14" s="97">
        <v>24</v>
      </c>
      <c r="H14" s="108" t="s">
        <v>49</v>
      </c>
      <c r="I14" s="97">
        <v>466</v>
      </c>
      <c r="J14" s="97">
        <f>750-I14</f>
        <v>284</v>
      </c>
      <c r="K14" s="99">
        <v>0.621</v>
      </c>
      <c r="L14" s="97">
        <v>58</v>
      </c>
      <c r="O14" s="96">
        <v>9</v>
      </c>
      <c r="P14" s="108" t="s">
        <v>49</v>
      </c>
      <c r="Q14" s="97">
        <v>606</v>
      </c>
      <c r="R14" s="97">
        <f>750-Q14</f>
        <v>144</v>
      </c>
      <c r="S14" s="99">
        <v>0.80800000000000005</v>
      </c>
      <c r="T14" s="97">
        <v>38</v>
      </c>
      <c r="U14" s="108">
        <v>380</v>
      </c>
      <c r="V14" s="97">
        <v>495</v>
      </c>
      <c r="W14" s="97">
        <f>750-V14</f>
        <v>255</v>
      </c>
      <c r="X14" s="98">
        <v>0.66</v>
      </c>
      <c r="Y14" s="97">
        <v>52</v>
      </c>
    </row>
    <row r="15" spans="1:25" ht="18.600000000000001">
      <c r="B15" s="96">
        <v>10</v>
      </c>
      <c r="C15" s="97">
        <v>212</v>
      </c>
      <c r="D15" s="97">
        <v>592</v>
      </c>
      <c r="E15" s="97">
        <f>750-D15</f>
        <v>158</v>
      </c>
      <c r="F15" s="99">
        <v>0.78900000000000003</v>
      </c>
      <c r="G15" s="97">
        <v>16</v>
      </c>
      <c r="H15" s="108" t="s">
        <v>49</v>
      </c>
      <c r="I15" s="97">
        <v>448</v>
      </c>
      <c r="J15" s="97">
        <f>750-I15</f>
        <v>302</v>
      </c>
      <c r="K15" s="99">
        <v>0.59699999999999998</v>
      </c>
      <c r="L15" s="97">
        <v>78</v>
      </c>
      <c r="O15" s="96">
        <v>10</v>
      </c>
      <c r="P15" s="108" t="s">
        <v>49</v>
      </c>
      <c r="Q15" s="97">
        <v>530</v>
      </c>
      <c r="R15" s="97">
        <f>750-Q15</f>
        <v>220</v>
      </c>
      <c r="S15" s="99">
        <v>0.70699999999999996</v>
      </c>
      <c r="T15" s="97">
        <v>31</v>
      </c>
      <c r="U15" s="108" t="s">
        <v>49</v>
      </c>
      <c r="V15" s="97">
        <v>489</v>
      </c>
      <c r="W15" s="97">
        <f>750-V15</f>
        <v>261</v>
      </c>
      <c r="X15" s="98">
        <v>0.65200000000000002</v>
      </c>
      <c r="Y15" s="97">
        <v>66</v>
      </c>
    </row>
    <row r="16" spans="1:25" ht="18.600000000000001">
      <c r="B16" s="96">
        <v>11</v>
      </c>
      <c r="C16" s="97">
        <v>143</v>
      </c>
      <c r="D16" s="97">
        <v>515</v>
      </c>
      <c r="E16" s="97">
        <f>570-D16</f>
        <v>55</v>
      </c>
      <c r="F16" s="99">
        <v>0.90400000000000003</v>
      </c>
      <c r="G16" s="97">
        <v>10</v>
      </c>
      <c r="H16" s="108" t="s">
        <v>49</v>
      </c>
      <c r="I16" s="97">
        <v>516</v>
      </c>
      <c r="J16" s="97">
        <f>750-I16</f>
        <v>234</v>
      </c>
      <c r="K16" s="99">
        <v>0.68799999999999994</v>
      </c>
      <c r="L16" s="97">
        <v>66</v>
      </c>
      <c r="O16" s="96">
        <v>11</v>
      </c>
      <c r="P16" s="97">
        <v>327</v>
      </c>
      <c r="Q16" s="97">
        <v>671</v>
      </c>
      <c r="R16" s="97">
        <f>750-Q16</f>
        <v>79</v>
      </c>
      <c r="S16" s="99">
        <v>0.89500000000000002</v>
      </c>
      <c r="T16" s="97">
        <v>18</v>
      </c>
      <c r="U16" s="108" t="s">
        <v>49</v>
      </c>
      <c r="V16" s="97">
        <v>523</v>
      </c>
      <c r="W16" s="97">
        <f>750-V16</f>
        <v>227</v>
      </c>
      <c r="X16" s="98">
        <v>0.69699999999999995</v>
      </c>
      <c r="Y16" s="97">
        <v>45</v>
      </c>
    </row>
    <row r="17" spans="2:25" ht="18.600000000000001">
      <c r="B17" s="96">
        <v>12</v>
      </c>
      <c r="C17" s="97">
        <f>76/4</f>
        <v>19</v>
      </c>
      <c r="D17" s="97">
        <v>76</v>
      </c>
      <c r="E17">
        <v>0</v>
      </c>
      <c r="F17" s="99">
        <v>1</v>
      </c>
      <c r="G17" s="97">
        <v>0</v>
      </c>
      <c r="H17" s="108" t="s">
        <v>49</v>
      </c>
      <c r="I17" s="97">
        <v>540</v>
      </c>
      <c r="J17" s="97">
        <f>750-I17</f>
        <v>210</v>
      </c>
      <c r="K17" s="99">
        <v>0.72</v>
      </c>
      <c r="L17" s="97">
        <v>60</v>
      </c>
      <c r="O17" s="96">
        <v>12</v>
      </c>
      <c r="P17" s="97">
        <v>289</v>
      </c>
      <c r="Q17" s="97">
        <f>133+133+132+136+138+74</f>
        <v>746</v>
      </c>
      <c r="R17" s="97">
        <v>0</v>
      </c>
      <c r="S17" s="99">
        <v>1</v>
      </c>
      <c r="T17" s="97">
        <v>0</v>
      </c>
      <c r="U17" s="108" t="s">
        <v>49</v>
      </c>
      <c r="V17" s="97">
        <v>281</v>
      </c>
      <c r="W17" s="97">
        <f>750-V17</f>
        <v>469</v>
      </c>
      <c r="X17" s="98">
        <v>0.375</v>
      </c>
      <c r="Y17" s="97">
        <v>79</v>
      </c>
    </row>
    <row r="18" spans="2:25" ht="18.600000000000001">
      <c r="B18" s="96">
        <v>13</v>
      </c>
      <c r="C18" s="100" t="s">
        <v>32</v>
      </c>
      <c r="D18" s="100" t="s">
        <v>32</v>
      </c>
      <c r="E18" s="100" t="s">
        <v>32</v>
      </c>
      <c r="F18" s="100" t="s">
        <v>32</v>
      </c>
      <c r="G18" s="100" t="s">
        <v>32</v>
      </c>
      <c r="H18" s="108" t="s">
        <v>49</v>
      </c>
      <c r="I18" s="97">
        <v>581</v>
      </c>
      <c r="J18" s="97">
        <f>750-I18</f>
        <v>169</v>
      </c>
      <c r="K18" s="99">
        <v>0.77500000000000002</v>
      </c>
      <c r="L18" s="97">
        <v>61</v>
      </c>
      <c r="O18" s="96">
        <v>13</v>
      </c>
      <c r="P18" s="100" t="s">
        <v>32</v>
      </c>
      <c r="Q18" s="100" t="s">
        <v>32</v>
      </c>
      <c r="R18" s="100" t="s">
        <v>32</v>
      </c>
      <c r="S18" s="100" t="s">
        <v>32</v>
      </c>
      <c r="T18" s="100" t="s">
        <v>32</v>
      </c>
      <c r="U18" s="108" t="s">
        <v>49</v>
      </c>
      <c r="V18" s="97">
        <v>310</v>
      </c>
      <c r="W18" s="97">
        <f>750-V18</f>
        <v>440</v>
      </c>
      <c r="X18" s="98">
        <v>0.41299999999999998</v>
      </c>
      <c r="Y18" s="97">
        <v>107</v>
      </c>
    </row>
    <row r="19" spans="2:25" ht="18.95" thickBot="1">
      <c r="B19" s="95">
        <v>14</v>
      </c>
      <c r="C19" s="103" t="s">
        <v>32</v>
      </c>
      <c r="D19" s="103" t="s">
        <v>32</v>
      </c>
      <c r="E19" s="103" t="s">
        <v>32</v>
      </c>
      <c r="F19" s="103" t="s">
        <v>32</v>
      </c>
      <c r="G19" s="103" t="s">
        <v>32</v>
      </c>
      <c r="H19" s="109" t="s">
        <v>49</v>
      </c>
      <c r="I19" s="101">
        <v>617</v>
      </c>
      <c r="J19" s="101">
        <f>750-I19</f>
        <v>133</v>
      </c>
      <c r="K19" s="102">
        <v>0.82299999999999995</v>
      </c>
      <c r="L19" s="103" t="s">
        <v>32</v>
      </c>
      <c r="O19" s="95">
        <v>14</v>
      </c>
      <c r="P19" s="103" t="s">
        <v>32</v>
      </c>
      <c r="Q19" s="103" t="s">
        <v>32</v>
      </c>
      <c r="R19" s="103" t="s">
        <v>32</v>
      </c>
      <c r="S19" s="103" t="s">
        <v>32</v>
      </c>
      <c r="T19" s="103" t="s">
        <v>32</v>
      </c>
      <c r="U19" s="109" t="s">
        <v>49</v>
      </c>
      <c r="V19" s="101">
        <v>286</v>
      </c>
      <c r="W19" s="101">
        <f>750-V19</f>
        <v>464</v>
      </c>
      <c r="X19" s="102">
        <v>0.38100000000000001</v>
      </c>
      <c r="Y19" s="103" t="s">
        <v>32</v>
      </c>
    </row>
    <row r="20" spans="2:25">
      <c r="H20" t="s">
        <v>50</v>
      </c>
    </row>
    <row r="22" spans="2:25" ht="18.600000000000001">
      <c r="B22" s="111"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anna.strampelli@biocentis.com</cp:lastModifiedBy>
  <cp:revision/>
  <dcterms:created xsi:type="dcterms:W3CDTF">2021-02-10T16:22:33Z</dcterms:created>
  <dcterms:modified xsi:type="dcterms:W3CDTF">2025-07-18T16:31:25Z</dcterms:modified>
  <cp:category/>
  <cp:contentStatus/>
</cp:coreProperties>
</file>