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eaumon\OneDrive - Institut Pasteur Paris\Documents\PhD\Article TME\Nat Comm\Revision 3 _editorial modifications\Files to submit\"/>
    </mc:Choice>
  </mc:AlternateContent>
  <xr:revisionPtr revIDLastSave="0" documentId="13_ncr:1_{51BA1F68-2BAD-4948-8312-6130DD0DC15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equences_info" sheetId="1" r:id="rId1"/>
  </sheets>
  <definedNames>
    <definedName name="_xlnm._FilterDatabase" localSheetId="0" hidden="1">Sequences_info!$A$2:$J$503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03" i="1" l="1"/>
  <c r="L503" i="1"/>
  <c r="K503" i="1"/>
  <c r="M502" i="1"/>
  <c r="L502" i="1"/>
  <c r="K502" i="1"/>
  <c r="M501" i="1"/>
  <c r="L501" i="1"/>
  <c r="K501" i="1"/>
  <c r="M500" i="1"/>
  <c r="L500" i="1"/>
  <c r="K500" i="1"/>
  <c r="M499" i="1"/>
  <c r="L499" i="1"/>
  <c r="K499" i="1"/>
  <c r="M498" i="1"/>
  <c r="L498" i="1"/>
  <c r="K498" i="1"/>
  <c r="M497" i="1"/>
  <c r="L497" i="1"/>
  <c r="K497" i="1"/>
  <c r="M496" i="1"/>
  <c r="L496" i="1"/>
  <c r="K496" i="1"/>
  <c r="M495" i="1"/>
  <c r="L495" i="1"/>
  <c r="K495" i="1"/>
  <c r="M494" i="1"/>
  <c r="L494" i="1"/>
  <c r="K494" i="1"/>
  <c r="M493" i="1"/>
  <c r="L493" i="1"/>
  <c r="K493" i="1"/>
  <c r="M492" i="1"/>
  <c r="L492" i="1"/>
  <c r="K492" i="1"/>
  <c r="M491" i="1"/>
  <c r="L491" i="1"/>
  <c r="K491" i="1"/>
  <c r="M490" i="1"/>
  <c r="L490" i="1"/>
  <c r="K490" i="1"/>
  <c r="M489" i="1"/>
  <c r="L489" i="1"/>
  <c r="K489" i="1"/>
  <c r="M488" i="1"/>
  <c r="L488" i="1"/>
  <c r="K488" i="1"/>
  <c r="M487" i="1"/>
  <c r="L487" i="1"/>
  <c r="K487" i="1"/>
  <c r="M486" i="1"/>
  <c r="L486" i="1"/>
  <c r="K486" i="1"/>
  <c r="M485" i="1"/>
  <c r="L485" i="1"/>
  <c r="K485" i="1"/>
  <c r="M484" i="1"/>
  <c r="L484" i="1"/>
  <c r="K484" i="1"/>
  <c r="M483" i="1"/>
  <c r="L483" i="1"/>
  <c r="K483" i="1"/>
  <c r="M482" i="1"/>
  <c r="L482" i="1"/>
  <c r="K482" i="1"/>
  <c r="M481" i="1"/>
  <c r="L481" i="1"/>
  <c r="K481" i="1"/>
  <c r="M480" i="1"/>
  <c r="L480" i="1"/>
  <c r="K480" i="1"/>
  <c r="M479" i="1"/>
  <c r="L479" i="1"/>
  <c r="K479" i="1"/>
  <c r="M478" i="1"/>
  <c r="L478" i="1"/>
  <c r="K478" i="1"/>
  <c r="M477" i="1"/>
  <c r="L477" i="1"/>
  <c r="K477" i="1"/>
  <c r="M476" i="1"/>
  <c r="L476" i="1"/>
  <c r="K476" i="1"/>
  <c r="M475" i="1"/>
  <c r="L475" i="1"/>
  <c r="K475" i="1"/>
  <c r="M474" i="1"/>
  <c r="L474" i="1"/>
  <c r="K474" i="1"/>
  <c r="M473" i="1"/>
  <c r="L473" i="1"/>
  <c r="K473" i="1"/>
  <c r="M472" i="1"/>
  <c r="L472" i="1"/>
  <c r="K472" i="1"/>
  <c r="M471" i="1"/>
  <c r="L471" i="1"/>
  <c r="K471" i="1"/>
  <c r="M470" i="1"/>
  <c r="L470" i="1"/>
  <c r="K470" i="1"/>
  <c r="M469" i="1"/>
  <c r="L469" i="1"/>
  <c r="K469" i="1"/>
  <c r="M468" i="1"/>
  <c r="L468" i="1"/>
  <c r="K468" i="1"/>
  <c r="M467" i="1"/>
  <c r="L467" i="1"/>
  <c r="K467" i="1"/>
  <c r="M466" i="1"/>
  <c r="L466" i="1"/>
  <c r="K466" i="1"/>
  <c r="M465" i="1"/>
  <c r="L465" i="1"/>
  <c r="K465" i="1"/>
  <c r="M464" i="1"/>
  <c r="L464" i="1"/>
  <c r="K464" i="1"/>
  <c r="M463" i="1"/>
  <c r="L463" i="1"/>
  <c r="K463" i="1"/>
  <c r="M462" i="1"/>
  <c r="L462" i="1"/>
  <c r="K462" i="1"/>
  <c r="M461" i="1"/>
  <c r="L461" i="1"/>
  <c r="K461" i="1"/>
  <c r="M460" i="1"/>
  <c r="L460" i="1"/>
  <c r="K460" i="1"/>
  <c r="M459" i="1"/>
  <c r="L459" i="1"/>
  <c r="K459" i="1"/>
  <c r="M458" i="1"/>
  <c r="L458" i="1"/>
  <c r="K458" i="1"/>
  <c r="M457" i="1"/>
  <c r="L457" i="1"/>
  <c r="K457" i="1"/>
  <c r="M456" i="1"/>
  <c r="L456" i="1"/>
  <c r="K456" i="1"/>
  <c r="M455" i="1"/>
  <c r="L455" i="1"/>
  <c r="K455" i="1"/>
  <c r="M454" i="1"/>
  <c r="L454" i="1"/>
  <c r="K454" i="1"/>
  <c r="M453" i="1"/>
  <c r="L453" i="1"/>
  <c r="K453" i="1"/>
  <c r="M452" i="1"/>
  <c r="L452" i="1"/>
  <c r="K452" i="1"/>
  <c r="M451" i="1"/>
  <c r="L451" i="1"/>
  <c r="K451" i="1"/>
  <c r="M450" i="1"/>
  <c r="L450" i="1"/>
  <c r="K450" i="1"/>
  <c r="M449" i="1"/>
  <c r="L449" i="1"/>
  <c r="K449" i="1"/>
  <c r="M448" i="1"/>
  <c r="L448" i="1"/>
  <c r="K448" i="1"/>
  <c r="M447" i="1"/>
  <c r="L447" i="1"/>
  <c r="K447" i="1"/>
  <c r="M446" i="1"/>
  <c r="L446" i="1"/>
  <c r="K446" i="1"/>
  <c r="M445" i="1"/>
  <c r="L445" i="1"/>
  <c r="K445" i="1"/>
  <c r="M444" i="1"/>
  <c r="L444" i="1"/>
  <c r="K444" i="1"/>
  <c r="M443" i="1"/>
  <c r="L443" i="1"/>
  <c r="K443" i="1"/>
  <c r="M442" i="1"/>
  <c r="L442" i="1"/>
  <c r="K442" i="1"/>
  <c r="M441" i="1"/>
  <c r="L441" i="1"/>
  <c r="K441" i="1"/>
  <c r="M440" i="1"/>
  <c r="L440" i="1"/>
  <c r="K440" i="1"/>
  <c r="M439" i="1"/>
  <c r="L439" i="1"/>
  <c r="K439" i="1"/>
  <c r="M438" i="1"/>
  <c r="L438" i="1"/>
  <c r="K438" i="1"/>
  <c r="M437" i="1"/>
  <c r="L437" i="1"/>
  <c r="K437" i="1"/>
  <c r="M436" i="1"/>
  <c r="L436" i="1"/>
  <c r="K436" i="1"/>
  <c r="M435" i="1"/>
  <c r="L435" i="1"/>
  <c r="K435" i="1"/>
  <c r="M434" i="1"/>
  <c r="L434" i="1"/>
  <c r="K434" i="1"/>
  <c r="M433" i="1"/>
  <c r="L433" i="1"/>
  <c r="K433" i="1"/>
  <c r="M432" i="1"/>
  <c r="L432" i="1"/>
  <c r="K432" i="1"/>
  <c r="M431" i="1"/>
  <c r="L431" i="1"/>
  <c r="K431" i="1"/>
  <c r="M430" i="1"/>
  <c r="L430" i="1"/>
  <c r="K430" i="1"/>
  <c r="M429" i="1"/>
  <c r="L429" i="1"/>
  <c r="K429" i="1"/>
  <c r="M428" i="1"/>
  <c r="L428" i="1"/>
  <c r="K428" i="1"/>
  <c r="M427" i="1"/>
  <c r="L427" i="1"/>
  <c r="K427" i="1"/>
  <c r="M426" i="1"/>
  <c r="L426" i="1"/>
  <c r="K426" i="1"/>
  <c r="M425" i="1"/>
  <c r="L425" i="1"/>
  <c r="K425" i="1"/>
  <c r="M424" i="1"/>
  <c r="L424" i="1"/>
  <c r="K424" i="1"/>
  <c r="M423" i="1"/>
  <c r="L423" i="1"/>
  <c r="K423" i="1"/>
  <c r="M422" i="1"/>
  <c r="L422" i="1"/>
  <c r="K422" i="1"/>
  <c r="M421" i="1"/>
  <c r="L421" i="1"/>
  <c r="K421" i="1"/>
  <c r="M420" i="1"/>
  <c r="L420" i="1"/>
  <c r="K420" i="1"/>
  <c r="M419" i="1"/>
  <c r="L419" i="1"/>
  <c r="K419" i="1"/>
  <c r="M418" i="1"/>
  <c r="L418" i="1"/>
  <c r="K418" i="1"/>
  <c r="M417" i="1"/>
  <c r="L417" i="1"/>
  <c r="K417" i="1"/>
  <c r="M416" i="1"/>
  <c r="L416" i="1"/>
  <c r="K416" i="1"/>
  <c r="M415" i="1"/>
  <c r="L415" i="1"/>
  <c r="K415" i="1"/>
  <c r="M414" i="1"/>
  <c r="L414" i="1"/>
  <c r="K414" i="1"/>
  <c r="M413" i="1"/>
  <c r="L413" i="1"/>
  <c r="K413" i="1"/>
  <c r="M412" i="1"/>
  <c r="L412" i="1"/>
  <c r="K412" i="1"/>
  <c r="M411" i="1"/>
  <c r="L411" i="1"/>
  <c r="K411" i="1"/>
  <c r="M410" i="1"/>
  <c r="L410" i="1"/>
  <c r="K410" i="1"/>
  <c r="M409" i="1"/>
  <c r="L409" i="1"/>
  <c r="K409" i="1"/>
  <c r="M408" i="1"/>
  <c r="L408" i="1"/>
  <c r="K408" i="1"/>
  <c r="M407" i="1"/>
  <c r="L407" i="1"/>
  <c r="K407" i="1"/>
  <c r="M406" i="1"/>
  <c r="L406" i="1"/>
  <c r="K406" i="1"/>
  <c r="M405" i="1"/>
  <c r="L405" i="1"/>
  <c r="K405" i="1"/>
  <c r="M404" i="1"/>
  <c r="L404" i="1"/>
  <c r="K404" i="1"/>
  <c r="M403" i="1"/>
  <c r="L403" i="1"/>
  <c r="K403" i="1"/>
  <c r="M402" i="1"/>
  <c r="L402" i="1"/>
  <c r="K402" i="1"/>
  <c r="M401" i="1"/>
  <c r="L401" i="1"/>
  <c r="K401" i="1"/>
  <c r="M400" i="1"/>
  <c r="L400" i="1"/>
  <c r="K400" i="1"/>
  <c r="M399" i="1"/>
  <c r="L399" i="1"/>
  <c r="K399" i="1"/>
  <c r="M398" i="1"/>
  <c r="L398" i="1"/>
  <c r="K398" i="1"/>
  <c r="M397" i="1"/>
  <c r="L397" i="1"/>
  <c r="K397" i="1"/>
  <c r="M396" i="1"/>
  <c r="L396" i="1"/>
  <c r="K396" i="1"/>
  <c r="M395" i="1"/>
  <c r="L395" i="1"/>
  <c r="K395" i="1"/>
  <c r="M394" i="1"/>
  <c r="L394" i="1"/>
  <c r="K394" i="1"/>
  <c r="M393" i="1"/>
  <c r="L393" i="1"/>
  <c r="K393" i="1"/>
  <c r="M392" i="1"/>
  <c r="L392" i="1"/>
  <c r="K392" i="1"/>
  <c r="M391" i="1"/>
  <c r="L391" i="1"/>
  <c r="K391" i="1"/>
  <c r="M390" i="1"/>
  <c r="L390" i="1"/>
  <c r="K390" i="1"/>
  <c r="M389" i="1"/>
  <c r="L389" i="1"/>
  <c r="K389" i="1"/>
  <c r="M388" i="1"/>
  <c r="L388" i="1"/>
  <c r="K388" i="1"/>
  <c r="M387" i="1"/>
  <c r="L387" i="1"/>
  <c r="K387" i="1"/>
  <c r="M386" i="1"/>
  <c r="L386" i="1"/>
  <c r="K386" i="1"/>
  <c r="M385" i="1"/>
  <c r="L385" i="1"/>
  <c r="K385" i="1"/>
  <c r="M384" i="1"/>
  <c r="L384" i="1"/>
  <c r="K384" i="1"/>
  <c r="M383" i="1"/>
  <c r="L383" i="1"/>
  <c r="K383" i="1"/>
  <c r="M382" i="1"/>
  <c r="L382" i="1"/>
  <c r="K382" i="1"/>
  <c r="M381" i="1"/>
  <c r="L381" i="1"/>
  <c r="K381" i="1"/>
  <c r="M380" i="1"/>
  <c r="L380" i="1"/>
  <c r="K380" i="1"/>
  <c r="M379" i="1"/>
  <c r="L379" i="1"/>
  <c r="K379" i="1"/>
  <c r="M378" i="1"/>
  <c r="L378" i="1"/>
  <c r="K378" i="1"/>
  <c r="M377" i="1"/>
  <c r="L377" i="1"/>
  <c r="K377" i="1"/>
  <c r="M376" i="1"/>
  <c r="L376" i="1"/>
  <c r="K376" i="1"/>
  <c r="M375" i="1"/>
  <c r="L375" i="1"/>
  <c r="K375" i="1"/>
  <c r="M374" i="1"/>
  <c r="L374" i="1"/>
  <c r="K374" i="1"/>
  <c r="M373" i="1"/>
  <c r="L373" i="1"/>
  <c r="K373" i="1"/>
  <c r="M372" i="1"/>
  <c r="L372" i="1"/>
  <c r="K372" i="1"/>
  <c r="M371" i="1"/>
  <c r="L371" i="1"/>
  <c r="K371" i="1"/>
  <c r="M370" i="1"/>
  <c r="L370" i="1"/>
  <c r="K370" i="1"/>
  <c r="M369" i="1"/>
  <c r="L369" i="1"/>
  <c r="K369" i="1"/>
  <c r="M368" i="1"/>
  <c r="L368" i="1"/>
  <c r="K368" i="1"/>
  <c r="M367" i="1"/>
  <c r="L367" i="1"/>
  <c r="K367" i="1"/>
  <c r="M366" i="1"/>
  <c r="L366" i="1"/>
  <c r="K366" i="1"/>
  <c r="M365" i="1"/>
  <c r="L365" i="1"/>
  <c r="K365" i="1"/>
  <c r="M364" i="1"/>
  <c r="L364" i="1"/>
  <c r="K364" i="1"/>
  <c r="M363" i="1"/>
  <c r="L363" i="1"/>
  <c r="K363" i="1"/>
  <c r="M362" i="1"/>
  <c r="L362" i="1"/>
  <c r="K362" i="1"/>
  <c r="M361" i="1"/>
  <c r="L361" i="1"/>
  <c r="K361" i="1"/>
  <c r="M360" i="1"/>
  <c r="L360" i="1"/>
  <c r="K360" i="1"/>
  <c r="M359" i="1"/>
  <c r="L359" i="1"/>
  <c r="K359" i="1"/>
  <c r="M358" i="1"/>
  <c r="L358" i="1"/>
  <c r="K358" i="1"/>
  <c r="M357" i="1"/>
  <c r="L357" i="1"/>
  <c r="K357" i="1"/>
  <c r="M356" i="1"/>
  <c r="L356" i="1"/>
  <c r="K356" i="1"/>
  <c r="M355" i="1"/>
  <c r="L355" i="1"/>
  <c r="K355" i="1"/>
  <c r="M354" i="1"/>
  <c r="L354" i="1"/>
  <c r="K354" i="1"/>
  <c r="M353" i="1"/>
  <c r="L353" i="1"/>
  <c r="K353" i="1"/>
  <c r="M352" i="1"/>
  <c r="L352" i="1"/>
  <c r="K352" i="1"/>
  <c r="M351" i="1"/>
  <c r="L351" i="1"/>
  <c r="K351" i="1"/>
  <c r="M350" i="1"/>
  <c r="L350" i="1"/>
  <c r="K350" i="1"/>
  <c r="M349" i="1"/>
  <c r="L349" i="1"/>
  <c r="K349" i="1"/>
  <c r="M348" i="1"/>
  <c r="L348" i="1"/>
  <c r="K348" i="1"/>
  <c r="M347" i="1"/>
  <c r="L347" i="1"/>
  <c r="K347" i="1"/>
  <c r="M346" i="1"/>
  <c r="L346" i="1"/>
  <c r="K346" i="1"/>
  <c r="M345" i="1"/>
  <c r="L345" i="1"/>
  <c r="K345" i="1"/>
  <c r="M344" i="1"/>
  <c r="L344" i="1"/>
  <c r="K344" i="1"/>
  <c r="M343" i="1"/>
  <c r="L343" i="1"/>
  <c r="K343" i="1"/>
  <c r="M342" i="1"/>
  <c r="L342" i="1"/>
  <c r="K342" i="1"/>
  <c r="M341" i="1"/>
  <c r="L341" i="1"/>
  <c r="K341" i="1"/>
  <c r="M340" i="1"/>
  <c r="L340" i="1"/>
  <c r="K340" i="1"/>
  <c r="M339" i="1"/>
  <c r="L339" i="1"/>
  <c r="K339" i="1"/>
  <c r="M338" i="1"/>
  <c r="L338" i="1"/>
  <c r="K338" i="1"/>
  <c r="M337" i="1"/>
  <c r="L337" i="1"/>
  <c r="K337" i="1"/>
  <c r="M336" i="1"/>
  <c r="L336" i="1"/>
  <c r="K336" i="1"/>
  <c r="M335" i="1"/>
  <c r="L335" i="1"/>
  <c r="K335" i="1"/>
  <c r="M334" i="1"/>
  <c r="L334" i="1"/>
  <c r="K334" i="1"/>
  <c r="M333" i="1"/>
  <c r="L333" i="1"/>
  <c r="K333" i="1"/>
  <c r="M332" i="1"/>
  <c r="L332" i="1"/>
  <c r="K332" i="1"/>
  <c r="M331" i="1"/>
  <c r="L331" i="1"/>
  <c r="K331" i="1"/>
  <c r="M330" i="1"/>
  <c r="L330" i="1"/>
  <c r="K330" i="1"/>
  <c r="M329" i="1"/>
  <c r="L329" i="1"/>
  <c r="K329" i="1"/>
  <c r="M328" i="1"/>
  <c r="L328" i="1"/>
  <c r="K328" i="1"/>
  <c r="M327" i="1"/>
  <c r="L327" i="1"/>
  <c r="K327" i="1"/>
  <c r="M326" i="1"/>
  <c r="L326" i="1"/>
  <c r="K326" i="1"/>
  <c r="M325" i="1"/>
  <c r="L325" i="1"/>
  <c r="K325" i="1"/>
  <c r="M324" i="1"/>
  <c r="L324" i="1"/>
  <c r="K324" i="1"/>
  <c r="M323" i="1"/>
  <c r="L323" i="1"/>
  <c r="K323" i="1"/>
  <c r="M322" i="1"/>
  <c r="L322" i="1"/>
  <c r="K322" i="1"/>
  <c r="M321" i="1"/>
  <c r="L321" i="1"/>
  <c r="K321" i="1"/>
  <c r="M320" i="1"/>
  <c r="L320" i="1"/>
  <c r="K320" i="1"/>
  <c r="M319" i="1"/>
  <c r="L319" i="1"/>
  <c r="K319" i="1"/>
  <c r="M318" i="1"/>
  <c r="L318" i="1"/>
  <c r="K318" i="1"/>
  <c r="M317" i="1"/>
  <c r="L317" i="1"/>
  <c r="K317" i="1"/>
  <c r="M316" i="1"/>
  <c r="L316" i="1"/>
  <c r="K316" i="1"/>
  <c r="M315" i="1"/>
  <c r="L315" i="1"/>
  <c r="K315" i="1"/>
  <c r="M314" i="1"/>
  <c r="L314" i="1"/>
  <c r="K314" i="1"/>
  <c r="M313" i="1"/>
  <c r="L313" i="1"/>
  <c r="K313" i="1"/>
  <c r="M312" i="1"/>
  <c r="L312" i="1"/>
  <c r="K312" i="1"/>
  <c r="M311" i="1"/>
  <c r="L311" i="1"/>
  <c r="K311" i="1"/>
  <c r="M310" i="1"/>
  <c r="L310" i="1"/>
  <c r="K310" i="1"/>
  <c r="M309" i="1"/>
  <c r="L309" i="1"/>
  <c r="K309" i="1"/>
  <c r="M308" i="1"/>
  <c r="L308" i="1"/>
  <c r="K308" i="1"/>
  <c r="M307" i="1"/>
  <c r="L307" i="1"/>
  <c r="K307" i="1"/>
  <c r="M306" i="1"/>
  <c r="L306" i="1"/>
  <c r="K306" i="1"/>
  <c r="M305" i="1"/>
  <c r="L305" i="1"/>
  <c r="K305" i="1"/>
  <c r="M304" i="1"/>
  <c r="L304" i="1"/>
  <c r="K304" i="1"/>
  <c r="M303" i="1"/>
  <c r="L303" i="1"/>
  <c r="K303" i="1"/>
  <c r="M302" i="1"/>
  <c r="L302" i="1"/>
  <c r="K302" i="1"/>
  <c r="M301" i="1"/>
  <c r="L301" i="1"/>
  <c r="K301" i="1"/>
  <c r="M300" i="1"/>
  <c r="L300" i="1"/>
  <c r="K300" i="1"/>
  <c r="M299" i="1"/>
  <c r="L299" i="1"/>
  <c r="K299" i="1"/>
  <c r="M298" i="1"/>
  <c r="L298" i="1"/>
  <c r="K298" i="1"/>
  <c r="M297" i="1"/>
  <c r="L297" i="1"/>
  <c r="K297" i="1"/>
  <c r="M296" i="1"/>
  <c r="L296" i="1"/>
  <c r="K296" i="1"/>
  <c r="M295" i="1"/>
  <c r="L295" i="1"/>
  <c r="K295" i="1"/>
  <c r="M294" i="1"/>
  <c r="L294" i="1"/>
  <c r="K294" i="1"/>
  <c r="M293" i="1"/>
  <c r="L293" i="1"/>
  <c r="K293" i="1"/>
  <c r="M292" i="1"/>
  <c r="L292" i="1"/>
  <c r="K292" i="1"/>
  <c r="M291" i="1"/>
  <c r="L291" i="1"/>
  <c r="K291" i="1"/>
  <c r="M290" i="1"/>
  <c r="L290" i="1"/>
  <c r="K290" i="1"/>
  <c r="M289" i="1"/>
  <c r="L289" i="1"/>
  <c r="K289" i="1"/>
  <c r="M288" i="1"/>
  <c r="L288" i="1"/>
  <c r="K288" i="1"/>
  <c r="M287" i="1"/>
  <c r="L287" i="1"/>
  <c r="K287" i="1"/>
  <c r="M286" i="1"/>
  <c r="L286" i="1"/>
  <c r="K286" i="1"/>
  <c r="M285" i="1"/>
  <c r="L285" i="1"/>
  <c r="K285" i="1"/>
  <c r="M284" i="1"/>
  <c r="L284" i="1"/>
  <c r="K284" i="1"/>
  <c r="M283" i="1"/>
  <c r="L283" i="1"/>
  <c r="K283" i="1"/>
  <c r="M282" i="1"/>
  <c r="L282" i="1"/>
  <c r="K282" i="1"/>
  <c r="M281" i="1"/>
  <c r="L281" i="1"/>
  <c r="K281" i="1"/>
  <c r="M280" i="1"/>
  <c r="L280" i="1"/>
  <c r="K280" i="1"/>
  <c r="M279" i="1"/>
  <c r="L279" i="1"/>
  <c r="K279" i="1"/>
  <c r="M278" i="1"/>
  <c r="L278" i="1"/>
  <c r="K278" i="1"/>
  <c r="M277" i="1"/>
  <c r="L277" i="1"/>
  <c r="K277" i="1"/>
  <c r="M276" i="1"/>
  <c r="L276" i="1"/>
  <c r="K276" i="1"/>
  <c r="M275" i="1"/>
  <c r="L275" i="1"/>
  <c r="K275" i="1"/>
  <c r="M274" i="1"/>
  <c r="L274" i="1"/>
  <c r="K274" i="1"/>
  <c r="M273" i="1"/>
  <c r="L273" i="1"/>
  <c r="K273" i="1"/>
  <c r="M272" i="1"/>
  <c r="L272" i="1"/>
  <c r="K272" i="1"/>
  <c r="M271" i="1"/>
  <c r="L271" i="1"/>
  <c r="K271" i="1"/>
  <c r="M270" i="1"/>
  <c r="L270" i="1"/>
  <c r="K270" i="1"/>
  <c r="M269" i="1"/>
  <c r="L269" i="1"/>
  <c r="K269" i="1"/>
  <c r="M268" i="1"/>
  <c r="L268" i="1"/>
  <c r="K268" i="1"/>
  <c r="M267" i="1"/>
  <c r="L267" i="1"/>
  <c r="K267" i="1"/>
  <c r="M266" i="1"/>
  <c r="L266" i="1"/>
  <c r="K266" i="1"/>
  <c r="M265" i="1"/>
  <c r="L265" i="1"/>
  <c r="K265" i="1"/>
  <c r="M264" i="1"/>
  <c r="L264" i="1"/>
  <c r="K264" i="1"/>
  <c r="M263" i="1"/>
  <c r="L263" i="1"/>
  <c r="K263" i="1"/>
  <c r="M262" i="1"/>
  <c r="L262" i="1"/>
  <c r="K262" i="1"/>
  <c r="M261" i="1"/>
  <c r="L261" i="1"/>
  <c r="K261" i="1"/>
  <c r="M260" i="1"/>
  <c r="L260" i="1"/>
  <c r="K260" i="1"/>
  <c r="M259" i="1"/>
  <c r="L259" i="1"/>
  <c r="K259" i="1"/>
  <c r="M258" i="1"/>
  <c r="L258" i="1"/>
  <c r="K258" i="1"/>
  <c r="M257" i="1"/>
  <c r="L257" i="1"/>
  <c r="K257" i="1"/>
  <c r="M256" i="1"/>
  <c r="L256" i="1"/>
  <c r="K256" i="1"/>
  <c r="M255" i="1"/>
  <c r="L255" i="1"/>
  <c r="K255" i="1"/>
  <c r="M254" i="1"/>
  <c r="L254" i="1"/>
  <c r="K254" i="1"/>
  <c r="M253" i="1"/>
  <c r="L253" i="1"/>
  <c r="K253" i="1"/>
  <c r="M252" i="1"/>
  <c r="L252" i="1"/>
  <c r="K252" i="1"/>
  <c r="M251" i="1"/>
  <c r="L251" i="1"/>
  <c r="K251" i="1"/>
  <c r="M250" i="1"/>
  <c r="L250" i="1"/>
  <c r="K250" i="1"/>
  <c r="M249" i="1"/>
  <c r="L249" i="1"/>
  <c r="K249" i="1"/>
  <c r="M248" i="1"/>
  <c r="L248" i="1"/>
  <c r="K248" i="1"/>
  <c r="M247" i="1"/>
  <c r="L247" i="1"/>
  <c r="K247" i="1"/>
  <c r="M246" i="1"/>
  <c r="L246" i="1"/>
  <c r="K246" i="1"/>
  <c r="M245" i="1"/>
  <c r="L245" i="1"/>
  <c r="K245" i="1"/>
  <c r="M244" i="1"/>
  <c r="L244" i="1"/>
  <c r="K244" i="1"/>
  <c r="M243" i="1"/>
  <c r="L243" i="1"/>
  <c r="K243" i="1"/>
  <c r="M242" i="1"/>
  <c r="L242" i="1"/>
  <c r="K242" i="1"/>
  <c r="M241" i="1"/>
  <c r="L241" i="1"/>
  <c r="K241" i="1"/>
  <c r="M240" i="1"/>
  <c r="L240" i="1"/>
  <c r="K240" i="1"/>
  <c r="M239" i="1"/>
  <c r="L239" i="1"/>
  <c r="K239" i="1"/>
  <c r="M238" i="1"/>
  <c r="L238" i="1"/>
  <c r="K238" i="1"/>
  <c r="M237" i="1"/>
  <c r="L237" i="1"/>
  <c r="K237" i="1"/>
  <c r="M236" i="1"/>
  <c r="L236" i="1"/>
  <c r="K236" i="1"/>
  <c r="M235" i="1"/>
  <c r="L235" i="1"/>
  <c r="K235" i="1"/>
  <c r="M234" i="1"/>
  <c r="L234" i="1"/>
  <c r="K234" i="1"/>
  <c r="M233" i="1"/>
  <c r="L233" i="1"/>
  <c r="K233" i="1"/>
  <c r="M232" i="1"/>
  <c r="L232" i="1"/>
  <c r="K232" i="1"/>
  <c r="M231" i="1"/>
  <c r="L231" i="1"/>
  <c r="K231" i="1"/>
  <c r="M230" i="1"/>
  <c r="L230" i="1"/>
  <c r="K230" i="1"/>
  <c r="M229" i="1"/>
  <c r="L229" i="1"/>
  <c r="K229" i="1"/>
  <c r="M228" i="1"/>
  <c r="L228" i="1"/>
  <c r="K228" i="1"/>
  <c r="M227" i="1"/>
  <c r="L227" i="1"/>
  <c r="K227" i="1"/>
  <c r="M226" i="1"/>
  <c r="L226" i="1"/>
  <c r="K226" i="1"/>
  <c r="M225" i="1"/>
  <c r="L225" i="1"/>
  <c r="K225" i="1"/>
  <c r="M224" i="1"/>
  <c r="L224" i="1"/>
  <c r="K224" i="1"/>
  <c r="M223" i="1"/>
  <c r="L223" i="1"/>
  <c r="K223" i="1"/>
  <c r="M222" i="1"/>
  <c r="L222" i="1"/>
  <c r="K222" i="1"/>
  <c r="M221" i="1"/>
  <c r="L221" i="1"/>
  <c r="K221" i="1"/>
  <c r="M220" i="1"/>
  <c r="L220" i="1"/>
  <c r="K220" i="1"/>
  <c r="M219" i="1"/>
  <c r="L219" i="1"/>
  <c r="K219" i="1"/>
  <c r="M218" i="1"/>
  <c r="L218" i="1"/>
  <c r="K218" i="1"/>
  <c r="M217" i="1"/>
  <c r="L217" i="1"/>
  <c r="K217" i="1"/>
  <c r="M216" i="1"/>
  <c r="L216" i="1"/>
  <c r="K216" i="1"/>
  <c r="M215" i="1"/>
  <c r="L215" i="1"/>
  <c r="K215" i="1"/>
  <c r="M214" i="1"/>
  <c r="L214" i="1"/>
  <c r="K214" i="1"/>
  <c r="M213" i="1"/>
  <c r="L213" i="1"/>
  <c r="K213" i="1"/>
  <c r="M212" i="1"/>
  <c r="L212" i="1"/>
  <c r="K212" i="1"/>
  <c r="M211" i="1"/>
  <c r="L211" i="1"/>
  <c r="K211" i="1"/>
  <c r="M210" i="1"/>
  <c r="L210" i="1"/>
  <c r="K210" i="1"/>
  <c r="M209" i="1"/>
  <c r="L209" i="1"/>
  <c r="K209" i="1"/>
  <c r="M208" i="1"/>
  <c r="L208" i="1"/>
  <c r="K208" i="1"/>
  <c r="M207" i="1"/>
  <c r="L207" i="1"/>
  <c r="K207" i="1"/>
  <c r="M206" i="1"/>
  <c r="L206" i="1"/>
  <c r="K206" i="1"/>
  <c r="M205" i="1"/>
  <c r="L205" i="1"/>
  <c r="K205" i="1"/>
  <c r="M204" i="1"/>
  <c r="L204" i="1"/>
  <c r="K204" i="1"/>
  <c r="M203" i="1"/>
  <c r="L203" i="1"/>
  <c r="K203" i="1"/>
  <c r="M202" i="1"/>
  <c r="L202" i="1"/>
  <c r="K202" i="1"/>
  <c r="M201" i="1"/>
  <c r="L201" i="1"/>
  <c r="K201" i="1"/>
  <c r="M200" i="1"/>
  <c r="L200" i="1"/>
  <c r="K200" i="1"/>
  <c r="M199" i="1"/>
  <c r="L199" i="1"/>
  <c r="K199" i="1"/>
  <c r="M198" i="1"/>
  <c r="L198" i="1"/>
  <c r="K198" i="1"/>
  <c r="M197" i="1"/>
  <c r="L197" i="1"/>
  <c r="K197" i="1"/>
  <c r="M196" i="1"/>
  <c r="L196" i="1"/>
  <c r="K196" i="1"/>
  <c r="M195" i="1"/>
  <c r="L195" i="1"/>
  <c r="K195" i="1"/>
  <c r="M194" i="1"/>
  <c r="L194" i="1"/>
  <c r="K194" i="1"/>
  <c r="M193" i="1"/>
  <c r="L193" i="1"/>
  <c r="K193" i="1"/>
  <c r="M192" i="1"/>
  <c r="L192" i="1"/>
  <c r="K192" i="1"/>
  <c r="M191" i="1"/>
  <c r="L191" i="1"/>
  <c r="K191" i="1"/>
  <c r="M190" i="1"/>
  <c r="L190" i="1"/>
  <c r="K190" i="1"/>
  <c r="M189" i="1"/>
  <c r="L189" i="1"/>
  <c r="K189" i="1"/>
  <c r="M188" i="1"/>
  <c r="L188" i="1"/>
  <c r="K188" i="1"/>
  <c r="M187" i="1"/>
  <c r="L187" i="1"/>
  <c r="K187" i="1"/>
  <c r="M186" i="1"/>
  <c r="L186" i="1"/>
  <c r="K186" i="1"/>
  <c r="M185" i="1"/>
  <c r="L185" i="1"/>
  <c r="K185" i="1"/>
  <c r="M184" i="1"/>
  <c r="L184" i="1"/>
  <c r="K184" i="1"/>
  <c r="M183" i="1"/>
  <c r="L183" i="1"/>
  <c r="K183" i="1"/>
  <c r="M182" i="1"/>
  <c r="L182" i="1"/>
  <c r="K182" i="1"/>
  <c r="M181" i="1"/>
  <c r="L181" i="1"/>
  <c r="K181" i="1"/>
  <c r="M180" i="1"/>
  <c r="L180" i="1"/>
  <c r="K180" i="1"/>
  <c r="M179" i="1"/>
  <c r="L179" i="1"/>
  <c r="K179" i="1"/>
  <c r="M178" i="1"/>
  <c r="L178" i="1"/>
  <c r="K178" i="1"/>
  <c r="M177" i="1"/>
  <c r="L177" i="1"/>
  <c r="K177" i="1"/>
  <c r="M176" i="1"/>
  <c r="L176" i="1"/>
  <c r="K176" i="1"/>
  <c r="M175" i="1"/>
  <c r="L175" i="1"/>
  <c r="K175" i="1"/>
  <c r="M174" i="1"/>
  <c r="L174" i="1"/>
  <c r="K174" i="1"/>
  <c r="M173" i="1"/>
  <c r="L173" i="1"/>
  <c r="K173" i="1"/>
  <c r="M172" i="1"/>
  <c r="L172" i="1"/>
  <c r="K172" i="1"/>
  <c r="M171" i="1"/>
  <c r="L171" i="1"/>
  <c r="K171" i="1"/>
  <c r="M170" i="1"/>
  <c r="L170" i="1"/>
  <c r="K170" i="1"/>
  <c r="M169" i="1"/>
  <c r="L169" i="1"/>
  <c r="K169" i="1"/>
  <c r="M168" i="1"/>
  <c r="L168" i="1"/>
  <c r="K168" i="1"/>
  <c r="M167" i="1"/>
  <c r="L167" i="1"/>
  <c r="K167" i="1"/>
  <c r="M166" i="1"/>
  <c r="L166" i="1"/>
  <c r="K166" i="1"/>
  <c r="M165" i="1"/>
  <c r="L165" i="1"/>
  <c r="K165" i="1"/>
  <c r="M164" i="1"/>
  <c r="L164" i="1"/>
  <c r="K164" i="1"/>
  <c r="M163" i="1"/>
  <c r="L163" i="1"/>
  <c r="K163" i="1"/>
  <c r="M162" i="1"/>
  <c r="L162" i="1"/>
  <c r="K162" i="1"/>
  <c r="M161" i="1"/>
  <c r="L161" i="1"/>
  <c r="K161" i="1"/>
  <c r="M160" i="1"/>
  <c r="L160" i="1"/>
  <c r="K160" i="1"/>
  <c r="M159" i="1"/>
  <c r="L159" i="1"/>
  <c r="K159" i="1"/>
  <c r="M158" i="1"/>
  <c r="L158" i="1"/>
  <c r="K158" i="1"/>
  <c r="M157" i="1"/>
  <c r="L157" i="1"/>
  <c r="K157" i="1"/>
  <c r="M156" i="1"/>
  <c r="L156" i="1"/>
  <c r="K156" i="1"/>
  <c r="M155" i="1"/>
  <c r="L155" i="1"/>
  <c r="K155" i="1"/>
  <c r="M154" i="1"/>
  <c r="L154" i="1"/>
  <c r="K154" i="1"/>
  <c r="M153" i="1"/>
  <c r="L153" i="1"/>
  <c r="K153" i="1"/>
  <c r="M152" i="1"/>
  <c r="L152" i="1"/>
  <c r="K152" i="1"/>
  <c r="M151" i="1"/>
  <c r="L151" i="1"/>
  <c r="K151" i="1"/>
  <c r="M150" i="1"/>
  <c r="L150" i="1"/>
  <c r="K150" i="1"/>
  <c r="M149" i="1"/>
  <c r="L149" i="1"/>
  <c r="K149" i="1"/>
  <c r="M148" i="1"/>
  <c r="L148" i="1"/>
  <c r="K148" i="1"/>
  <c r="M147" i="1"/>
  <c r="L147" i="1"/>
  <c r="K147" i="1"/>
  <c r="M146" i="1"/>
  <c r="L146" i="1"/>
  <c r="K146" i="1"/>
  <c r="M145" i="1"/>
  <c r="L145" i="1"/>
  <c r="K145" i="1"/>
  <c r="M144" i="1"/>
  <c r="L144" i="1"/>
  <c r="K144" i="1"/>
  <c r="M143" i="1"/>
  <c r="L143" i="1"/>
  <c r="K143" i="1"/>
  <c r="M142" i="1"/>
  <c r="L142" i="1"/>
  <c r="K142" i="1"/>
  <c r="M141" i="1"/>
  <c r="L141" i="1"/>
  <c r="K141" i="1"/>
  <c r="M140" i="1"/>
  <c r="L140" i="1"/>
  <c r="K140" i="1"/>
  <c r="M139" i="1"/>
  <c r="L139" i="1"/>
  <c r="K139" i="1"/>
  <c r="M138" i="1"/>
  <c r="L138" i="1"/>
  <c r="K138" i="1"/>
  <c r="M137" i="1"/>
  <c r="L137" i="1"/>
  <c r="K137" i="1"/>
  <c r="M136" i="1"/>
  <c r="L136" i="1"/>
  <c r="K136" i="1"/>
  <c r="M135" i="1"/>
  <c r="L135" i="1"/>
  <c r="K135" i="1"/>
  <c r="M134" i="1"/>
  <c r="L134" i="1"/>
  <c r="K134" i="1"/>
  <c r="M133" i="1"/>
  <c r="L133" i="1"/>
  <c r="K133" i="1"/>
  <c r="M132" i="1"/>
  <c r="L132" i="1"/>
  <c r="K132" i="1"/>
  <c r="M131" i="1"/>
  <c r="L131" i="1"/>
  <c r="K131" i="1"/>
  <c r="M130" i="1"/>
  <c r="L130" i="1"/>
  <c r="K130" i="1"/>
  <c r="M129" i="1"/>
  <c r="L129" i="1"/>
  <c r="K129" i="1"/>
  <c r="M128" i="1"/>
  <c r="L128" i="1"/>
  <c r="K128" i="1"/>
  <c r="M127" i="1"/>
  <c r="L127" i="1"/>
  <c r="K127" i="1"/>
  <c r="M126" i="1"/>
  <c r="L126" i="1"/>
  <c r="K126" i="1"/>
  <c r="M125" i="1"/>
  <c r="L125" i="1"/>
  <c r="K125" i="1"/>
  <c r="M124" i="1"/>
  <c r="L124" i="1"/>
  <c r="K124" i="1"/>
  <c r="M123" i="1"/>
  <c r="L123" i="1"/>
  <c r="K123" i="1"/>
  <c r="M122" i="1"/>
  <c r="L122" i="1"/>
  <c r="K122" i="1"/>
  <c r="M121" i="1"/>
  <c r="L121" i="1"/>
  <c r="K121" i="1"/>
  <c r="M120" i="1"/>
  <c r="L120" i="1"/>
  <c r="K120" i="1"/>
  <c r="M119" i="1"/>
  <c r="L119" i="1"/>
  <c r="K119" i="1"/>
  <c r="M118" i="1"/>
  <c r="L118" i="1"/>
  <c r="K118" i="1"/>
  <c r="M117" i="1"/>
  <c r="L117" i="1"/>
  <c r="K117" i="1"/>
  <c r="M116" i="1"/>
  <c r="L116" i="1"/>
  <c r="K116" i="1"/>
  <c r="M115" i="1"/>
  <c r="L115" i="1"/>
  <c r="K115" i="1"/>
  <c r="M114" i="1"/>
  <c r="L114" i="1"/>
  <c r="K114" i="1"/>
  <c r="M113" i="1"/>
  <c r="L113" i="1"/>
  <c r="K113" i="1"/>
  <c r="M112" i="1"/>
  <c r="L112" i="1"/>
  <c r="K112" i="1"/>
  <c r="M111" i="1"/>
  <c r="L111" i="1"/>
  <c r="K111" i="1"/>
  <c r="M110" i="1"/>
  <c r="L110" i="1"/>
  <c r="K110" i="1"/>
  <c r="M109" i="1"/>
  <c r="L109" i="1"/>
  <c r="K109" i="1"/>
  <c r="M108" i="1"/>
  <c r="L108" i="1"/>
  <c r="K108" i="1"/>
  <c r="M107" i="1"/>
  <c r="L107" i="1"/>
  <c r="K107" i="1"/>
  <c r="M106" i="1"/>
  <c r="L106" i="1"/>
  <c r="K106" i="1"/>
  <c r="M105" i="1"/>
  <c r="L105" i="1"/>
  <c r="K105" i="1"/>
  <c r="M104" i="1"/>
  <c r="L104" i="1"/>
  <c r="K104" i="1"/>
  <c r="M103" i="1"/>
  <c r="L103" i="1"/>
  <c r="K103" i="1"/>
  <c r="M102" i="1"/>
  <c r="L102" i="1"/>
  <c r="K102" i="1"/>
  <c r="M101" i="1"/>
  <c r="L101" i="1"/>
  <c r="K101" i="1"/>
  <c r="M100" i="1"/>
  <c r="L100" i="1"/>
  <c r="K100" i="1"/>
  <c r="M99" i="1"/>
  <c r="L99" i="1"/>
  <c r="K99" i="1"/>
  <c r="M98" i="1"/>
  <c r="L98" i="1"/>
  <c r="K98" i="1"/>
  <c r="M97" i="1"/>
  <c r="L97" i="1"/>
  <c r="K97" i="1"/>
  <c r="M96" i="1"/>
  <c r="L96" i="1"/>
  <c r="K96" i="1"/>
  <c r="M95" i="1"/>
  <c r="L95" i="1"/>
  <c r="K95" i="1"/>
  <c r="M94" i="1"/>
  <c r="L94" i="1"/>
  <c r="K94" i="1"/>
  <c r="M93" i="1"/>
  <c r="L93" i="1"/>
  <c r="K93" i="1"/>
  <c r="M92" i="1"/>
  <c r="L92" i="1"/>
  <c r="K92" i="1"/>
  <c r="M91" i="1"/>
  <c r="L91" i="1"/>
  <c r="K91" i="1"/>
  <c r="M90" i="1"/>
  <c r="L90" i="1"/>
  <c r="K90" i="1"/>
  <c r="M89" i="1"/>
  <c r="L89" i="1"/>
  <c r="K89" i="1"/>
  <c r="M88" i="1"/>
  <c r="L88" i="1"/>
  <c r="K88" i="1"/>
  <c r="M87" i="1"/>
  <c r="L87" i="1"/>
  <c r="K87" i="1"/>
  <c r="M86" i="1"/>
  <c r="L86" i="1"/>
  <c r="K86" i="1"/>
  <c r="M85" i="1"/>
  <c r="L85" i="1"/>
  <c r="K85" i="1"/>
  <c r="M84" i="1"/>
  <c r="L84" i="1"/>
  <c r="K84" i="1"/>
  <c r="M83" i="1"/>
  <c r="L83" i="1"/>
  <c r="K83" i="1"/>
  <c r="M82" i="1"/>
  <c r="L82" i="1"/>
  <c r="K82" i="1"/>
  <c r="M81" i="1"/>
  <c r="L81" i="1"/>
  <c r="K81" i="1"/>
  <c r="M80" i="1"/>
  <c r="L80" i="1"/>
  <c r="K80" i="1"/>
  <c r="M79" i="1"/>
  <c r="L79" i="1"/>
  <c r="K79" i="1"/>
  <c r="M78" i="1"/>
  <c r="L78" i="1"/>
  <c r="K78" i="1"/>
  <c r="M77" i="1"/>
  <c r="L77" i="1"/>
  <c r="K77" i="1"/>
  <c r="M76" i="1"/>
  <c r="L76" i="1"/>
  <c r="K76" i="1"/>
  <c r="M75" i="1"/>
  <c r="L75" i="1"/>
  <c r="K75" i="1"/>
  <c r="M74" i="1"/>
  <c r="L74" i="1"/>
  <c r="K74" i="1"/>
  <c r="M73" i="1"/>
  <c r="L73" i="1"/>
  <c r="K73" i="1"/>
  <c r="M72" i="1"/>
  <c r="L72" i="1"/>
  <c r="K72" i="1"/>
  <c r="M71" i="1"/>
  <c r="L71" i="1"/>
  <c r="K71" i="1"/>
  <c r="M70" i="1"/>
  <c r="L70" i="1"/>
  <c r="K70" i="1"/>
  <c r="M69" i="1"/>
  <c r="L69" i="1"/>
  <c r="K69" i="1"/>
  <c r="M68" i="1"/>
  <c r="L68" i="1"/>
  <c r="K68" i="1"/>
  <c r="M67" i="1"/>
  <c r="L67" i="1"/>
  <c r="K67" i="1"/>
  <c r="M66" i="1"/>
  <c r="L66" i="1"/>
  <c r="K66" i="1"/>
  <c r="M65" i="1"/>
  <c r="L65" i="1"/>
  <c r="K65" i="1"/>
  <c r="M64" i="1"/>
  <c r="L64" i="1"/>
  <c r="K64" i="1"/>
  <c r="M63" i="1"/>
  <c r="L63" i="1"/>
  <c r="K63" i="1"/>
  <c r="M62" i="1"/>
  <c r="L62" i="1"/>
  <c r="K62" i="1"/>
  <c r="M61" i="1"/>
  <c r="L61" i="1"/>
  <c r="K61" i="1"/>
  <c r="M60" i="1"/>
  <c r="L60" i="1"/>
  <c r="K60" i="1"/>
  <c r="M59" i="1"/>
  <c r="L59" i="1"/>
  <c r="K59" i="1"/>
  <c r="M58" i="1"/>
  <c r="L58" i="1"/>
  <c r="K58" i="1"/>
  <c r="M57" i="1"/>
  <c r="L57" i="1"/>
  <c r="K57" i="1"/>
  <c r="M56" i="1"/>
  <c r="L56" i="1"/>
  <c r="K56" i="1"/>
  <c r="M55" i="1"/>
  <c r="L55" i="1"/>
  <c r="K55" i="1"/>
  <c r="M54" i="1"/>
  <c r="L54" i="1"/>
  <c r="K54" i="1"/>
  <c r="M53" i="1"/>
  <c r="L53" i="1"/>
  <c r="K53" i="1"/>
  <c r="M52" i="1"/>
  <c r="L52" i="1"/>
  <c r="K52" i="1"/>
  <c r="M51" i="1"/>
  <c r="L51" i="1"/>
  <c r="K51" i="1"/>
  <c r="M50" i="1"/>
  <c r="L50" i="1"/>
  <c r="K50" i="1"/>
  <c r="M49" i="1"/>
  <c r="L49" i="1"/>
  <c r="K49" i="1"/>
  <c r="M48" i="1"/>
  <c r="L48" i="1"/>
  <c r="K48" i="1"/>
  <c r="M47" i="1"/>
  <c r="L47" i="1"/>
  <c r="K47" i="1"/>
  <c r="M46" i="1"/>
  <c r="L46" i="1"/>
  <c r="K46" i="1"/>
  <c r="M45" i="1"/>
  <c r="L45" i="1"/>
  <c r="K45" i="1"/>
  <c r="M44" i="1"/>
  <c r="L44" i="1"/>
  <c r="K44" i="1"/>
  <c r="M43" i="1"/>
  <c r="L43" i="1"/>
  <c r="K43" i="1"/>
  <c r="M42" i="1"/>
  <c r="L42" i="1"/>
  <c r="K42" i="1"/>
  <c r="M41" i="1"/>
  <c r="L41" i="1"/>
  <c r="K41" i="1"/>
  <c r="M40" i="1"/>
  <c r="L40" i="1"/>
  <c r="K40" i="1"/>
  <c r="M39" i="1"/>
  <c r="L39" i="1"/>
  <c r="K39" i="1"/>
  <c r="M38" i="1"/>
  <c r="L38" i="1"/>
  <c r="K38" i="1"/>
  <c r="M37" i="1"/>
  <c r="L37" i="1"/>
  <c r="K37" i="1"/>
  <c r="M36" i="1"/>
  <c r="L36" i="1"/>
  <c r="K36" i="1"/>
  <c r="M35" i="1"/>
  <c r="L35" i="1"/>
  <c r="K35" i="1"/>
  <c r="M34" i="1"/>
  <c r="L34" i="1"/>
  <c r="K34" i="1"/>
  <c r="M33" i="1"/>
  <c r="L33" i="1"/>
  <c r="K33" i="1"/>
  <c r="M32" i="1"/>
  <c r="L32" i="1"/>
  <c r="K32" i="1"/>
  <c r="M31" i="1"/>
  <c r="L31" i="1"/>
  <c r="K31" i="1"/>
  <c r="M30" i="1"/>
  <c r="L30" i="1"/>
  <c r="K30" i="1"/>
  <c r="M29" i="1"/>
  <c r="L29" i="1"/>
  <c r="K29" i="1"/>
  <c r="M28" i="1"/>
  <c r="L28" i="1"/>
  <c r="K28" i="1"/>
  <c r="M27" i="1"/>
  <c r="L27" i="1"/>
  <c r="K27" i="1"/>
  <c r="M26" i="1"/>
  <c r="L26" i="1"/>
  <c r="K26" i="1"/>
  <c r="M25" i="1"/>
  <c r="L25" i="1"/>
  <c r="K25" i="1"/>
  <c r="M24" i="1"/>
  <c r="L24" i="1"/>
  <c r="K24" i="1"/>
  <c r="M23" i="1"/>
  <c r="L23" i="1"/>
  <c r="K23" i="1"/>
  <c r="M22" i="1"/>
  <c r="L22" i="1"/>
  <c r="K22" i="1"/>
  <c r="M21" i="1"/>
  <c r="L21" i="1"/>
  <c r="K21" i="1"/>
  <c r="M20" i="1"/>
  <c r="L20" i="1"/>
  <c r="K20" i="1"/>
  <c r="M19" i="1"/>
  <c r="L19" i="1"/>
  <c r="K19" i="1"/>
  <c r="M18" i="1"/>
  <c r="L18" i="1"/>
  <c r="K18" i="1"/>
  <c r="M17" i="1"/>
  <c r="L17" i="1"/>
  <c r="K17" i="1"/>
  <c r="M16" i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M8" i="1"/>
  <c r="L8" i="1"/>
  <c r="K8" i="1"/>
  <c r="M7" i="1"/>
  <c r="L7" i="1"/>
  <c r="K7" i="1"/>
  <c r="M6" i="1"/>
  <c r="L6" i="1"/>
  <c r="K6" i="1"/>
  <c r="M5" i="1"/>
  <c r="L5" i="1"/>
  <c r="K5" i="1"/>
  <c r="M4" i="1"/>
  <c r="L4" i="1"/>
  <c r="K4" i="1"/>
  <c r="M3" i="1"/>
  <c r="L3" i="1"/>
  <c r="K3" i="1"/>
</calcChain>
</file>

<file path=xl/sharedStrings.xml><?xml version="1.0" encoding="utf-8"?>
<sst xmlns="http://schemas.openxmlformats.org/spreadsheetml/2006/main" count="5033" uniqueCount="2251">
  <si>
    <t>Identification</t>
  </si>
  <si>
    <t>In silico taxonomy and typing</t>
  </si>
  <si>
    <t>Accession Number</t>
  </si>
  <si>
    <t>Strain</t>
  </si>
  <si>
    <t>Country</t>
  </si>
  <si>
    <t>Study project</t>
  </si>
  <si>
    <t>Sample_origin</t>
  </si>
  <si>
    <t>Species</t>
  </si>
  <si>
    <t>Typing_Scheme</t>
  </si>
  <si>
    <t>Sequence_Type</t>
  </si>
  <si>
    <t>run_accession</t>
  </si>
  <si>
    <t>assembly_accession</t>
  </si>
  <si>
    <t>contigs_accession</t>
  </si>
  <si>
    <t>links</t>
  </si>
  <si>
    <t>C-K366-B</t>
  </si>
  <si>
    <t>Cambodia</t>
  </si>
  <si>
    <t>peecnic</t>
  </si>
  <si>
    <t>neonate</t>
  </si>
  <si>
    <t>Citrobacter freundii</t>
  </si>
  <si>
    <t>cfreundii</t>
  </si>
  <si>
    <t>404</t>
  </si>
  <si>
    <t>ERR14660665</t>
  </si>
  <si>
    <t>GCA_965178865</t>
  </si>
  <si>
    <t>CBCXYD010000001-CBCXYD010000122</t>
  </si>
  <si>
    <t>M-A079-B</t>
  </si>
  <si>
    <t>Madagascar</t>
  </si>
  <si>
    <t>birdy2</t>
  </si>
  <si>
    <t>95</t>
  </si>
  <si>
    <t>ERR14660768</t>
  </si>
  <si>
    <t>GCA_965180605</t>
  </si>
  <si>
    <t>CBCYDN010000001-CBCYDN010000118</t>
  </si>
  <si>
    <t>M-M088-M</t>
  </si>
  <si>
    <t>mum</t>
  </si>
  <si>
    <t>ERR14660790</t>
  </si>
  <si>
    <t>GCA_965182435</t>
  </si>
  <si>
    <t>CBCYKI010000001-CBCYKI010000216</t>
  </si>
  <si>
    <t>M-M100-B.2</t>
  </si>
  <si>
    <t>ERR14660792</t>
  </si>
  <si>
    <t>GCA_965182425</t>
  </si>
  <si>
    <t>CBCYKS010000001-CBCYKS010000110</t>
  </si>
  <si>
    <t>M-M109-B.1</t>
  </si>
  <si>
    <t>62</t>
  </si>
  <si>
    <t>ERR14660805</t>
  </si>
  <si>
    <t>GCA_965181425</t>
  </si>
  <si>
    <t>CBCYGZ010000001-CBCYGZ010000070</t>
  </si>
  <si>
    <t>M-M205-B.1</t>
  </si>
  <si>
    <t>ERR14660834</t>
  </si>
  <si>
    <t>GCA_965183365</t>
  </si>
  <si>
    <t>CBDACI010000001-CBDACI010000113</t>
  </si>
  <si>
    <t>M-M205-B.2</t>
  </si>
  <si>
    <t>ERR14660835</t>
  </si>
  <si>
    <t>GCA_965181145</t>
  </si>
  <si>
    <t>CBCYGC010000001-CBCYGC010000111</t>
  </si>
  <si>
    <t>C-K429-B</t>
  </si>
  <si>
    <t>Citrobacter portucalensis</t>
  </si>
  <si>
    <t>674</t>
  </si>
  <si>
    <t>ERR14660709</t>
  </si>
  <si>
    <t>GCA_965179565</t>
  </si>
  <si>
    <t>CBCXYL010000001-CBCXYL010000086</t>
  </si>
  <si>
    <t>M-A221-M</t>
  </si>
  <si>
    <t>9-247-4-7-47-8-172</t>
  </si>
  <si>
    <t>ERR14660775</t>
  </si>
  <si>
    <t>GCA_965181495</t>
  </si>
  <si>
    <t>CBCYHB010000001-CBCYHB010000137</t>
  </si>
  <si>
    <t>C-K363-B</t>
  </si>
  <si>
    <t>Citrobacter sedlakii</t>
  </si>
  <si>
    <t>696</t>
  </si>
  <si>
    <t>ERR14660661</t>
  </si>
  <si>
    <t>GCA_965179275</t>
  </si>
  <si>
    <t>CBCXWX010000001-CBCXWX010000103</t>
  </si>
  <si>
    <t>M-A079-M</t>
  </si>
  <si>
    <t>286-352-265-205-133-196-236</t>
  </si>
  <si>
    <t>ERR14660769</t>
  </si>
  <si>
    <t>GCA_965181595</t>
  </si>
  <si>
    <t>CBCYHD010000001-CBCYHD010000041</t>
  </si>
  <si>
    <t>M-M123-B</t>
  </si>
  <si>
    <t>Enterobacter asburiae</t>
  </si>
  <si>
    <t>ecloacae</t>
  </si>
  <si>
    <t>24-173-287-191-563-11-15</t>
  </si>
  <si>
    <t>ERR14660813</t>
  </si>
  <si>
    <t>GCA_965183605</t>
  </si>
  <si>
    <t>CBDACU010000001-CBDACU010000056</t>
  </si>
  <si>
    <t>M-A047-B</t>
  </si>
  <si>
    <t>Enterobacter rongchengensis</t>
  </si>
  <si>
    <t>1065</t>
  </si>
  <si>
    <t>ERR14660766</t>
  </si>
  <si>
    <t>GCA_965180615</t>
  </si>
  <si>
    <t>CBCYDM010000001-CBCYDM010000132</t>
  </si>
  <si>
    <t>M-M110-B</t>
  </si>
  <si>
    <t>666</t>
  </si>
  <si>
    <t>ERR14660809</t>
  </si>
  <si>
    <t>GCA_965182765</t>
  </si>
  <si>
    <t>CBCYLN010000001-CBCYLN010000088</t>
  </si>
  <si>
    <t>C-K360-B</t>
  </si>
  <si>
    <t>Enterobacter intestinihominis</t>
  </si>
  <si>
    <t>171</t>
  </si>
  <si>
    <t>ERR14660659</t>
  </si>
  <si>
    <t>GCA_965179095</t>
  </si>
  <si>
    <t>CBCXXB010000001-CBCXXB010000046</t>
  </si>
  <si>
    <t>C-K380-B</t>
  </si>
  <si>
    <t>479</t>
  </si>
  <si>
    <t>ERR14660676</t>
  </si>
  <si>
    <t>GCA_965179505</t>
  </si>
  <si>
    <t>CBCXXC010000001-CBCXXC010000051</t>
  </si>
  <si>
    <t>C-K387-B.1</t>
  </si>
  <si>
    <t>923</t>
  </si>
  <si>
    <t>ERR14660684</t>
  </si>
  <si>
    <t>GCA_965179325</t>
  </si>
  <si>
    <t>CBCXWY010000001-CBCXWY010000050</t>
  </si>
  <si>
    <t>C-K414-B</t>
  </si>
  <si>
    <t>544</t>
  </si>
  <si>
    <t>ERR14660700</t>
  </si>
  <si>
    <t>GCA_965179315</t>
  </si>
  <si>
    <t>CBCXXQ010000001-CBCXXQ010000055</t>
  </si>
  <si>
    <t>C-K431-B</t>
  </si>
  <si>
    <t>ERR14660713</t>
  </si>
  <si>
    <t>GCA_965179405</t>
  </si>
  <si>
    <t>CBCXXO010000001-CBCXXO010000055</t>
  </si>
  <si>
    <t>C-P321-B</t>
  </si>
  <si>
    <t>ERR14660730</t>
  </si>
  <si>
    <t>GCA_965180825</t>
  </si>
  <si>
    <t>CBCYEC010000001-CBCYEC010000042</t>
  </si>
  <si>
    <t>M-M088-B.1</t>
  </si>
  <si>
    <t>148</t>
  </si>
  <si>
    <t>ERR14660788</t>
  </si>
  <si>
    <t>GCA_965180165</t>
  </si>
  <si>
    <t>CBCYBJ010000001-CBCYBJ010000079</t>
  </si>
  <si>
    <t>M-M100-B.1</t>
  </si>
  <si>
    <t>2967</t>
  </si>
  <si>
    <t>ERR14660791</t>
  </si>
  <si>
    <t>GCA_965179885</t>
  </si>
  <si>
    <t>CBCYAX010000001-CBCYAX010000063</t>
  </si>
  <si>
    <t>M-M101-M.1</t>
  </si>
  <si>
    <t>-</t>
  </si>
  <si>
    <t>ERR14660796</t>
  </si>
  <si>
    <t>GCA_965181865</t>
  </si>
  <si>
    <t>CBCYIH010000001-CBCYIH010000066</t>
  </si>
  <si>
    <t>M-M101-M.2</t>
  </si>
  <si>
    <t>50</t>
  </si>
  <si>
    <t>ERR14660797</t>
  </si>
  <si>
    <t>GCA_965182295</t>
  </si>
  <si>
    <t>CBCYJV010000001-CBCYJV010000080</t>
  </si>
  <si>
    <t>M-M108-B.2</t>
  </si>
  <si>
    <t>ERR14660802</t>
  </si>
  <si>
    <t>GCA_965182855</t>
  </si>
  <si>
    <t>CBCYMX010000001-CBCYMX010000070</t>
  </si>
  <si>
    <t>M-M134-B</t>
  </si>
  <si>
    <t>113</t>
  </si>
  <si>
    <t>ERR14660815</t>
  </si>
  <si>
    <t>GCA_965183645</t>
  </si>
  <si>
    <t>CBDACH010000001-CBDACH010000029</t>
  </si>
  <si>
    <t>M-M144-B.1</t>
  </si>
  <si>
    <t>134</t>
  </si>
  <si>
    <t>ERR14660820</t>
  </si>
  <si>
    <t>GCA_965183315</t>
  </si>
  <si>
    <t>CBDABU010000001-CBDABU010000081</t>
  </si>
  <si>
    <t>M-M144-B.2</t>
  </si>
  <si>
    <t>2895</t>
  </si>
  <si>
    <t>ERR14660821</t>
  </si>
  <si>
    <t>GCA_965183425</t>
  </si>
  <si>
    <t>CBDABZ010000001-CBDABZ010000057</t>
  </si>
  <si>
    <t>M-M205-M</t>
  </si>
  <si>
    <t>ERR14660836</t>
  </si>
  <si>
    <t>GCA_965182085</t>
  </si>
  <si>
    <t>CBCYJI010000001-CBCYJI010000070</t>
  </si>
  <si>
    <t>M-M259-B</t>
  </si>
  <si>
    <t>ERR14660837</t>
  </si>
  <si>
    <t>GCA_965181195</t>
  </si>
  <si>
    <t>CBCYFE010000001-CBCYFE010000062</t>
  </si>
  <si>
    <t>M-M259-M</t>
  </si>
  <si>
    <t>ERR14660838</t>
  </si>
  <si>
    <t>GCA_965179735</t>
  </si>
  <si>
    <t>CBCXZP010000001-CBCXZP010000060</t>
  </si>
  <si>
    <t>M-Mo181-B</t>
  </si>
  <si>
    <t>neolic</t>
  </si>
  <si>
    <t>93</t>
  </si>
  <si>
    <t>ERR14660873</t>
  </si>
  <si>
    <t>GCA_965182035</t>
  </si>
  <si>
    <t>CBCYIV010000001-CBCYIV010000046</t>
  </si>
  <si>
    <t>M-M052-B.2</t>
  </si>
  <si>
    <t>Enterobacter kobei</t>
  </si>
  <si>
    <t>32</t>
  </si>
  <si>
    <t>ERR14660781</t>
  </si>
  <si>
    <t>GCA_965183575</t>
  </si>
  <si>
    <t>CBDADB010000001-CBDADB010000118</t>
  </si>
  <si>
    <t>M-M052-M.1</t>
  </si>
  <si>
    <t>ERR14660782</t>
  </si>
  <si>
    <t>GCA_965180355</t>
  </si>
  <si>
    <t>CBCYCV010000001-CBCYCV010000114</t>
  </si>
  <si>
    <t>C-K349-B</t>
  </si>
  <si>
    <t>Escherichia coli</t>
  </si>
  <si>
    <t>ecoli_achtman_4</t>
  </si>
  <si>
    <t>ERR14660475</t>
  </si>
  <si>
    <t>GCA_965179345</t>
  </si>
  <si>
    <t>CBCXYF010000001-CBCXYF010000340</t>
  </si>
  <si>
    <t>C-K349-M</t>
  </si>
  <si>
    <t>2346</t>
  </si>
  <si>
    <t>ERR14660651</t>
  </si>
  <si>
    <t>GCA_965178815</t>
  </si>
  <si>
    <t>CBCXXP010000001-CBCXXP010000170</t>
  </si>
  <si>
    <t>C-K353-B.1</t>
  </si>
  <si>
    <t>44</t>
  </si>
  <si>
    <t>ERR14660652</t>
  </si>
  <si>
    <t>GCA_965179235</t>
  </si>
  <si>
    <t>CBCXXH010000001-CBCXXH010000283</t>
  </si>
  <si>
    <t>C-K353-M</t>
  </si>
  <si>
    <t>10</t>
  </si>
  <si>
    <t>ERR14660654</t>
  </si>
  <si>
    <t>GCA_965178785</t>
  </si>
  <si>
    <t>CBCXWV010000001-CBCXWV010000055</t>
  </si>
  <si>
    <t>C-K354-B</t>
  </si>
  <si>
    <t>648</t>
  </si>
  <si>
    <t>ERR14660655</t>
  </si>
  <si>
    <t>GCA_965179165</t>
  </si>
  <si>
    <t>CBCXYI010000001-CBCXYI010000295</t>
  </si>
  <si>
    <t>C-K354-M</t>
  </si>
  <si>
    <t>226</t>
  </si>
  <si>
    <t>ERR14660656</t>
  </si>
  <si>
    <t>GCA_965179065</t>
  </si>
  <si>
    <t>CBCXWQ010000001-CBCXWQ010000127</t>
  </si>
  <si>
    <t>C-K358-B</t>
  </si>
  <si>
    <t>131</t>
  </si>
  <si>
    <t>ERR14660657</t>
  </si>
  <si>
    <t>GCA_965179055</t>
  </si>
  <si>
    <t>CBCXYQ010000001-CBCXYQ010000270</t>
  </si>
  <si>
    <t>C-K358-M</t>
  </si>
  <si>
    <t>ERR14660658</t>
  </si>
  <si>
    <t>GCA_965178975</t>
  </si>
  <si>
    <t>CBCXYX010000001-CBCXYX010000242</t>
  </si>
  <si>
    <t>C-K360-M</t>
  </si>
  <si>
    <t>38</t>
  </si>
  <si>
    <t>ERR14660660</t>
  </si>
  <si>
    <t>GCA_965179075</t>
  </si>
  <si>
    <t>CBCXXF010000001-CBCXXF010000071</t>
  </si>
  <si>
    <t>C-K363-M</t>
  </si>
  <si>
    <t>665</t>
  </si>
  <si>
    <t>ERR14660662</t>
  </si>
  <si>
    <t>GCA_965178855</t>
  </si>
  <si>
    <t>CBCXWP010000001-CBCXWP010000076</t>
  </si>
  <si>
    <t>C-K365-B</t>
  </si>
  <si>
    <t>ERR14660663</t>
  </si>
  <si>
    <t>GCA_965178955</t>
  </si>
  <si>
    <t>CBCXWU010000001-CBCXWU010000152</t>
  </si>
  <si>
    <t>C-K365-M</t>
  </si>
  <si>
    <t>2325</t>
  </si>
  <si>
    <t>ERR14660664</t>
  </si>
  <si>
    <t>GCA_965178905</t>
  </si>
  <si>
    <t>CBCXWM010000001-CBCXWM010000150</t>
  </si>
  <si>
    <t>C-K366-M</t>
  </si>
  <si>
    <t>ERR14660666</t>
  </si>
  <si>
    <t>GCA_965179475</t>
  </si>
  <si>
    <t>CBCXYN010000001-CBCXYN010000094</t>
  </si>
  <si>
    <t>C-K372-B.2</t>
  </si>
  <si>
    <t>ERR14660670</t>
  </si>
  <si>
    <t>GCA_965179555</t>
  </si>
  <si>
    <t>CBCXXW010000001-CBCXXW010000231</t>
  </si>
  <si>
    <t>C-K372-M</t>
  </si>
  <si>
    <t>3268</t>
  </si>
  <si>
    <t>ERR14660671</t>
  </si>
  <si>
    <t>GCA_965179395</t>
  </si>
  <si>
    <t>CBCXXZ010000001-CBCXXZ010000086</t>
  </si>
  <si>
    <t>C-K373-B</t>
  </si>
  <si>
    <t>2280</t>
  </si>
  <si>
    <t>ERR14660672</t>
  </si>
  <si>
    <t>GCA_965179375</t>
  </si>
  <si>
    <t>CBCXXA010000001-CBCXXA010000098</t>
  </si>
  <si>
    <t>C-K373-M</t>
  </si>
  <si>
    <t>ERR14660673</t>
  </si>
  <si>
    <t>GCA_965178935</t>
  </si>
  <si>
    <t>CBCXYZ010000001-CBCXYZ010000159</t>
  </si>
  <si>
    <t>C-K374-M</t>
  </si>
  <si>
    <t>3045</t>
  </si>
  <si>
    <t>ERR14660675</t>
  </si>
  <si>
    <t>GCA_965179455</t>
  </si>
  <si>
    <t>CBCXYA010000001-CBCXYA010000116</t>
  </si>
  <si>
    <t>C-K380-M</t>
  </si>
  <si>
    <t>6361</t>
  </si>
  <si>
    <t>ERR14660677</t>
  </si>
  <si>
    <t>GCA_965179415</t>
  </si>
  <si>
    <t>CBCXXX010000001-CBCXXX010000121</t>
  </si>
  <si>
    <t>C-K385-B.2</t>
  </si>
  <si>
    <t>156</t>
  </si>
  <si>
    <t>ERR14660681</t>
  </si>
  <si>
    <t>GCA_965179265</t>
  </si>
  <si>
    <t>CBCXXE010000001-CBCXXE010000114</t>
  </si>
  <si>
    <t>C-K385-B.3</t>
  </si>
  <si>
    <t>ERR14660682</t>
  </si>
  <si>
    <t>GCA_965179335</t>
  </si>
  <si>
    <t>CBCXXN010000001-CBCXXN010000088</t>
  </si>
  <si>
    <t>C-K385-M</t>
  </si>
  <si>
    <t>ERR14660683</t>
  </si>
  <si>
    <t>GCA_965179295</t>
  </si>
  <si>
    <t>CBCXXR010000001-CBCXXR010000137</t>
  </si>
  <si>
    <t>C-K387-M</t>
  </si>
  <si>
    <t>200</t>
  </si>
  <si>
    <t>ERR14660686</t>
  </si>
  <si>
    <t>GCA_965179515</t>
  </si>
  <si>
    <t>CBCXZI010000001-CBCXZI010000204</t>
  </si>
  <si>
    <t>C-K390-B.1</t>
  </si>
  <si>
    <t>ERR14660687</t>
  </si>
  <si>
    <t>GCA_965178795</t>
  </si>
  <si>
    <t>CBCXZB010000001-CBCXZB010000144</t>
  </si>
  <si>
    <t>C-K390-B.2</t>
  </si>
  <si>
    <t>ERR14660688</t>
  </si>
  <si>
    <t>GCA_965179185</t>
  </si>
  <si>
    <t>CBCXYO010000001-CBCXYO010000115</t>
  </si>
  <si>
    <t>C-K390-M</t>
  </si>
  <si>
    <t>ERR14660689</t>
  </si>
  <si>
    <t>GCA_965178805</t>
  </si>
  <si>
    <t>CBCXXV010000001-CBCXXV010000187</t>
  </si>
  <si>
    <t>C-K392-M</t>
  </si>
  <si>
    <t>ERR14660691</t>
  </si>
  <si>
    <t>GCA_965179535</t>
  </si>
  <si>
    <t>CBCXYY010000001-CBCXYY010000199</t>
  </si>
  <si>
    <t>C-K397-B</t>
  </si>
  <si>
    <t>ERR14660692</t>
  </si>
  <si>
    <t>GCA_965179005</t>
  </si>
  <si>
    <t>CBCXYV010000001-CBCXYV010000127</t>
  </si>
  <si>
    <t>C-K397-M</t>
  </si>
  <si>
    <t>69</t>
  </si>
  <si>
    <t>ERR14660693</t>
  </si>
  <si>
    <t>GCA_965178835</t>
  </si>
  <si>
    <t>CBCXZF010000001-CBCXZF010000336</t>
  </si>
  <si>
    <t>C-K401-B</t>
  </si>
  <si>
    <t>ERR14660696</t>
  </si>
  <si>
    <t>GCA_965178945</t>
  </si>
  <si>
    <t>CBCXYU010000001-CBCXYU010000129</t>
  </si>
  <si>
    <t>C-K401-M</t>
  </si>
  <si>
    <t>ERR14660697</t>
  </si>
  <si>
    <t>GCA_965178985</t>
  </si>
  <si>
    <t>CBCXWR010000001-CBCXWR010000176</t>
  </si>
  <si>
    <t>C-K405-B</t>
  </si>
  <si>
    <t>1193</t>
  </si>
  <si>
    <t>ERR14660698</t>
  </si>
  <si>
    <t>GCA_965179125</t>
  </si>
  <si>
    <t>CBCXYC010000001-CBCXYC010000090</t>
  </si>
  <si>
    <t>C-K405-M</t>
  </si>
  <si>
    <t>6143</t>
  </si>
  <si>
    <t>ERR14660699</t>
  </si>
  <si>
    <t>GCA_965178875</t>
  </si>
  <si>
    <t>CBCXXI010000001-CBCXXI010000197</t>
  </si>
  <si>
    <t>C-K416-B</t>
  </si>
  <si>
    <t>ERR14660703</t>
  </si>
  <si>
    <t>GCA_965179385</t>
  </si>
  <si>
    <t>CBCXYG010000001-CBCXYG010000144</t>
  </si>
  <si>
    <t>C-K416-M</t>
  </si>
  <si>
    <t>ERR14660704</t>
  </si>
  <si>
    <t>GCA_965179425</t>
  </si>
  <si>
    <t>CBCXZC010000001-CBCXZC010000128</t>
  </si>
  <si>
    <t>C-K423-B</t>
  </si>
  <si>
    <t>ERR14660705</t>
  </si>
  <si>
    <t>GCA_965179225</t>
  </si>
  <si>
    <t>CBCXWT010000001-CBCXWT010000103</t>
  </si>
  <si>
    <t>C-K423-M</t>
  </si>
  <si>
    <t>421</t>
  </si>
  <si>
    <t>ERR14660706</t>
  </si>
  <si>
    <t>GCA_965179445</t>
  </si>
  <si>
    <t>CBCXYW010000001-CBCXYW010000256</t>
  </si>
  <si>
    <t>C-K424-M</t>
  </si>
  <si>
    <t>58</t>
  </si>
  <si>
    <t>ERR14660708</t>
  </si>
  <si>
    <t>GCA_965179435</t>
  </si>
  <si>
    <t>CBCXXJ010000001-CBCXXJ010000085</t>
  </si>
  <si>
    <t>C-K430-B</t>
  </si>
  <si>
    <t>ERR14660711</t>
  </si>
  <si>
    <t>GCA_965179365</t>
  </si>
  <si>
    <t>CBCXZJ010000001-CBCXZJ010000218</t>
  </si>
  <si>
    <t>C-K430-M</t>
  </si>
  <si>
    <t>224</t>
  </si>
  <si>
    <t>ERR14660712</t>
  </si>
  <si>
    <t>GCA_965179465</t>
  </si>
  <si>
    <t>CBCXXM010000001-CBCXXM010000076</t>
  </si>
  <si>
    <t>C-K431-M</t>
  </si>
  <si>
    <t>196</t>
  </si>
  <si>
    <t>ERR14660714</t>
  </si>
  <si>
    <t>GCA_965179155</t>
  </si>
  <si>
    <t>CBCXXD010000001-CBCXXD010000075</t>
  </si>
  <si>
    <t>C-K434-B</t>
  </si>
  <si>
    <t>ERR14660715</t>
  </si>
  <si>
    <t>GCA_965179205</t>
  </si>
  <si>
    <t>CBCXWW010000001-CBCXWW010000123</t>
  </si>
  <si>
    <t>C-K434-M</t>
  </si>
  <si>
    <t>2076</t>
  </si>
  <si>
    <t>ERR14660716</t>
  </si>
  <si>
    <t>GCA_965179175</t>
  </si>
  <si>
    <t>CBCXZA010000001-CBCXZA010000363</t>
  </si>
  <si>
    <t>C-K443-M</t>
  </si>
  <si>
    <t>7394</t>
  </si>
  <si>
    <t>ERR14660718</t>
  </si>
  <si>
    <t>GCA_965179545</t>
  </si>
  <si>
    <t>CBCXYH010000001-CBCXYH010000088</t>
  </si>
  <si>
    <t>C-K445-B.2</t>
  </si>
  <si>
    <t>ERR14660720</t>
  </si>
  <si>
    <t>GCA_965178765</t>
  </si>
  <si>
    <t>CBCXWL010000001-CBCXWL010000128</t>
  </si>
  <si>
    <t>C-K445-M</t>
  </si>
  <si>
    <t>3052</t>
  </si>
  <si>
    <t>ERR14660721</t>
  </si>
  <si>
    <t>GCA_965178775</t>
  </si>
  <si>
    <t>CBCXWS010000001-CBCXWS010000110</t>
  </si>
  <si>
    <t>C-P273-B</t>
  </si>
  <si>
    <t>7590</t>
  </si>
  <si>
    <t>ERR14660722</t>
  </si>
  <si>
    <t>GCA_965179215</t>
  </si>
  <si>
    <t>CBCXWZ010000001-CBCXWZ010000107</t>
  </si>
  <si>
    <t>C-P273-M</t>
  </si>
  <si>
    <t>ERR2538183</t>
  </si>
  <si>
    <t>GCA_965178555</t>
  </si>
  <si>
    <t>CBCXWJ010000001-CBCXWJ010000131</t>
  </si>
  <si>
    <t>C-P277-B</t>
  </si>
  <si>
    <t>141</t>
  </si>
  <si>
    <t>ERR14660723</t>
  </si>
  <si>
    <t>GCA_965179525</t>
  </si>
  <si>
    <t>CBCXXS010000001-CBCXXS010000131</t>
  </si>
  <si>
    <t>C-P277-M</t>
  </si>
  <si>
    <t>540</t>
  </si>
  <si>
    <t>ERR14660724</t>
  </si>
  <si>
    <t>GCA_965179195</t>
  </si>
  <si>
    <t>CBCXXK010000001-CBCXXK010000130</t>
  </si>
  <si>
    <t>C-P290-M</t>
  </si>
  <si>
    <t>ERR2538190</t>
  </si>
  <si>
    <t>GCA_965178885</t>
  </si>
  <si>
    <t>CBCXXT010000001-CBCXXT010000155</t>
  </si>
  <si>
    <t>C-P302-B</t>
  </si>
  <si>
    <t>ERR14660726</t>
  </si>
  <si>
    <t>GCA_965179115</t>
  </si>
  <si>
    <t>CBCXXG010000001-CBCXXG010000131</t>
  </si>
  <si>
    <t>C-P302-M</t>
  </si>
  <si>
    <t>5044</t>
  </si>
  <si>
    <t>ERR2538195</t>
  </si>
  <si>
    <t>GCA_965179105</t>
  </si>
  <si>
    <t>CBCXWN010000001-CBCXWN010000176</t>
  </si>
  <si>
    <t>C-P311-M</t>
  </si>
  <si>
    <t>ERR14660728</t>
  </si>
  <si>
    <t>GCA_965179025</t>
  </si>
  <si>
    <t>CBCXXL010000001-CBCXXL010000116</t>
  </si>
  <si>
    <t>C-P313-B</t>
  </si>
  <si>
    <t>969</t>
  </si>
  <si>
    <t>ERR14660729</t>
  </si>
  <si>
    <t>GCA_965178845</t>
  </si>
  <si>
    <t>CBCXYE010000001-CBCXYE010000134</t>
  </si>
  <si>
    <t>C-P313-M</t>
  </si>
  <si>
    <t>ERR2538198</t>
  </si>
  <si>
    <t>GCA_965182065</t>
  </si>
  <si>
    <t>CBCYJQ010000001-CBCYJQ010000219</t>
  </si>
  <si>
    <t>C-P321-M</t>
  </si>
  <si>
    <t>ERR14661167</t>
  </si>
  <si>
    <t>GCA_965182055</t>
  </si>
  <si>
    <t>CBCYJD010000001-CBCYJD010000073</t>
  </si>
  <si>
    <t>C-P327-B.2</t>
  </si>
  <si>
    <t>216</t>
  </si>
  <si>
    <t>ERR14660732</t>
  </si>
  <si>
    <t>GCA_965180805</t>
  </si>
  <si>
    <t>CBCYDX010000001-CBCYDX010000119</t>
  </si>
  <si>
    <t>C-P327-M</t>
  </si>
  <si>
    <t>43</t>
  </si>
  <si>
    <t>ERR2538202</t>
  </si>
  <si>
    <t>GCA_965180465</t>
  </si>
  <si>
    <t>CBCYCD010000001-CBCYCD010000185</t>
  </si>
  <si>
    <t>C-P328-M</t>
  </si>
  <si>
    <t>6303</t>
  </si>
  <si>
    <t>ERR2539424</t>
  </si>
  <si>
    <t>GCA_965180455</t>
  </si>
  <si>
    <t>CBCYDE010000001-CBCYDE010000201</t>
  </si>
  <si>
    <t>C-P330-B</t>
  </si>
  <si>
    <t>998</t>
  </si>
  <si>
    <t>ERR14660734</t>
  </si>
  <si>
    <t>GCA_965180785</t>
  </si>
  <si>
    <t>CBCYEG010000001-CBCYEG010000126</t>
  </si>
  <si>
    <t>C-P330-M</t>
  </si>
  <si>
    <t>ERR14660735</t>
  </si>
  <si>
    <t>GCA_965180445</t>
  </si>
  <si>
    <t>CBCYCX010000001-CBCYCX010000168</t>
  </si>
  <si>
    <t>C-P334-B</t>
  </si>
  <si>
    <t>ERR14660738</t>
  </si>
  <si>
    <t>GCA_965180435</t>
  </si>
  <si>
    <t>CBCYDC010000001-CBCYDC010000168</t>
  </si>
  <si>
    <t>C-P334-M</t>
  </si>
  <si>
    <t>442</t>
  </si>
  <si>
    <t>ERR2538204</t>
  </si>
  <si>
    <t>GCA_965182815</t>
  </si>
  <si>
    <t>CBCYMN010000001-CBCYMN010000171</t>
  </si>
  <si>
    <t>C-P337-B</t>
  </si>
  <si>
    <t>617</t>
  </si>
  <si>
    <t>ERR14660739</t>
  </si>
  <si>
    <t>GCA_965182775</t>
  </si>
  <si>
    <t>CBCYLP010000001-CBCYLP010000121</t>
  </si>
  <si>
    <t>C-P337-M</t>
  </si>
  <si>
    <t>ERR14660740</t>
  </si>
  <si>
    <t>GCA_965183495</t>
  </si>
  <si>
    <t>CBDACO010000001-CBDACO010000153</t>
  </si>
  <si>
    <t>C-P339-B.1</t>
  </si>
  <si>
    <t>ERR14660744</t>
  </si>
  <si>
    <t>GCA_965182895</t>
  </si>
  <si>
    <t>CBCYNA010000001-CBCYNA010000182</t>
  </si>
  <si>
    <t>C-P339-B.2</t>
  </si>
  <si>
    <t>ERR14660745</t>
  </si>
  <si>
    <t>GCA_965181315</t>
  </si>
  <si>
    <t>CBCYGN010000001-CBCYGN010000181</t>
  </si>
  <si>
    <t>C-P339-M</t>
  </si>
  <si>
    <t>ERR14660746</t>
  </si>
  <si>
    <t>GCA_965182875</t>
  </si>
  <si>
    <t>CBCYNC010000001-CBCYNC010000121</t>
  </si>
  <si>
    <t>C-P342-B</t>
  </si>
  <si>
    <t>2040</t>
  </si>
  <si>
    <t>ERR14660747</t>
  </si>
  <si>
    <t>GCA_965181305</t>
  </si>
  <si>
    <t>CBCYFX010000001-CBCYFX010000149</t>
  </si>
  <si>
    <t>C-P342-M</t>
  </si>
  <si>
    <t>ERR2538207</t>
  </si>
  <si>
    <t>GCA_965180475</t>
  </si>
  <si>
    <t>CBCYCH010000001-CBCYCH010000180</t>
  </si>
  <si>
    <t>C-P348-B</t>
  </si>
  <si>
    <t>ERR14660748</t>
  </si>
  <si>
    <t>GCA_965181295</t>
  </si>
  <si>
    <t>CBCYGL010000001-CBCYGL010000100</t>
  </si>
  <si>
    <t>C-P348-M</t>
  </si>
  <si>
    <t>ERR2538208</t>
  </si>
  <si>
    <t>GCA_965180425</t>
  </si>
  <si>
    <t>CBCYCJ010000001-CBCYCJ010000136</t>
  </si>
  <si>
    <t>C-P349-B</t>
  </si>
  <si>
    <t>ERR14660749</t>
  </si>
  <si>
    <t>GCA_965180415</t>
  </si>
  <si>
    <t>CBCYBD010000001-CBCYBD010000100</t>
  </si>
  <si>
    <t>C-P349-M</t>
  </si>
  <si>
    <t>ERR14660750</t>
  </si>
  <si>
    <t>GCA_965181285</t>
  </si>
  <si>
    <t>CBCYGI010000001-CBCYGI010000156</t>
  </si>
  <si>
    <t>C-P352-B.1</t>
  </si>
  <si>
    <t>ERR14660751</t>
  </si>
  <si>
    <t>GCA_965180405</t>
  </si>
  <si>
    <t>CBCYCI010000001-CBCYCI010000131</t>
  </si>
  <si>
    <t>C-P352-B.2</t>
  </si>
  <si>
    <t>ERR14660752</t>
  </si>
  <si>
    <t>GCA_965181275</t>
  </si>
  <si>
    <t>CBCYFL010000001-CBCYFL010000106</t>
  </si>
  <si>
    <t>C-P355-B</t>
  </si>
  <si>
    <t>ERR14660754</t>
  </si>
  <si>
    <t>GCA_965181265</t>
  </si>
  <si>
    <t>CBCYFO010000001-CBCYFO010000107</t>
  </si>
  <si>
    <t>C-P355-M</t>
  </si>
  <si>
    <t>2003</t>
  </si>
  <si>
    <t>ERR2538209</t>
  </si>
  <si>
    <t>GCA_965181255</t>
  </si>
  <si>
    <t>CBCYGM010000001-CBCYGM010000146</t>
  </si>
  <si>
    <t>C-P362-B.1</t>
  </si>
  <si>
    <t>46</t>
  </si>
  <si>
    <t>ERR14660757</t>
  </si>
  <si>
    <t>GCA_965181245</t>
  </si>
  <si>
    <t>CBCYFG010000001-CBCYFG010000128</t>
  </si>
  <si>
    <t>C-P362-B.2</t>
  </si>
  <si>
    <t>ERR14660758</t>
  </si>
  <si>
    <t>GCA_965182455</t>
  </si>
  <si>
    <t>CBCYJW010000001-CBCYJW010000101</t>
  </si>
  <si>
    <t>C-P362-M</t>
  </si>
  <si>
    <t>ERR14660759</t>
  </si>
  <si>
    <t>GCA_965181015</t>
  </si>
  <si>
    <t>CBCYEY010000001-CBCYEY010000206</t>
  </si>
  <si>
    <t>C-P363-B</t>
  </si>
  <si>
    <t>ERR14660760</t>
  </si>
  <si>
    <t>GCA_965182445</t>
  </si>
  <si>
    <t>CBCYKP010000001-CBCYKP010000184</t>
  </si>
  <si>
    <t>C-P363-M</t>
  </si>
  <si>
    <t>ERR14660761</t>
  </si>
  <si>
    <t>GCA_965180645</t>
  </si>
  <si>
    <t>CBCYDY010000001-CBCYDY010000342</t>
  </si>
  <si>
    <t>C-P366-B.1</t>
  </si>
  <si>
    <t>ERR14660762</t>
  </si>
  <si>
    <t>GCA_965182475</t>
  </si>
  <si>
    <t>CBCYKM010000001-CBCYKM010000153</t>
  </si>
  <si>
    <t>C-P366-B.2</t>
  </si>
  <si>
    <t>13</t>
  </si>
  <si>
    <t>ERR14660763</t>
  </si>
  <si>
    <t>GCA_965180635</t>
  </si>
  <si>
    <t>CBCYDZ010000001-CBCYDZ010000183</t>
  </si>
  <si>
    <t>C-P366-M</t>
  </si>
  <si>
    <t>ERR2538212</t>
  </si>
  <si>
    <t>GCA_965182465</t>
  </si>
  <si>
    <t>CBCYLE010000001-CBCYLE010000201</t>
  </si>
  <si>
    <t>C-P368-B</t>
  </si>
  <si>
    <t>1722</t>
  </si>
  <si>
    <t>ERR14660764</t>
  </si>
  <si>
    <t>GCA_965180625</t>
  </si>
  <si>
    <t>CBCYDO010000001-CBCYDO010000071</t>
  </si>
  <si>
    <t>C-P368-M</t>
  </si>
  <si>
    <t>716</t>
  </si>
  <si>
    <t>ERR14660765</t>
  </si>
  <si>
    <t>GCA_965181535</t>
  </si>
  <si>
    <t>CBCYGR010000001-CBCYGR010000142</t>
  </si>
  <si>
    <t>M-A156-B</t>
  </si>
  <si>
    <t>ERR14660770</t>
  </si>
  <si>
    <t>GCA_965180595</t>
  </si>
  <si>
    <t>CBCYCR010000001-CBCYCR010000163</t>
  </si>
  <si>
    <t>M-A156-M</t>
  </si>
  <si>
    <t>3018</t>
  </si>
  <si>
    <t>ERR14660771</t>
  </si>
  <si>
    <t>GCA_965180585</t>
  </si>
  <si>
    <t>CBCYCF010000001-CBCYCF010000071</t>
  </si>
  <si>
    <t>M-A157-B</t>
  </si>
  <si>
    <t>ERR14660772</t>
  </si>
  <si>
    <t>GCA_965181625</t>
  </si>
  <si>
    <t>CBCYHM010000001-CBCYHM010000099</t>
  </si>
  <si>
    <t>M-A157-M</t>
  </si>
  <si>
    <t>ERR14660773</t>
  </si>
  <si>
    <t>GCA_965180575</t>
  </si>
  <si>
    <t>CBCYDF010000001-CBCYDF010000152</t>
  </si>
  <si>
    <t>M-M022-M</t>
  </si>
  <si>
    <t>ERR14660777</t>
  </si>
  <si>
    <t>GCA_965181475</t>
  </si>
  <si>
    <t>CBCYGU010000001-CBCYGU010000149</t>
  </si>
  <si>
    <t>M-M047-M</t>
  </si>
  <si>
    <t>12780</t>
  </si>
  <si>
    <t>ERR14660779</t>
  </si>
  <si>
    <t>GCA_965183595</t>
  </si>
  <si>
    <t>CBDACB010000001-CBDACB010000179</t>
  </si>
  <si>
    <t>M-M052-M.2</t>
  </si>
  <si>
    <t>ERR14660783</t>
  </si>
  <si>
    <t>GCA_965180345</t>
  </si>
  <si>
    <t>CBCYCS010000001-CBCYCS010000122</t>
  </si>
  <si>
    <t>M-M071-M.2</t>
  </si>
  <si>
    <t>12815</t>
  </si>
  <si>
    <t>ERR14660787</t>
  </si>
  <si>
    <t>GCA_965183135</t>
  </si>
  <si>
    <t>CBDAAY010000001-CBDAAY010000093</t>
  </si>
  <si>
    <t>M-M100-M.1</t>
  </si>
  <si>
    <t>48</t>
  </si>
  <si>
    <t>ERR14660793</t>
  </si>
  <si>
    <t>GCA_965179915</t>
  </si>
  <si>
    <t>CBCYBL010000001-CBCYBL010000164</t>
  </si>
  <si>
    <t>M-M104-M.1</t>
  </si>
  <si>
    <t>3580</t>
  </si>
  <si>
    <t>ERR14660799</t>
  </si>
  <si>
    <t>GCA_965182865</t>
  </si>
  <si>
    <t>CBCYMS010000001-CBCYMS010000092</t>
  </si>
  <si>
    <t>M-M108-B.1</t>
  </si>
  <si>
    <t>ERR14660801</t>
  </si>
  <si>
    <t>GCA_965181885</t>
  </si>
  <si>
    <t>CBCYIL010000001-CBCYIL010000093</t>
  </si>
  <si>
    <t>M-M108-M.2</t>
  </si>
  <si>
    <t>ERR14660804</t>
  </si>
  <si>
    <t>GCA_965182835</t>
  </si>
  <si>
    <t>CBCYMC010000001-CBCYMC010000140</t>
  </si>
  <si>
    <t>M-M109-M.1</t>
  </si>
  <si>
    <t>ERR14660807</t>
  </si>
  <si>
    <t>GCA_965181415</t>
  </si>
  <si>
    <t>CBCYGD010000001-CBCYGD010000101</t>
  </si>
  <si>
    <t>M-M110-M</t>
  </si>
  <si>
    <t>656</t>
  </si>
  <si>
    <t>ERR14660810</t>
  </si>
  <si>
    <t>GCA_965183545</t>
  </si>
  <si>
    <t>CBDACZ010000001-CBDACZ010000237</t>
  </si>
  <si>
    <t>M-M111-B</t>
  </si>
  <si>
    <t>ERR14660811</t>
  </si>
  <si>
    <t>GCA_965181125</t>
  </si>
  <si>
    <t>CBCYGA010000001-CBCYGA010000114</t>
  </si>
  <si>
    <t>M-M111-M</t>
  </si>
  <si>
    <t>3489</t>
  </si>
  <si>
    <t>ERR14660812</t>
  </si>
  <si>
    <t>GCA_965181115</t>
  </si>
  <si>
    <t>CBCYEW010000001-CBCYEW010000059</t>
  </si>
  <si>
    <t>M-M123-M</t>
  </si>
  <si>
    <t>ERR14660814</t>
  </si>
  <si>
    <t>GCA_965181135</t>
  </si>
  <si>
    <t>CBCYFD010000001-CBCYFD010000111</t>
  </si>
  <si>
    <t>M-M134-M</t>
  </si>
  <si>
    <t>ERR14660816</t>
  </si>
  <si>
    <t>GCA_965181105</t>
  </si>
  <si>
    <t>CBCYFT010000001-CBCYFT010000133</t>
  </si>
  <si>
    <t>M-M137-M.1</t>
  </si>
  <si>
    <t>ERR14660818</t>
  </si>
  <si>
    <t>GCA_965183665</t>
  </si>
  <si>
    <t>CBDACY010000001-CBDACY010000067</t>
  </si>
  <si>
    <t>M-M144-M.1</t>
  </si>
  <si>
    <t>ERR14660822</t>
  </si>
  <si>
    <t>GCA_965180945</t>
  </si>
  <si>
    <t>CBCYFA010000001-CBCYFA010000132</t>
  </si>
  <si>
    <t>M-M144-M.2</t>
  </si>
  <si>
    <t>12822</t>
  </si>
  <si>
    <t>ERR14660823</t>
  </si>
  <si>
    <t>GCA_965183465</t>
  </si>
  <si>
    <t>CBDABS010000001-CBDABS010000196</t>
  </si>
  <si>
    <t>M-M146-B.1</t>
  </si>
  <si>
    <t>ERR14660824</t>
  </si>
  <si>
    <t>GCA_965183445</t>
  </si>
  <si>
    <t>CBDACN010000001-CBDACN010000124</t>
  </si>
  <si>
    <t>M-M146-M</t>
  </si>
  <si>
    <t>ERR14660829</t>
  </si>
  <si>
    <t>GCA_965181525</t>
  </si>
  <si>
    <t>CBCYHC010000001-CBCYHC010000123</t>
  </si>
  <si>
    <t>M-M157-M</t>
  </si>
  <si>
    <t>2852</t>
  </si>
  <si>
    <t>ERR14660830</t>
  </si>
  <si>
    <t>GCA_965181515</t>
  </si>
  <si>
    <t>CBCYGO010000001-CBCYGO010000087</t>
  </si>
  <si>
    <t>M-M162-M.1</t>
  </si>
  <si>
    <t>ERR14660832</t>
  </si>
  <si>
    <t>GCA_965183405</t>
  </si>
  <si>
    <t>CBDABW010000001-CBDABW010000113</t>
  </si>
  <si>
    <t>M-M271-M.1</t>
  </si>
  <si>
    <t>ERR14660840</t>
  </si>
  <si>
    <t>GCA_965179795</t>
  </si>
  <si>
    <t>CBCXZV010000001-CBCXZV010000149</t>
  </si>
  <si>
    <t>M-Mo056-B.1</t>
  </si>
  <si>
    <t>ERR14660842</t>
  </si>
  <si>
    <t>GCA_965179665</t>
  </si>
  <si>
    <t>CBCXZZ010000001-CBCXZZ010000145</t>
  </si>
  <si>
    <t>M-Mo056-B.2</t>
  </si>
  <si>
    <t>ERR14660843</t>
  </si>
  <si>
    <t>GCA_965179765</t>
  </si>
  <si>
    <t>CBCXZY010000001-CBCXZY010000135</t>
  </si>
  <si>
    <t>M-Mo056-M</t>
  </si>
  <si>
    <t>ERR14660844</t>
  </si>
  <si>
    <t>GCA_965181235</t>
  </si>
  <si>
    <t>CBCYGH010000001-CBCYGH010000145</t>
  </si>
  <si>
    <t>M-Mo073-B.2</t>
  </si>
  <si>
    <t>1598</t>
  </si>
  <si>
    <t>ERR14660846</t>
  </si>
  <si>
    <t>GCA_965181225</t>
  </si>
  <si>
    <t>CBCYFI010000001-CBCYFI010000232</t>
  </si>
  <si>
    <t>M-Mo073-B.3</t>
  </si>
  <si>
    <t>ERR14660847</t>
  </si>
  <si>
    <t>GCA_965181555</t>
  </si>
  <si>
    <t>CBCYGS010000001-CBCYGS010000228</t>
  </si>
  <si>
    <t>M-Mo073-M</t>
  </si>
  <si>
    <t>ERR14660849</t>
  </si>
  <si>
    <t>GCA_965181545</t>
  </si>
  <si>
    <t>CBCYGQ010000001-CBCYGQ010000222</t>
  </si>
  <si>
    <t>M-Mo078-B.1</t>
  </si>
  <si>
    <t>ERR14660850</t>
  </si>
  <si>
    <t>GCA_965182165</t>
  </si>
  <si>
    <t>CBCYJN010000001-CBCYJN010000181</t>
  </si>
  <si>
    <t>M-Mo078-B.2</t>
  </si>
  <si>
    <t>ERR14660851</t>
  </si>
  <si>
    <t>GCA_965183115</t>
  </si>
  <si>
    <t>CBCZTW010000001-CBCZTW010000079</t>
  </si>
  <si>
    <t>M-Mo078-M.1</t>
  </si>
  <si>
    <t>ERR14660854</t>
  </si>
  <si>
    <t>GCA_965182225</t>
  </si>
  <si>
    <t>CBCYJG010000001-CBCYJG010000051</t>
  </si>
  <si>
    <t>M-Mo088-M</t>
  </si>
  <si>
    <t>ERR14660857</t>
  </si>
  <si>
    <t>GCA_965181185</t>
  </si>
  <si>
    <t>CBCYFN010000001-CBCYFN010000063</t>
  </si>
  <si>
    <t>M-Mo142-B</t>
  </si>
  <si>
    <t>ERR14660858</t>
  </si>
  <si>
    <t>GCA_965179575</t>
  </si>
  <si>
    <t>CBCYAA010000001-CBCYAA010000074</t>
  </si>
  <si>
    <t>M-Mo142-M</t>
  </si>
  <si>
    <t>ERR14660859</t>
  </si>
  <si>
    <t>GCA_965179705</t>
  </si>
  <si>
    <t>CBCXZS010000001-CBCXZS010000100</t>
  </si>
  <si>
    <t>M-Mo172-B.1</t>
  </si>
  <si>
    <t>2521</t>
  </si>
  <si>
    <t>ERR14660860</t>
  </si>
  <si>
    <t>GCA_965183585</t>
  </si>
  <si>
    <t>CBDACD010000001-CBDACD010000060</t>
  </si>
  <si>
    <t>M-Mo172-B.2</t>
  </si>
  <si>
    <t>ERR14660861</t>
  </si>
  <si>
    <t>GCA_965183565</t>
  </si>
  <si>
    <t>CBDACK010000001-CBDACK010000061</t>
  </si>
  <si>
    <t>M-Mo172-M.2</t>
  </si>
  <si>
    <t>ERR14660863</t>
  </si>
  <si>
    <t>GCA_965183055</t>
  </si>
  <si>
    <t>CBCZYL010000001-CBCZYL010000054</t>
  </si>
  <si>
    <t>M-Mo178-B.1</t>
  </si>
  <si>
    <t>1312</t>
  </si>
  <si>
    <t>ERR14660865</t>
  </si>
  <si>
    <t>GCA_965179905</t>
  </si>
  <si>
    <t>CBCYAN010000001-CBCYAN010000194</t>
  </si>
  <si>
    <t>M-Mo178-B.2</t>
  </si>
  <si>
    <t>ERR14660866</t>
  </si>
  <si>
    <t>GCA_965182205</t>
  </si>
  <si>
    <t>CBCYJF010000001-CBCYJF010000169</t>
  </si>
  <si>
    <t>M-Mo178-M</t>
  </si>
  <si>
    <t>ERR14660869</t>
  </si>
  <si>
    <t>GCA_965180305</t>
  </si>
  <si>
    <t>CBCYBP010000001-CBCYBP010000161</t>
  </si>
  <si>
    <t>M-Mo179-B.1</t>
  </si>
  <si>
    <t>206</t>
  </si>
  <si>
    <t>ERR14660870</t>
  </si>
  <si>
    <t>GCA_965180295</t>
  </si>
  <si>
    <t>CBCYCA010000001-CBCYCA010000147</t>
  </si>
  <si>
    <t>M-Mo179-B.2</t>
  </si>
  <si>
    <t>ERR14660871</t>
  </si>
  <si>
    <t>GCA_965182185</t>
  </si>
  <si>
    <t>CBCYJO010000001-CBCYJO010000156</t>
  </si>
  <si>
    <t>M-Mo179-M</t>
  </si>
  <si>
    <t>ERR14660872</t>
  </si>
  <si>
    <t>GCA_965182045</t>
  </si>
  <si>
    <t>CBCYIY010000001-CBCYIY010000164</t>
  </si>
  <si>
    <t>M-Mo181-M</t>
  </si>
  <si>
    <t>ERR14660874</t>
  </si>
  <si>
    <t>GCA_965182025</t>
  </si>
  <si>
    <t>CBCYIU010000001-CBCYIU010000108</t>
  </si>
  <si>
    <t>M-Mo228-B.1</t>
  </si>
  <si>
    <t>2705</t>
  </si>
  <si>
    <t>ERR14660875</t>
  </si>
  <si>
    <t>GCA_965183485</t>
  </si>
  <si>
    <t>CBDABT010000001-CBDABT010000087</t>
  </si>
  <si>
    <t>M-Mo228-B.2</t>
  </si>
  <si>
    <t>ERR14660876</t>
  </si>
  <si>
    <t>GCA_965182015</t>
  </si>
  <si>
    <t>CBCYIT010000001-CBCYIT010000093</t>
  </si>
  <si>
    <t>M-Mo228-M.2</t>
  </si>
  <si>
    <t>167</t>
  </si>
  <si>
    <t>ERR14660878</t>
  </si>
  <si>
    <t>GCA_965183535</t>
  </si>
  <si>
    <t>CBDACJ010000001-CBDACJ010000140</t>
  </si>
  <si>
    <t>M-Mo234-B</t>
  </si>
  <si>
    <t>ERR14660879</t>
  </si>
  <si>
    <t>GCA_965181995</t>
  </si>
  <si>
    <t>CBCYIS010000001-CBCYIS010000083</t>
  </si>
  <si>
    <t>M-Mo234-M</t>
  </si>
  <si>
    <t>ERR14660880</t>
  </si>
  <si>
    <t>GCA_965182495</t>
  </si>
  <si>
    <t>CBCYJY010000001-CBCYJY010000109</t>
  </si>
  <si>
    <t>M-Mo235-B.1</t>
  </si>
  <si>
    <t>ERR14660881</t>
  </si>
  <si>
    <t>GCA_965181985</t>
  </si>
  <si>
    <t>CBCYJJ010000001-CBCYJJ010000130</t>
  </si>
  <si>
    <t>M-Mo235-M.2</t>
  </si>
  <si>
    <t>ERR14660884</t>
  </si>
  <si>
    <t>GCA_965183375</t>
  </si>
  <si>
    <t>CBDACM010000001-CBDACM010000131</t>
  </si>
  <si>
    <t>C-K400-B</t>
  </si>
  <si>
    <t>7160</t>
  </si>
  <si>
    <t>ERR14660694</t>
  </si>
  <si>
    <t>GCA_965178915</t>
  </si>
  <si>
    <t>CBCXYM010000001-CBCXYM010000089</t>
  </si>
  <si>
    <t>C-K400-M</t>
  </si>
  <si>
    <t>ERR14660695</t>
  </si>
  <si>
    <t>GCA_965179085</t>
  </si>
  <si>
    <t>CBCXYR010000001-CBCXYR010000067</t>
  </si>
  <si>
    <t>C-K385-B.1</t>
  </si>
  <si>
    <t>Escherichia fergusonii</t>
  </si>
  <si>
    <t>ERR14660680</t>
  </si>
  <si>
    <t>GCA_965179035</t>
  </si>
  <si>
    <t>CBCXWO010000001-CBCXWO010000079</t>
  </si>
  <si>
    <t>M-M047-B</t>
  </si>
  <si>
    <t>Klebsiella michiganensis</t>
  </si>
  <si>
    <t>koxytoca</t>
  </si>
  <si>
    <t>82</t>
  </si>
  <si>
    <t>ERR14660778</t>
  </si>
  <si>
    <t>GCA_965181465</t>
  </si>
  <si>
    <t>CBCYIF010000001-CBCYIF010000159</t>
  </si>
  <si>
    <t>M-M109-B.2</t>
  </si>
  <si>
    <t>ERR14660806</t>
  </si>
  <si>
    <t>GCA_965182795</t>
  </si>
  <si>
    <t>CBCYNB010000001-CBCYNB010000075</t>
  </si>
  <si>
    <t>M-M162-B</t>
  </si>
  <si>
    <t>ERR14660831</t>
  </si>
  <si>
    <t>GCA_965183415</t>
  </si>
  <si>
    <t>CBDADI010000001-CBDADI010000177</t>
  </si>
  <si>
    <t>M-Mo078-B.3</t>
  </si>
  <si>
    <t>210</t>
  </si>
  <si>
    <t>ERR14660852</t>
  </si>
  <si>
    <t>GCA_965182235</t>
  </si>
  <si>
    <t>CBCYLK010000001-CBCYLK010000101</t>
  </si>
  <si>
    <t>M-Mo078-B.4</t>
  </si>
  <si>
    <t>ERR14660853</t>
  </si>
  <si>
    <t>GCA_965179655</t>
  </si>
  <si>
    <t>CBCYAL010000001-CBCYAL010000117</t>
  </si>
  <si>
    <t>C-K367-M</t>
  </si>
  <si>
    <t>Klebsiella pneumoniae</t>
  </si>
  <si>
    <t>klebsiella</t>
  </si>
  <si>
    <t>2473</t>
  </si>
  <si>
    <t>ERR14660668</t>
  </si>
  <si>
    <t>GCA_965178995</t>
  </si>
  <si>
    <t>CBCXYT010000001-CBCXYT010000158</t>
  </si>
  <si>
    <t>C-K381-B</t>
  </si>
  <si>
    <t>36</t>
  </si>
  <si>
    <t>ERR14660678</t>
  </si>
  <si>
    <t>GCA_965179045</t>
  </si>
  <si>
    <t>CBCXZG010000001-CBCXZG010000116</t>
  </si>
  <si>
    <t>C-P290-B</t>
  </si>
  <si>
    <t>42</t>
  </si>
  <si>
    <t>ERR14660725</t>
  </si>
  <si>
    <t>GCA_965179015</t>
  </si>
  <si>
    <t>CBCXZN010000001-CBCXZN010000095</t>
  </si>
  <si>
    <t>C-P327-B.1</t>
  </si>
  <si>
    <t>413</t>
  </si>
  <si>
    <t>ERR14660731</t>
  </si>
  <si>
    <t>GCA_965180815</t>
  </si>
  <si>
    <t>CBCYEI010000001-CBCYEI010000101</t>
  </si>
  <si>
    <t>C-P338-M</t>
  </si>
  <si>
    <t>4231</t>
  </si>
  <si>
    <t>ERR14660743</t>
  </si>
  <si>
    <t>GCA_965182905</t>
  </si>
  <si>
    <t>CBCYND010000001-CBCYND010000128</t>
  </si>
  <si>
    <t>C-P352-M</t>
  </si>
  <si>
    <t>15</t>
  </si>
  <si>
    <t>ERR14660753</t>
  </si>
  <si>
    <t>GCA_965180395</t>
  </si>
  <si>
    <t>CBCYDS010000001-CBCYDS010000174</t>
  </si>
  <si>
    <t>M-A047-M</t>
  </si>
  <si>
    <t>340</t>
  </si>
  <si>
    <t>ERR14660767</t>
  </si>
  <si>
    <t>GCA_965181605</t>
  </si>
  <si>
    <t>CBCYHY010000001-CBCYHY010000093</t>
  </si>
  <si>
    <t>M-A221-B</t>
  </si>
  <si>
    <t>ERR14660774</t>
  </si>
  <si>
    <t>GCA_965181505</t>
  </si>
  <si>
    <t>CBCYHS010000001-CBCYHS010000067</t>
  </si>
  <si>
    <t>M-M100-M.2</t>
  </si>
  <si>
    <t>7211</t>
  </si>
  <si>
    <t>ERR14660794</t>
  </si>
  <si>
    <t>GCA_965181875</t>
  </si>
  <si>
    <t>CBCYIM010000001-CBCYIM010000096</t>
  </si>
  <si>
    <t>M-M104-B</t>
  </si>
  <si>
    <t>14</t>
  </si>
  <si>
    <t>ERR14660798</t>
  </si>
  <si>
    <t>GCA_965181905</t>
  </si>
  <si>
    <t>CBCYJE010000001-CBCYJE010000070</t>
  </si>
  <si>
    <t>M-M104-M.2</t>
  </si>
  <si>
    <t>ERR14660800</t>
  </si>
  <si>
    <t>GCA_965181895</t>
  </si>
  <si>
    <t>CBCYIN010000001-CBCYIN010000095</t>
  </si>
  <si>
    <t>M-M109-M.2</t>
  </si>
  <si>
    <t>70</t>
  </si>
  <si>
    <t>ERR14660808</t>
  </si>
  <si>
    <t>GCA_965182785</t>
  </si>
  <si>
    <t>CBCYMW010000001-CBCYMW010000050</t>
  </si>
  <si>
    <t>M-M137-B</t>
  </si>
  <si>
    <t>711</t>
  </si>
  <si>
    <t>ERR14660817</t>
  </si>
  <si>
    <t>GCA_965181095</t>
  </si>
  <si>
    <t>CBCYGF010000001-CBCYGF010000059</t>
  </si>
  <si>
    <t>M-M137-M.2</t>
  </si>
  <si>
    <t>ERR14660819</t>
  </si>
  <si>
    <t>GCA_965183435</t>
  </si>
  <si>
    <t>CBDACV010000001-CBDACV010000045</t>
  </si>
  <si>
    <t>M-M146-B.2</t>
  </si>
  <si>
    <t>37</t>
  </si>
  <si>
    <t>ERR14660825</t>
  </si>
  <si>
    <t>GCA_965181355</t>
  </si>
  <si>
    <t>CBCYGX010000001-CBCYGX010000081</t>
  </si>
  <si>
    <t>M-M146-B.3</t>
  </si>
  <si>
    <t>ERR14660826</t>
  </si>
  <si>
    <t>GCA_965183395</t>
  </si>
  <si>
    <t>CBDACS010000001-CBDACS010000085</t>
  </si>
  <si>
    <t>M-M146-B.4</t>
  </si>
  <si>
    <t>ERR14660827</t>
  </si>
  <si>
    <t>GCA_965181345</t>
  </si>
  <si>
    <t>CBCYGW010000001-CBCYGW010000073</t>
  </si>
  <si>
    <t>M-M146-B.5</t>
  </si>
  <si>
    <t>ERR14660828</t>
  </si>
  <si>
    <t>GCA_965183385</t>
  </si>
  <si>
    <t>CBDACR010000001-CBDACR010000087</t>
  </si>
  <si>
    <t>M-M162-M.2</t>
  </si>
  <si>
    <t>ERR14660833</t>
  </si>
  <si>
    <t>GCA_965181155</t>
  </si>
  <si>
    <t>CBCYGK010000001-CBCYGK010000063</t>
  </si>
  <si>
    <t>M-M271-M.2</t>
  </si>
  <si>
    <t>39</t>
  </si>
  <si>
    <t>ERR14660841</t>
  </si>
  <si>
    <t>GCA_965180155</t>
  </si>
  <si>
    <t>CBCYCL010000001-CBCYCL010000065</t>
  </si>
  <si>
    <t>M-Mo073-B.1</t>
  </si>
  <si>
    <t>ERR14660845</t>
  </si>
  <si>
    <t>GCA_965181655</t>
  </si>
  <si>
    <t>CBCYHX010000001-CBCYHX010000098</t>
  </si>
  <si>
    <t>M-Mo073-B.4</t>
  </si>
  <si>
    <t>ERR14660848</t>
  </si>
  <si>
    <t>GCA_965181645</t>
  </si>
  <si>
    <t>CBCYHV010000001-CBCYHV010000106</t>
  </si>
  <si>
    <t>M-Mo078-M.2</t>
  </si>
  <si>
    <t>460</t>
  </si>
  <si>
    <t>ERR14660855</t>
  </si>
  <si>
    <t>GCA_965182215</t>
  </si>
  <si>
    <t>CBCYKN010000001-CBCYKN010000117</t>
  </si>
  <si>
    <t>M-Mo088-B</t>
  </si>
  <si>
    <t>ERR14660856</t>
  </si>
  <si>
    <t>GCA_965179625</t>
  </si>
  <si>
    <t>CBCYAH010000001-CBCYAH010000085</t>
  </si>
  <si>
    <t>M-Mo172-M.1</t>
  </si>
  <si>
    <t>789</t>
  </si>
  <si>
    <t>ERR14660862</t>
  </si>
  <si>
    <t>GCA_965182285</t>
  </si>
  <si>
    <t>CBCYKD010000001-CBCYKD010000091</t>
  </si>
  <si>
    <t>M-Mo178-B.3</t>
  </si>
  <si>
    <t>ERR14660867</t>
  </si>
  <si>
    <t>GCA_965182265</t>
  </si>
  <si>
    <t>CBCYKE010000001-CBCYKE010000068</t>
  </si>
  <si>
    <t>M-Mo178-B.4</t>
  </si>
  <si>
    <t>ERR14660868</t>
  </si>
  <si>
    <t>GCA_965182195</t>
  </si>
  <si>
    <t>CBCYKB010000001-CBCYKB010000078</t>
  </si>
  <si>
    <t>M-Mo228-M.1</t>
  </si>
  <si>
    <t>219</t>
  </si>
  <si>
    <t>ERR14660877</t>
  </si>
  <si>
    <t>GCA_965183555</t>
  </si>
  <si>
    <t>CBDADF010000001-CBDADF010000084</t>
  </si>
  <si>
    <t>M-Mo235-B.2</t>
  </si>
  <si>
    <t>ERR14660882</t>
  </si>
  <si>
    <t>GCA_965181565</t>
  </si>
  <si>
    <t>CBCYHP010000001-CBCYHP010000217</t>
  </si>
  <si>
    <t>C-K353-B.2</t>
  </si>
  <si>
    <t>Klebsiella quasipneumoniae subsp. similipneumoniae</t>
  </si>
  <si>
    <t>1473</t>
  </si>
  <si>
    <t>ERR14660653</t>
  </si>
  <si>
    <t>GCA_965179485</t>
  </si>
  <si>
    <t>CBCXYP010000001-CBCXYP010000107</t>
  </si>
  <si>
    <t>C-K414-M.1</t>
  </si>
  <si>
    <t>1424</t>
  </si>
  <si>
    <t>ERR14660701</t>
  </si>
  <si>
    <t>GCA_965179285</t>
  </si>
  <si>
    <t>CBCXZE010000001-CBCXZE010000115</t>
  </si>
  <si>
    <t>C-K414-M.2</t>
  </si>
  <si>
    <t>ERR14660702</t>
  </si>
  <si>
    <t>GCA_965178965</t>
  </si>
  <si>
    <t>CBCXZD010000001-CBCXZD010000125</t>
  </si>
  <si>
    <t>C-K424-B</t>
  </si>
  <si>
    <t>138</t>
  </si>
  <si>
    <t>ERR14660707</t>
  </si>
  <si>
    <t>GCA_965179495</t>
  </si>
  <si>
    <t>CBCXZH010000001-CBCXZH010000105</t>
  </si>
  <si>
    <t>C-P338-B.2</t>
  </si>
  <si>
    <t>2352</t>
  </si>
  <si>
    <t>ERR14660742</t>
  </si>
  <si>
    <t>GCA_965180915</t>
  </si>
  <si>
    <t>CBCYFH010000001-CBCYFH010000088</t>
  </si>
  <si>
    <t>M-M071-B.1</t>
  </si>
  <si>
    <t>1605</t>
  </si>
  <si>
    <t>ERR14660784</t>
  </si>
  <si>
    <t>GCA_965182925</t>
  </si>
  <si>
    <t>CBCYNG010000001-CBCYNG010000093</t>
  </si>
  <si>
    <t>M-M071-B.2</t>
  </si>
  <si>
    <t>ERR14660785</t>
  </si>
  <si>
    <t>GCA_965182325</t>
  </si>
  <si>
    <t>CBCYKZ010000001-CBCYKZ010000085</t>
  </si>
  <si>
    <t>M-M071-M.1</t>
  </si>
  <si>
    <t>ERR14660786</t>
  </si>
  <si>
    <t>GCA_965182315</t>
  </si>
  <si>
    <t>CBCYKX010000001-CBCYKX010000084</t>
  </si>
  <si>
    <t>M-Mo235-M.1</t>
  </si>
  <si>
    <t>Klebsiella quasipneumoniae subsp. quasipneumoniae</t>
  </si>
  <si>
    <t>6911</t>
  </si>
  <si>
    <t>ERR14660883</t>
  </si>
  <si>
    <t>GCA_965181975</t>
  </si>
  <si>
    <t>CBCYJL010000001-CBCYJL010000055</t>
  </si>
  <si>
    <t>M-Mo172-M.3</t>
  </si>
  <si>
    <t>Klebsiella variicola subsp. variicola</t>
  </si>
  <si>
    <t>919</t>
  </si>
  <si>
    <t>ERR14660864</t>
  </si>
  <si>
    <t>GCA_965182275</t>
  </si>
  <si>
    <t>CBCYKU010000001-CBCYKU010000080</t>
  </si>
  <si>
    <t>M-A203-M.1</t>
  </si>
  <si>
    <t>924</t>
  </si>
  <si>
    <t>ERR14660943</t>
  </si>
  <si>
    <t>GCA_965182405</t>
  </si>
  <si>
    <t>CBCYKO010000001-CBCYKO010000123</t>
  </si>
  <si>
    <t>M-A064-M.2</t>
  </si>
  <si>
    <t>ERR14660929</t>
  </si>
  <si>
    <t>GCA_965182075</t>
  </si>
  <si>
    <t>CBCYJR010000001-CBCYJR010000103</t>
  </si>
  <si>
    <t>M-M300-M.2</t>
  </si>
  <si>
    <t>ERR14661005</t>
  </si>
  <si>
    <t>GCA_965183145</t>
  </si>
  <si>
    <t>CBDABI010000001-CBDABI010000103</t>
  </si>
  <si>
    <t>M-M251-M</t>
  </si>
  <si>
    <t>ERR14660990</t>
  </si>
  <si>
    <t>GCA_965181455</t>
  </si>
  <si>
    <t>CBCYHK010000001-CBCYHK010000105</t>
  </si>
  <si>
    <t>M-M044-M</t>
  </si>
  <si>
    <t>151</t>
  </si>
  <si>
    <t>ERR14660958</t>
  </si>
  <si>
    <t>GCA_965180495</t>
  </si>
  <si>
    <t>CBCYDL010000001-CBCYDL010000111</t>
  </si>
  <si>
    <t>M-M221-M.3</t>
  </si>
  <si>
    <t>1040</t>
  </si>
  <si>
    <t>ERR14660981</t>
  </si>
  <si>
    <t>GCA_965181745</t>
  </si>
  <si>
    <t>CBCYIE010000001-CBCYIE010000146</t>
  </si>
  <si>
    <t>M-A194-M</t>
  </si>
  <si>
    <t>68</t>
  </si>
  <si>
    <t>ERR14660942</t>
  </si>
  <si>
    <t>GCA_965180695</t>
  </si>
  <si>
    <t>CBCYDQ010000001-CBCYDQ010000072</t>
  </si>
  <si>
    <t>M-A064-M.1</t>
  </si>
  <si>
    <t>98</t>
  </si>
  <si>
    <t>ERR14660928</t>
  </si>
  <si>
    <t>GCA_965180225</t>
  </si>
  <si>
    <t>CBCYAY010000001-CBCYAY010000042</t>
  </si>
  <si>
    <t>M-M105-M.2</t>
  </si>
  <si>
    <t>ERR14660963</t>
  </si>
  <si>
    <t>GCA_965181045</t>
  </si>
  <si>
    <t>CBCYFC010000001-CBCYFC010000081</t>
  </si>
  <si>
    <t>M-M280-M.1</t>
  </si>
  <si>
    <t>ERR14660994</t>
  </si>
  <si>
    <t>GCA_965181435</t>
  </si>
  <si>
    <t>CBCYGE010000001-CBCYGE010000081</t>
  </si>
  <si>
    <t>M-M238-M.2</t>
  </si>
  <si>
    <t>ERR14660987</t>
  </si>
  <si>
    <t>GCA_965182525</t>
  </si>
  <si>
    <t>CBCYLH010000001-CBCYLH010000090</t>
  </si>
  <si>
    <t>M-M238-M.1</t>
  </si>
  <si>
    <t>ERR14660986</t>
  </si>
  <si>
    <t>GCA_965180845</t>
  </si>
  <si>
    <t>CBCYEM010000001-CBCYEM010000089</t>
  </si>
  <si>
    <t>C-P360-M</t>
  </si>
  <si>
    <t>155</t>
  </si>
  <si>
    <t>ERR2538210</t>
  </si>
  <si>
    <t>GCA_965183475</t>
  </si>
  <si>
    <t>CBDACF010000001-CBDACF010000132</t>
  </si>
  <si>
    <t>C-P310-M</t>
  </si>
  <si>
    <t>ERR2538197</t>
  </si>
  <si>
    <t>GCA_965180095</t>
  </si>
  <si>
    <t>CBCYBY010000001-CBCYBY010000184</t>
  </si>
  <si>
    <t>M-A044-M.1</t>
  </si>
  <si>
    <t>410</t>
  </si>
  <si>
    <t>ERR14660921</t>
  </si>
  <si>
    <t>GCA_965180255</t>
  </si>
  <si>
    <t>CBCYBX010000001-CBCYBX010000117</t>
  </si>
  <si>
    <t>C-P325-M</t>
  </si>
  <si>
    <t>ERR2538201</t>
  </si>
  <si>
    <t>GCA_965183515</t>
  </si>
  <si>
    <t>CBDADD010000001-CBDADD010000226</t>
  </si>
  <si>
    <t>M-A004-M</t>
  </si>
  <si>
    <t>ERR14660917</t>
  </si>
  <si>
    <t>GCA_965183345</t>
  </si>
  <si>
    <t>CBDABN010000001-CBDABN010000141</t>
  </si>
  <si>
    <t>M-Mo224-M</t>
  </si>
  <si>
    <t>7331</t>
  </si>
  <si>
    <t>ERR14661038</t>
  </si>
  <si>
    <t>GCA_965179675</t>
  </si>
  <si>
    <t>CBCXZQ010000001-CBCXZQ010000115</t>
  </si>
  <si>
    <t>M-M142-M</t>
  </si>
  <si>
    <t>ERR14660969</t>
  </si>
  <si>
    <t>GCA_965180515</t>
  </si>
  <si>
    <t>CBCYCO010000001-CBCYCO010000205</t>
  </si>
  <si>
    <t>C-P341-M</t>
  </si>
  <si>
    <t>ERR2538206</t>
  </si>
  <si>
    <t>GCA_965183165</t>
  </si>
  <si>
    <t>CBDABK010000001-CBDABK010000230</t>
  </si>
  <si>
    <t>C-P297-M</t>
  </si>
  <si>
    <t>405</t>
  </si>
  <si>
    <t>ERR2538194</t>
  </si>
  <si>
    <t>GCA_965180105</t>
  </si>
  <si>
    <t>CBCYCK010000001-CBCYCK010000227</t>
  </si>
  <si>
    <t>M-M098-M</t>
  </si>
  <si>
    <t>542</t>
  </si>
  <si>
    <t>ERR14660961</t>
  </si>
  <si>
    <t>GCA_965181055</t>
  </si>
  <si>
    <t>CBCYEV010000001-CBCYEV010000043</t>
  </si>
  <si>
    <t>C-P320-M</t>
  </si>
  <si>
    <t>ERR2538199</t>
  </si>
  <si>
    <t>GCA_965179815</t>
  </si>
  <si>
    <t>CBCYAM010000001-CBCYAM010000139</t>
  </si>
  <si>
    <t>C-K420-M</t>
  </si>
  <si>
    <t>515</t>
  </si>
  <si>
    <t>ERR14660902</t>
  </si>
  <si>
    <t>GCA_965181575</t>
  </si>
  <si>
    <t>CBCYHH010000001-CBCYHH010000104</t>
  </si>
  <si>
    <t>M-M206-M</t>
  </si>
  <si>
    <t>3897</t>
  </si>
  <si>
    <t>ERR14660975</t>
  </si>
  <si>
    <t>GCA_965182615</t>
  </si>
  <si>
    <t>CBCYKJ010000001-CBCYKJ010000064</t>
  </si>
  <si>
    <t>M-M301-M</t>
  </si>
  <si>
    <t>ERR14661006</t>
  </si>
  <si>
    <t>GCA_965181845</t>
  </si>
  <si>
    <t>CBCYID010000001-CBCYID010000122</t>
  </si>
  <si>
    <t>C-P367-M</t>
  </si>
  <si>
    <t>ERR14660915</t>
  </si>
  <si>
    <t>GCA_965180285</t>
  </si>
  <si>
    <t>CBCYBR010000001-CBCYBR010000118</t>
  </si>
  <si>
    <t>C-K399-M</t>
  </si>
  <si>
    <t>ERR14660896</t>
  </si>
  <si>
    <t>GCA_965179985</t>
  </si>
  <si>
    <t>CBCYBF010000001-CBCYBF010000115</t>
  </si>
  <si>
    <t>M-Mo039-M</t>
  </si>
  <si>
    <t>ERR14661010</t>
  </si>
  <si>
    <t>GCA_965181815</t>
  </si>
  <si>
    <t>CBCYIB010000001-CBCYIB010000082</t>
  </si>
  <si>
    <t>M-M148-M</t>
  </si>
  <si>
    <t>ERR14660970</t>
  </si>
  <si>
    <t>GCA_965182585</t>
  </si>
  <si>
    <t>CBCYKL010000001-CBCYKL010000071</t>
  </si>
  <si>
    <t>M-A057-M</t>
  </si>
  <si>
    <t>ERR14660925</t>
  </si>
  <si>
    <t>GCA_965180235</t>
  </si>
  <si>
    <t>CBCYBZ010000001-CBCYBZ010000083</t>
  </si>
  <si>
    <t>C-K425-M</t>
  </si>
  <si>
    <t>2165</t>
  </si>
  <si>
    <t>ERR14660903</t>
  </si>
  <si>
    <t>GCA_965181205</t>
  </si>
  <si>
    <t>CBCYFV010000001-CBCYFV010000082</t>
  </si>
  <si>
    <t>C-K350-M</t>
  </si>
  <si>
    <t>5150</t>
  </si>
  <si>
    <t>ERR14660886</t>
  </si>
  <si>
    <t>GCA_965181955</t>
  </si>
  <si>
    <t>CBCYJB010000001-CBCYJB010000133</t>
  </si>
  <si>
    <t>C-K383-M</t>
  </si>
  <si>
    <t>127</t>
  </si>
  <si>
    <t>ERR14660893</t>
  </si>
  <si>
    <t>GCA_965183075</t>
  </si>
  <si>
    <t>CBDABE010000001-CBDABE010000095</t>
  </si>
  <si>
    <t>M-M167-M</t>
  </si>
  <si>
    <t>ERR14660972</t>
  </si>
  <si>
    <t>GCA_965181165</t>
  </si>
  <si>
    <t>CBCYFP010000001-CBCYFP010000208</t>
  </si>
  <si>
    <t>M-M127-M</t>
  </si>
  <si>
    <t>12821</t>
  </si>
  <si>
    <t>ERR14660968</t>
  </si>
  <si>
    <t>GCA_965181025</t>
  </si>
  <si>
    <t>CBCYFF010000001-CBCYFF010000075</t>
  </si>
  <si>
    <t>C-P304-M</t>
  </si>
  <si>
    <t>ERR2538196</t>
  </si>
  <si>
    <t>GCA_965179805</t>
  </si>
  <si>
    <t>CBCYAP010000001-CBCYAP010000102</t>
  </si>
  <si>
    <t>C-K377-M</t>
  </si>
  <si>
    <t>ERR14660890</t>
  </si>
  <si>
    <t>GCA_965183095</t>
  </si>
  <si>
    <t>CBDABF010000001-CBDABF010000113</t>
  </si>
  <si>
    <t>M-A016-M</t>
  </si>
  <si>
    <t>ERR14660918</t>
  </si>
  <si>
    <t>GCA_965180265</t>
  </si>
  <si>
    <t>CBCYBH010000001-CBCYBH010000083</t>
  </si>
  <si>
    <t>M-M242-M</t>
  </si>
  <si>
    <t>ERR14660988</t>
  </si>
  <si>
    <t>GCA_965182515</t>
  </si>
  <si>
    <t>CBCYKF010000001-CBCYKF010000107</t>
  </si>
  <si>
    <t>C-P284-M</t>
  </si>
  <si>
    <t>ERR14660910</t>
  </si>
  <si>
    <t>GCA_965180115</t>
  </si>
  <si>
    <t>CBCYBM010000001-CBCYBM010000113</t>
  </si>
  <si>
    <t>M-A044-M.4</t>
  </si>
  <si>
    <t>ERR14660924</t>
  </si>
  <si>
    <t>GCA_965180245</t>
  </si>
  <si>
    <t>CBCYCQ010000001-CBCYCQ010000260</t>
  </si>
  <si>
    <t>C-K408-M</t>
  </si>
  <si>
    <t>ERR14660899</t>
  </si>
  <si>
    <t>GCA_965181585</t>
  </si>
  <si>
    <t>CBCYHN010000001-CBCYHN010000115</t>
  </si>
  <si>
    <t>M-Mo191-M</t>
  </si>
  <si>
    <t>1727</t>
  </si>
  <si>
    <t>ERR14661033</t>
  </si>
  <si>
    <t>GCA_965183655</t>
  </si>
  <si>
    <t>CBDACX010000001-CBDACX010000058</t>
  </si>
  <si>
    <t>M-M126-M</t>
  </si>
  <si>
    <t>ERR14660967</t>
  </si>
  <si>
    <t>GCA_965180505</t>
  </si>
  <si>
    <t>CBCYCY010000001-CBCYCY010000077</t>
  </si>
  <si>
    <t>M-Mo032-M</t>
  </si>
  <si>
    <t>ERR14661009</t>
  </si>
  <si>
    <t>GCA_965181825</t>
  </si>
  <si>
    <t>CBCYIC010000001-CBCYIC010000081</t>
  </si>
  <si>
    <t>M-Mo158-M</t>
  </si>
  <si>
    <t>ERR14661027</t>
  </si>
  <si>
    <t>GCA_965183705</t>
  </si>
  <si>
    <t>CBDADH010000001-CBDADH010000111</t>
  </si>
  <si>
    <t>M-Mo170-M</t>
  </si>
  <si>
    <t>ERR14661031</t>
  </si>
  <si>
    <t>GCA_965179955</t>
  </si>
  <si>
    <t>CBCYAW010000001-CBCYAW010000151</t>
  </si>
  <si>
    <t>M-Mo090-M</t>
  </si>
  <si>
    <t>2690</t>
  </si>
  <si>
    <t>ERR14661018</t>
  </si>
  <si>
    <t>GCA_965181915</t>
  </si>
  <si>
    <t>CBCYIO010000001-CBCYIO010000093</t>
  </si>
  <si>
    <t>C-K386-M</t>
  </si>
  <si>
    <t>ERR14660894</t>
  </si>
  <si>
    <t>GCA_965179995</t>
  </si>
  <si>
    <t>CBCYBQ010000001-CBCYBQ010000166</t>
  </si>
  <si>
    <t>C-P340-M</t>
  </si>
  <si>
    <t>ERR14660912</t>
  </si>
  <si>
    <t>GCA_965183505</t>
  </si>
  <si>
    <t>CBDADA010000001-CBDADA010000184</t>
  </si>
  <si>
    <t>C-K444-M</t>
  </si>
  <si>
    <t>ERR14660909</t>
  </si>
  <si>
    <t>GCA_965179785</t>
  </si>
  <si>
    <t>CBCYAE010000001-CBCYAE010000099</t>
  </si>
  <si>
    <t>C-K437-M</t>
  </si>
  <si>
    <t>ERR14661168</t>
  </si>
  <si>
    <t>GCA_965179715</t>
  </si>
  <si>
    <t>CBCYAF010000001-CBCYAF010000149</t>
  </si>
  <si>
    <t>M-Mo044-M</t>
  </si>
  <si>
    <t>ERR14661011</t>
  </si>
  <si>
    <t>GCA_965182685</t>
  </si>
  <si>
    <t>CBCYLW010000001-CBCYLW010000165</t>
  </si>
  <si>
    <t>C-K368-M</t>
  </si>
  <si>
    <t>ERR14660887</t>
  </si>
  <si>
    <t>GCA_965183105</t>
  </si>
  <si>
    <t>CBCZXW010000001-CBCZXW010000141</t>
  </si>
  <si>
    <t>C-K413-M</t>
  </si>
  <si>
    <t>10651</t>
  </si>
  <si>
    <t>ERR14660901</t>
  </si>
  <si>
    <t>GCA_965181215</t>
  </si>
  <si>
    <t>CBCYFM010000001-CBCYFM010000071</t>
  </si>
  <si>
    <t>M-M155-M</t>
  </si>
  <si>
    <t>ERR14660971</t>
  </si>
  <si>
    <t>GCA_965181175</t>
  </si>
  <si>
    <t>CBCYGB010000001-CBCYGB010000131</t>
  </si>
  <si>
    <t>M-Mo102-M</t>
  </si>
  <si>
    <t>ERR14661019</t>
  </si>
  <si>
    <t>GCA_965182645</t>
  </si>
  <si>
    <t>CBCYKR010000001-CBCYKR010000110</t>
  </si>
  <si>
    <t>M-M040-M</t>
  </si>
  <si>
    <t>ERR14660957</t>
  </si>
  <si>
    <t>GCA_965182695</t>
  </si>
  <si>
    <t>CBCYKV010000001-CBCYKV010000164</t>
  </si>
  <si>
    <t>M-M287-M</t>
  </si>
  <si>
    <t>ERR14661001</t>
  </si>
  <si>
    <t>GCA_965183025</t>
  </si>
  <si>
    <t>CBCZWL010000001-CBCZWL010000119</t>
  </si>
  <si>
    <t>M-A249-M</t>
  </si>
  <si>
    <t>ERR14660948</t>
  </si>
  <si>
    <t>GCA_965182755</t>
  </si>
  <si>
    <t>CBCYMD010000001-CBCYMD010000109</t>
  </si>
  <si>
    <t>C-K378-M</t>
  </si>
  <si>
    <t>ERR14660891</t>
  </si>
  <si>
    <t>GCA_965180005</t>
  </si>
  <si>
    <t>CBCYBB010000001-CBCYBB010000153</t>
  </si>
  <si>
    <t>M-Mo159-M</t>
  </si>
  <si>
    <t>ERR14661028</t>
  </si>
  <si>
    <t>GCA_965183695</t>
  </si>
  <si>
    <t>CBDADE010000001-CBDADE010000150</t>
  </si>
  <si>
    <t>M-M214-M</t>
  </si>
  <si>
    <t>ERR14660978</t>
  </si>
  <si>
    <t>GCA_965181795</t>
  </si>
  <si>
    <t>CBCYHL010000001-CBCYHL010000095</t>
  </si>
  <si>
    <t>C-K398-M</t>
  </si>
  <si>
    <t>1408</t>
  </si>
  <si>
    <t>ERR14660895</t>
  </si>
  <si>
    <t>GCA_965183065</t>
  </si>
  <si>
    <t>CBCZUQ010000001-CBCZUQ010000101</t>
  </si>
  <si>
    <t>C-K403-M</t>
  </si>
  <si>
    <t>ERR14660898</t>
  </si>
  <si>
    <t>GCA_965179965</t>
  </si>
  <si>
    <t>CBCYAS010000001-CBCYAS010000121</t>
  </si>
  <si>
    <t>C-P333-M</t>
  </si>
  <si>
    <t>361</t>
  </si>
  <si>
    <t>ERR2538203</t>
  </si>
  <si>
    <t>GCA_965183175</t>
  </si>
  <si>
    <t>CBDAAX010000001-CBDAAX010000137</t>
  </si>
  <si>
    <t>M-Mo223-M.2</t>
  </si>
  <si>
    <t>8-7-1-8-8-378-2</t>
  </si>
  <si>
    <t>ERR14661037</t>
  </si>
  <si>
    <t>GCA_965180925</t>
  </si>
  <si>
    <t>CBCYEP010000001-CBCYEP010000112</t>
  </si>
  <si>
    <t>M-Mo113-M</t>
  </si>
  <si>
    <t>13815</t>
  </si>
  <si>
    <t>ERR14661022</t>
  </si>
  <si>
    <t>GCA_965181385</t>
  </si>
  <si>
    <t>CBCYFR010000001-CBCYFR010000075</t>
  </si>
  <si>
    <t>M-Mo184-M</t>
  </si>
  <si>
    <t>484</t>
  </si>
  <si>
    <t>ERR14661032</t>
  </si>
  <si>
    <t>GCA_965183675</t>
  </si>
  <si>
    <t>CBDADC010000001-CBDADC010000116</t>
  </si>
  <si>
    <t>M-Mo046-M</t>
  </si>
  <si>
    <t>15400</t>
  </si>
  <si>
    <t>ERR14661012</t>
  </si>
  <si>
    <t>GCA_965181805</t>
  </si>
  <si>
    <t>CBCYHO010000001-CBCYHO010000119</t>
  </si>
  <si>
    <t>M-M211-M</t>
  </si>
  <si>
    <t>4684</t>
  </si>
  <si>
    <t>ERR14660976</t>
  </si>
  <si>
    <t>GCA_965180985</t>
  </si>
  <si>
    <t>CBCYEU010000001-CBCYEU010000053</t>
  </si>
  <si>
    <t>M-M300-M.1</t>
  </si>
  <si>
    <t>ERR14661004</t>
  </si>
  <si>
    <t>GCA_965180975</t>
  </si>
  <si>
    <t>CBCYEQ010000001-CBCYEQ010000111</t>
  </si>
  <si>
    <t>M-A179-M.1</t>
  </si>
  <si>
    <t>746</t>
  </si>
  <si>
    <t>ERR14660936</t>
  </si>
  <si>
    <t>GCA_965180905</t>
  </si>
  <si>
    <t>CBCYEO010000001-CBCYEO010000129</t>
  </si>
  <si>
    <t>M-M037-M.2</t>
  </si>
  <si>
    <t>ERR14660955</t>
  </si>
  <si>
    <t>GCA_965181085</t>
  </si>
  <si>
    <t>CBCYFW010000001-CBCYFW010000139</t>
  </si>
  <si>
    <t>M-M295-M</t>
  </si>
  <si>
    <t>ERR14661002</t>
  </si>
  <si>
    <t>GCA_965180865</t>
  </si>
  <si>
    <t>CBCYEN010000001-CBCYEN010000158</t>
  </si>
  <si>
    <t>M-Mo143-M</t>
  </si>
  <si>
    <t>ERR14661024</t>
  </si>
  <si>
    <t>GCA_965183725</t>
  </si>
  <si>
    <t>CBDADG010000001-CBDADG010000186</t>
  </si>
  <si>
    <t>M-M265-M.1</t>
  </si>
  <si>
    <t>453</t>
  </si>
  <si>
    <t>ERR14660992</t>
  </si>
  <si>
    <t>GCA_965181445</t>
  </si>
  <si>
    <t>CBCYGP010000001-CBCYGP010000120</t>
  </si>
  <si>
    <t>M-Mo059-M.2</t>
  </si>
  <si>
    <t>ERR14661015</t>
  </si>
  <si>
    <t>GCA_965182655</t>
  </si>
  <si>
    <t>CBCYLC010000001-CBCYLC010000117</t>
  </si>
  <si>
    <t>C-K347-M</t>
  </si>
  <si>
    <t>757</t>
  </si>
  <si>
    <t>ERR14660885</t>
  </si>
  <si>
    <t>GCA_965181965</t>
  </si>
  <si>
    <t>CBCYIW010000001-CBCYIW010000214</t>
  </si>
  <si>
    <t>M-M304-M</t>
  </si>
  <si>
    <t>ERR14661007</t>
  </si>
  <si>
    <t>GCA_965181835</t>
  </si>
  <si>
    <t>CBCYIK010000001-CBCYIK010000150</t>
  </si>
  <si>
    <t>M-M171-M</t>
  </si>
  <si>
    <t>ERR14660973</t>
  </si>
  <si>
    <t>GCA_965182575</t>
  </si>
  <si>
    <t>CBCYLF010000001-CBCYLF010000145</t>
  </si>
  <si>
    <t>M-Mo153-M</t>
  </si>
  <si>
    <t>1638</t>
  </si>
  <si>
    <t>ERR14661025</t>
  </si>
  <si>
    <t>GCA_965183715</t>
  </si>
  <si>
    <t>CBDACQ010000001-CBDACQ010000138</t>
  </si>
  <si>
    <t>M-A026-M</t>
  </si>
  <si>
    <t>12138</t>
  </si>
  <si>
    <t>ERR14660919</t>
  </si>
  <si>
    <t>GCA_965183325</t>
  </si>
  <si>
    <t>CBDABR010000001-CBDABR010000157</t>
  </si>
  <si>
    <t>M-A203-M.2</t>
  </si>
  <si>
    <t>ERR14660944</t>
  </si>
  <si>
    <t>GCA_965180685</t>
  </si>
  <si>
    <t>CBCYDW010000001-CBCYDW010000093</t>
  </si>
  <si>
    <t>M-Mo115-M</t>
  </si>
  <si>
    <t>ERR14661023</t>
  </si>
  <si>
    <t>GCA_965183125</t>
  </si>
  <si>
    <t>CBDABC010000001-CBDABC010000117</t>
  </si>
  <si>
    <t>M-Mo057-M</t>
  </si>
  <si>
    <t>ERR14661013</t>
  </si>
  <si>
    <t>GCA_965182665</t>
  </si>
  <si>
    <t>CBCYLL010000001-CBCYLL010000201</t>
  </si>
  <si>
    <t>M-A142-M</t>
  </si>
  <si>
    <t>ERR14660932</t>
  </si>
  <si>
    <t>GCA_965180755</t>
  </si>
  <si>
    <t>CBCYEB010000001-CBCYEB010000092</t>
  </si>
  <si>
    <t>M-A231-M</t>
  </si>
  <si>
    <t>1072</t>
  </si>
  <si>
    <t>ERR14660947</t>
  </si>
  <si>
    <t>GCA_965182385</t>
  </si>
  <si>
    <t>CBCYKA010000001-CBCYKA010000193</t>
  </si>
  <si>
    <t>M-M283-M.1</t>
  </si>
  <si>
    <t>ERR14660997</t>
  </si>
  <si>
    <t>GCA_965180335</t>
  </si>
  <si>
    <t>CBCYCC010000001-CBCYCC010000104</t>
  </si>
  <si>
    <t>M-A182-M.3</t>
  </si>
  <si>
    <t>ERR14660941</t>
  </si>
  <si>
    <t>GCA_965180705</t>
  </si>
  <si>
    <t>CBCYDH010000001-CBCYDH010000144</t>
  </si>
  <si>
    <t>M-Mo221-M.2</t>
  </si>
  <si>
    <t>4</t>
  </si>
  <si>
    <t>ERR14661035</t>
  </si>
  <si>
    <t>GCA_965180935</t>
  </si>
  <si>
    <t>CBCYER010000001-CBCYER010000099</t>
  </si>
  <si>
    <t>M-M280-M.2</t>
  </si>
  <si>
    <t>7152</t>
  </si>
  <si>
    <t>ERR14660995</t>
  </si>
  <si>
    <t>GCA_965181335</t>
  </si>
  <si>
    <t>CBCYFU010000001-CBCYFU010000147</t>
  </si>
  <si>
    <t>M-M032-M</t>
  </si>
  <si>
    <t>ERR14660953</t>
  </si>
  <si>
    <t>GCA_965181075</t>
  </si>
  <si>
    <t>CBCYEZ010000001-CBCYEZ010000082</t>
  </si>
  <si>
    <t>M-M224-M</t>
  </si>
  <si>
    <t>ERR14660983</t>
  </si>
  <si>
    <t>GCA_965181735</t>
  </si>
  <si>
    <t>CBCYHI010000001-CBCYHI010000118</t>
  </si>
  <si>
    <t>M-Mo105-M</t>
  </si>
  <si>
    <t>ERR14661020</t>
  </si>
  <si>
    <t>GCA_965181395</t>
  </si>
  <si>
    <t>CBCYGT010000001-CBCYGT010000184</t>
  </si>
  <si>
    <t>M-M059-M.2</t>
  </si>
  <si>
    <t>ERR14660960</t>
  </si>
  <si>
    <t>GCA_965180485</t>
  </si>
  <si>
    <t>CBCYCM010000001-CBCYCM010000107</t>
  </si>
  <si>
    <t>M-A089-M.1</t>
  </si>
  <si>
    <t>ERR14660930</t>
  </si>
  <si>
    <t>GCA_965182105</t>
  </si>
  <si>
    <t>CBCYJC010000001-CBCYJC010000140</t>
  </si>
  <si>
    <t>M-M285-M.1</t>
  </si>
  <si>
    <t>ERR14660999</t>
  </si>
  <si>
    <t>GCA_965181725</t>
  </si>
  <si>
    <t>CBCYGY010000001-CBCYGY010000129</t>
  </si>
  <si>
    <t>M-A059-M</t>
  </si>
  <si>
    <t>ERR14660927</t>
  </si>
  <si>
    <t>GCA_965183285</t>
  </si>
  <si>
    <t>CBDABJ010000001-CBDABJ010000142</t>
  </si>
  <si>
    <t>C-P296-M</t>
  </si>
  <si>
    <t>ERR2538193</t>
  </si>
  <si>
    <t>GCA_965179775</t>
  </si>
  <si>
    <t>CBCXZT010000001-CBCXZT010000301</t>
  </si>
  <si>
    <t>M-Mo111-M</t>
  </si>
  <si>
    <t>ERR14661021</t>
  </si>
  <si>
    <t>GCA_965182635</t>
  </si>
  <si>
    <t>CBCYLD010000001-CBCYLD010000080</t>
  </si>
  <si>
    <t>C-K376-M</t>
  </si>
  <si>
    <t>ERR14660889</t>
  </si>
  <si>
    <t>GCA_965180015</t>
  </si>
  <si>
    <t>CBCYBV010000001-CBCYBV010000133</t>
  </si>
  <si>
    <t>M-A147-M</t>
  </si>
  <si>
    <t>ERR14660933</t>
  </si>
  <si>
    <t>GCA_965182415</t>
  </si>
  <si>
    <t>CBCYKG010000001-CBCYKG010000097</t>
  </si>
  <si>
    <t>M-A160-M</t>
  </si>
  <si>
    <t>ERR14660934</t>
  </si>
  <si>
    <t>GCA_965180745</t>
  </si>
  <si>
    <t>CBCYDP010000001-CBCYDP010000147</t>
  </si>
  <si>
    <t>M-A250-M</t>
  </si>
  <si>
    <t>ERR14660949</t>
  </si>
  <si>
    <t>GCA_965182735</t>
  </si>
  <si>
    <t>CBCYLJ010000001-CBCYLJ010000115</t>
  </si>
  <si>
    <t>M-M285-M.2</t>
  </si>
  <si>
    <t>ERR14661000</t>
  </si>
  <si>
    <t>GCA_965182995</t>
  </si>
  <si>
    <t>CBDABD010000001-CBDABD010000101</t>
  </si>
  <si>
    <t>C-K438-M</t>
  </si>
  <si>
    <t>11543</t>
  </si>
  <si>
    <t>ERR14660907</t>
  </si>
  <si>
    <t>GCA_965179685</t>
  </si>
  <si>
    <t>CBCYAG010000001-CBCYAG010000245</t>
  </si>
  <si>
    <t>M-M008-M</t>
  </si>
  <si>
    <t>ERR14660950</t>
  </si>
  <si>
    <t>GCA_965181855</t>
  </si>
  <si>
    <t>CBCYIG010000001-CBCYIG010000200</t>
  </si>
  <si>
    <t>M-M212-M</t>
  </si>
  <si>
    <t>ERR14660977</t>
  </si>
  <si>
    <t>GCA_965182605</t>
  </si>
  <si>
    <t>CBCYLI010000001-CBCYLI010000178</t>
  </si>
  <si>
    <t>M-A182-M.1</t>
  </si>
  <si>
    <t>ERR14660939</t>
  </si>
  <si>
    <t>GCA_965180715</t>
  </si>
  <si>
    <t>CBCYDR010000001-CBCYDR010000155</t>
  </si>
  <si>
    <t>M-M254-M</t>
  </si>
  <si>
    <t>ERR14660991</t>
  </si>
  <si>
    <t>GCA_965183265</t>
  </si>
  <si>
    <t>CBDABG010000001-CBDABG010000079</t>
  </si>
  <si>
    <t>M-A227-M</t>
  </si>
  <si>
    <t>ERR14660945</t>
  </si>
  <si>
    <t>GCA_965182395</t>
  </si>
  <si>
    <t>CBCYKY010000001-CBCYKY010000249</t>
  </si>
  <si>
    <t>M-M021-M</t>
  </si>
  <si>
    <t>ERR14660952</t>
  </si>
  <si>
    <t>GCA_965182715</t>
  </si>
  <si>
    <t>CBCYMA010000001-CBCYMA010000219</t>
  </si>
  <si>
    <t>M-M011-M</t>
  </si>
  <si>
    <t>ERR14660951</t>
  </si>
  <si>
    <t>GCA_965182725</t>
  </si>
  <si>
    <t>CBCYLM010000001-CBCYLM010000144</t>
  </si>
  <si>
    <t>C-K382-M</t>
  </si>
  <si>
    <t>ERR14660892</t>
  </si>
  <si>
    <t>GCA_965183085</t>
  </si>
  <si>
    <t>CBDABA010000001-CBDABA010000144</t>
  </si>
  <si>
    <t>M-M280-M.3</t>
  </si>
  <si>
    <t>ERR14660996</t>
  </si>
  <si>
    <t>GCA_965181325</t>
  </si>
  <si>
    <t>CBCYHF010000001-CBCYHF010000276</t>
  </si>
  <si>
    <t>M-Mo164-M.2</t>
  </si>
  <si>
    <t>ERR14661030</t>
  </si>
  <si>
    <t>GCA_965183685</t>
  </si>
  <si>
    <t>CBDACW010000001-CBDACW010000090</t>
  </si>
  <si>
    <t>C-K410-M</t>
  </si>
  <si>
    <t>ERR14660900</t>
  </si>
  <si>
    <t>GCA_965181405</t>
  </si>
  <si>
    <t>CBCYFY010000001-CBCYFY010000114</t>
  </si>
  <si>
    <t>C-K369-M</t>
  </si>
  <si>
    <t>ERR14660888</t>
  </si>
  <si>
    <t>GCA_965180025</t>
  </si>
  <si>
    <t>CBCYBI010000001-CBCYBI010000138</t>
  </si>
  <si>
    <t>M-Mo157-M</t>
  </si>
  <si>
    <t>5909</t>
  </si>
  <si>
    <t>ERR14661026</t>
  </si>
  <si>
    <t>GCA_965183155</t>
  </si>
  <si>
    <t>CBDAAZ010000001-CBDAAZ010000110</t>
  </si>
  <si>
    <t>C-P365-M.1</t>
  </si>
  <si>
    <t>ERR2538211</t>
  </si>
  <si>
    <t>GCA_965183195</t>
  </si>
  <si>
    <t>CBDABL010000001-CBDABL010000378</t>
  </si>
  <si>
    <t>C-P322-M.1</t>
  </si>
  <si>
    <t>215</t>
  </si>
  <si>
    <t>ERR2538200</t>
  </si>
  <si>
    <t>GCA_965183525</t>
  </si>
  <si>
    <t>CBDACA010000001-CBDACA010000138</t>
  </si>
  <si>
    <t>C-K435-M</t>
  </si>
  <si>
    <t>ERR14660906</t>
  </si>
  <si>
    <t>GCA_965180135</t>
  </si>
  <si>
    <t>CBCYBG010000001-CBCYBG010000111</t>
  </si>
  <si>
    <t>M-Mo031-M</t>
  </si>
  <si>
    <t>ERR14661008</t>
  </si>
  <si>
    <t>GCA_965179875</t>
  </si>
  <si>
    <t>CBCYAT010000001-CBCYAT010000143</t>
  </si>
  <si>
    <t>M-A169-M</t>
  </si>
  <si>
    <t>450</t>
  </si>
  <si>
    <t>ERR14660935</t>
  </si>
  <si>
    <t>GCA_965180735</t>
  </si>
  <si>
    <t>CBCYED010000001-CBCYED010000268</t>
  </si>
  <si>
    <t>M-A058-M</t>
  </si>
  <si>
    <t>29</t>
  </si>
  <si>
    <t>ERR14660926</t>
  </si>
  <si>
    <t>GCA_965183295</t>
  </si>
  <si>
    <t>CBDACL010000001-CBDACL010000070</t>
  </si>
  <si>
    <t>M-M121-M</t>
  </si>
  <si>
    <t>985</t>
  </si>
  <si>
    <t>ERR14660966</t>
  </si>
  <si>
    <t>GCA_965181035</t>
  </si>
  <si>
    <t>CBCYGJ010000001-CBCYGJ010000034</t>
  </si>
  <si>
    <t>M-M225-M</t>
  </si>
  <si>
    <t>307</t>
  </si>
  <si>
    <t>ERR14660985</t>
  </si>
  <si>
    <t>GCA_965182545</t>
  </si>
  <si>
    <t>CBCYLO010000001-CBCYLO010000046</t>
  </si>
  <si>
    <t>M-Mo059-M.3</t>
  </si>
  <si>
    <t>234</t>
  </si>
  <si>
    <t>ERR14661017</t>
  </si>
  <si>
    <t>GCA_965181925</t>
  </si>
  <si>
    <t>CBCYJH010000001-CBCYJH010000081</t>
  </si>
  <si>
    <t>M-M283-M.2</t>
  </si>
  <si>
    <t>ERR14660998</t>
  </si>
  <si>
    <t>GCA_965181005</t>
  </si>
  <si>
    <t>CBCYFS010000001-CBCYFS010000054</t>
  </si>
  <si>
    <t>M-A179-M.2</t>
  </si>
  <si>
    <t>ERR14660937</t>
  </si>
  <si>
    <t>GCA_965180725</t>
  </si>
  <si>
    <t>CBCYEH010000001-CBCYEH010000093</t>
  </si>
  <si>
    <t>M-M221-M.1</t>
  </si>
  <si>
    <t>ERR14660979</t>
  </si>
  <si>
    <t>GCA_965182005</t>
  </si>
  <si>
    <t>CBCYJP010000001-CBCYJP010000051</t>
  </si>
  <si>
    <t>M-M037-M.1</t>
  </si>
  <si>
    <t>327</t>
  </si>
  <si>
    <t>ERR14660954</t>
  </si>
  <si>
    <t>GCA_965182705</t>
  </si>
  <si>
    <t>CBCYMZ010000001-CBCYMZ010000116</t>
  </si>
  <si>
    <t>M-M184-M</t>
  </si>
  <si>
    <t>ERR14660974</t>
  </si>
  <si>
    <t>GCA_965180995</t>
  </si>
  <si>
    <t>CBCYFZ010000001-CBCYFZ010000082</t>
  </si>
  <si>
    <t>M-Mo164-M.1</t>
  </si>
  <si>
    <t>967</t>
  </si>
  <si>
    <t>ERR14661029</t>
  </si>
  <si>
    <t>GCA_965179975</t>
  </si>
  <si>
    <t>CBCYCB010000001-CBCYCB010000070</t>
  </si>
  <si>
    <t>M-M265-M.2</t>
  </si>
  <si>
    <t>ERR14660993</t>
  </si>
  <si>
    <t>GCA_965183255</t>
  </si>
  <si>
    <t>CBDACP010000001-CBDACP010000089</t>
  </si>
  <si>
    <t>M-M105-M.1</t>
  </si>
  <si>
    <t>ERR14660962</t>
  </si>
  <si>
    <t>GCA_965180545</t>
  </si>
  <si>
    <t>CBCYDT010000001-CBCYDT010000081</t>
  </si>
  <si>
    <t>M-M107-M</t>
  </si>
  <si>
    <t>4083</t>
  </si>
  <si>
    <t>ERR14660964</t>
  </si>
  <si>
    <t>GCA_965180535</t>
  </si>
  <si>
    <t>CBCYDG010000001-CBCYDG010000043</t>
  </si>
  <si>
    <t>M-M223-M</t>
  </si>
  <si>
    <t>ERR14660982</t>
  </si>
  <si>
    <t>GCA_965182535</t>
  </si>
  <si>
    <t>CBCYLS010000001-CBCYLS010000047</t>
  </si>
  <si>
    <t>M-Mo223-M.1</t>
  </si>
  <si>
    <t>4240</t>
  </si>
  <si>
    <t>ERR14661036</t>
  </si>
  <si>
    <t>GCA_965179595</t>
  </si>
  <si>
    <t>CBCYAJ010000001-CBCYAJ010000049</t>
  </si>
  <si>
    <t>M-Mo059-M.1</t>
  </si>
  <si>
    <t>ERR14661014</t>
  </si>
  <si>
    <t>GCA_965181785</t>
  </si>
  <si>
    <t>CBCYIJ010000001-CBCYIJ010000079</t>
  </si>
  <si>
    <t>M-M059-M.1</t>
  </si>
  <si>
    <t>ERR14660959</t>
  </si>
  <si>
    <t>GCA_965181065</t>
  </si>
  <si>
    <t>CBCYGG010000001-CBCYGG010000076</t>
  </si>
  <si>
    <t>C-K402-M</t>
  </si>
  <si>
    <t>2877</t>
  </si>
  <si>
    <t>ERR14660897</t>
  </si>
  <si>
    <t>GCA_965181615</t>
  </si>
  <si>
    <t>CBCYHT010000001-CBCYHT010000081</t>
  </si>
  <si>
    <t>M-M250-M</t>
  </si>
  <si>
    <t>ERR14660989</t>
  </si>
  <si>
    <t>GCA_965180835</t>
  </si>
  <si>
    <t>CBCYEL010000001-CBCYEL010000092</t>
  </si>
  <si>
    <t>M-A089-M.2</t>
  </si>
  <si>
    <t>1741</t>
  </si>
  <si>
    <t>ERR14660931</t>
  </si>
  <si>
    <t>GCA_965180215</t>
  </si>
  <si>
    <t>CBCYCU010000001-CBCYCU010000058</t>
  </si>
  <si>
    <t>M-M297-M</t>
  </si>
  <si>
    <t>45</t>
  </si>
  <si>
    <t>ERR14661003</t>
  </si>
  <si>
    <t>GCA_965183185</t>
  </si>
  <si>
    <t>CBDACC010000001-CBDACC010000063</t>
  </si>
  <si>
    <t>M-M221-M.2</t>
  </si>
  <si>
    <t>449</t>
  </si>
  <si>
    <t>ERR14660980</t>
  </si>
  <si>
    <t>GCA_965182555</t>
  </si>
  <si>
    <t>CBCYLR010000001-CBCYLR010000063</t>
  </si>
  <si>
    <t>M-Mo221-M.1</t>
  </si>
  <si>
    <t>1119</t>
  </si>
  <si>
    <t>ERR14661034</t>
  </si>
  <si>
    <t>GCA_965180675</t>
  </si>
  <si>
    <t>CBCYEE010000001-CBCYEE010000173</t>
  </si>
  <si>
    <t>M-A182-M.2</t>
  </si>
  <si>
    <t>18-22-18-126-11-13-51</t>
  </si>
  <si>
    <t>ERR14660940</t>
  </si>
  <si>
    <t>GCA_965182335</t>
  </si>
  <si>
    <t>CBCYKT010000001-CBCYKT010000105</t>
  </si>
  <si>
    <t>C-K432-M</t>
  </si>
  <si>
    <t>334</t>
  </si>
  <si>
    <t>ERR14660905</t>
  </si>
  <si>
    <t>GCA_965180145</t>
  </si>
  <si>
    <t>CBCYCZ010000001-CBCYCZ010000093</t>
  </si>
  <si>
    <t>C-P357-M</t>
  </si>
  <si>
    <t>414</t>
  </si>
  <si>
    <t>ERR14660913</t>
  </si>
  <si>
    <t>GCA_965183215</t>
  </si>
  <si>
    <t>CBDABY010000001-CBDABY010000065</t>
  </si>
  <si>
    <t>M-A228-M</t>
  </si>
  <si>
    <t>2604</t>
  </si>
  <si>
    <t>ERR14660946</t>
  </si>
  <si>
    <t>GCA_965183205</t>
  </si>
  <si>
    <t>CBDABP010000001-CBDABP010000118</t>
  </si>
  <si>
    <t>M-A044-M.3</t>
  </si>
  <si>
    <t>1548</t>
  </si>
  <si>
    <t>ERR14660923</t>
  </si>
  <si>
    <t>GCA_965180275</t>
  </si>
  <si>
    <t>CBCYDB010000001-CBCYDB010000091</t>
  </si>
  <si>
    <t>M-A180-M</t>
  </si>
  <si>
    <t>ERR14660938</t>
  </si>
  <si>
    <t>GCA_965180885</t>
  </si>
  <si>
    <t>CBCYFJ010000001-CBCYFJ010000087</t>
  </si>
  <si>
    <t>M-A014-B</t>
  </si>
  <si>
    <t>1109</t>
  </si>
  <si>
    <t>ERR14661057</t>
  </si>
  <si>
    <t>GCA_965179645</t>
  </si>
  <si>
    <t>CBCYAI010000001-CBCYAI010000054</t>
  </si>
  <si>
    <t>M-M196-B</t>
  </si>
  <si>
    <t>ERR14661110</t>
  </si>
  <si>
    <t>GCA_965181665</t>
  </si>
  <si>
    <t>CBCYHQ010000001-CBCYHQ010000133</t>
  </si>
  <si>
    <t>M-M173-B</t>
  </si>
  <si>
    <t>ERR14661104</t>
  </si>
  <si>
    <t>GCA_965181695</t>
  </si>
  <si>
    <t>CBCYHU010000001-CBCYHU010000100</t>
  </si>
  <si>
    <t>M-M135-B</t>
  </si>
  <si>
    <t>2301</t>
  </si>
  <si>
    <t>ERR14661094</t>
  </si>
  <si>
    <t>GCA_965183225</t>
  </si>
  <si>
    <t>CBDABO010000001-CBDABO010000107</t>
  </si>
  <si>
    <t>M-M260-B</t>
  </si>
  <si>
    <t>118</t>
  </si>
  <si>
    <t>ERR14661114</t>
  </si>
  <si>
    <t>GCA_965182845</t>
  </si>
  <si>
    <t>CBCYMP010000001-CBCYMP010000059</t>
  </si>
  <si>
    <t>M-A040-B</t>
  </si>
  <si>
    <t>ERR14661058</t>
  </si>
  <si>
    <t>GCA_965179585</t>
  </si>
  <si>
    <t>CBCYAK010000001-CBCYAK010000052</t>
  </si>
  <si>
    <t>M-M063-B</t>
  </si>
  <si>
    <t>ERR14661079</t>
  </si>
  <si>
    <t>GCA_965180205</t>
  </si>
  <si>
    <t>CBCYCW010000001-CBCYCW010000186</t>
  </si>
  <si>
    <t>M-A049-B.1</t>
  </si>
  <si>
    <t>ERR14661060</t>
  </si>
  <si>
    <t>GCA_965181945</t>
  </si>
  <si>
    <t>CBCYIP010000001-CBCYIP010000144</t>
  </si>
  <si>
    <t>M-A049-B.2</t>
  </si>
  <si>
    <t>243</t>
  </si>
  <si>
    <t>ERR14661061</t>
  </si>
  <si>
    <t>GCA_965180565</t>
  </si>
  <si>
    <t>CBCYDK010000001-CBCYDK010000077</t>
  </si>
  <si>
    <t>M-M115-B</t>
  </si>
  <si>
    <t>ERR14661091</t>
  </si>
  <si>
    <t>GCA_965182095</t>
  </si>
  <si>
    <t>CBCYJZ010000001-CBCYJZ010000065</t>
  </si>
  <si>
    <t>M-A102-B</t>
  </si>
  <si>
    <t>ERR14661064</t>
  </si>
  <si>
    <t>GCA_965182175</t>
  </si>
  <si>
    <t>CBCYKH010000001-CBCYKH010000054</t>
  </si>
  <si>
    <t>M-M079-B</t>
  </si>
  <si>
    <t>1712</t>
  </si>
  <si>
    <t>ERR14661082</t>
  </si>
  <si>
    <t>GCA_965180185</t>
  </si>
  <si>
    <t>CBCYCE010000001-CBCYCE010000058</t>
  </si>
  <si>
    <t>M-M145-B.1</t>
  </si>
  <si>
    <t>ERR14661101</t>
  </si>
  <si>
    <t>GCA_965181715</t>
  </si>
  <si>
    <t>CBCYHW010000001-CBCYHW010000093</t>
  </si>
  <si>
    <t>M-M145-B.2</t>
  </si>
  <si>
    <t>ERR14661102</t>
  </si>
  <si>
    <t>GCA_965181705</t>
  </si>
  <si>
    <t>CBCYHA010000001-CBCYHA010000070</t>
  </si>
  <si>
    <t>M-M195-B</t>
  </si>
  <si>
    <t>177</t>
  </si>
  <si>
    <t>ERR14661109</t>
  </si>
  <si>
    <t>GCA_965182255</t>
  </si>
  <si>
    <t>CBCYMV010000001-CBCYMV010000167</t>
  </si>
  <si>
    <t>M-M143-B.1</t>
  </si>
  <si>
    <t>17</t>
  </si>
  <si>
    <t>ERR14661098</t>
  </si>
  <si>
    <t>GCA_965180175</t>
  </si>
  <si>
    <t>CBCYCN010000001-CBCYCN010000074</t>
  </si>
  <si>
    <t>M-M068-B.2</t>
  </si>
  <si>
    <t>7013</t>
  </si>
  <si>
    <t>ERR14661081</t>
  </si>
  <si>
    <t>GCA_965182975</t>
  </si>
  <si>
    <t>CBCZNN010000001-CBCZNN010000142</t>
  </si>
  <si>
    <t>M-M136-B</t>
  </si>
  <si>
    <t>ERR14661095</t>
  </si>
  <si>
    <t>GCA_965183245</t>
  </si>
  <si>
    <t>CBDABX010000001-CBDABX010000171</t>
  </si>
  <si>
    <t>M-M089-B.1</t>
  </si>
  <si>
    <t>ERR14661085</t>
  </si>
  <si>
    <t>GCA_965182505</t>
  </si>
  <si>
    <t>CBCYLB010000001-CBCYLB010000130</t>
  </si>
  <si>
    <t>M-M043-B</t>
  </si>
  <si>
    <t>116</t>
  </si>
  <si>
    <t>ERR14661078</t>
  </si>
  <si>
    <t>GCA_965182985</t>
  </si>
  <si>
    <t>CBDAAW010000001-CBDAAW010000099</t>
  </si>
  <si>
    <t>M-M226-B</t>
  </si>
  <si>
    <t>8</t>
  </si>
  <si>
    <t>ERR14661111</t>
  </si>
  <si>
    <t>GCA_965182245</t>
  </si>
  <si>
    <t>CBCYKK010000001-CBCYKK010000055</t>
  </si>
  <si>
    <t>M-A106-B</t>
  </si>
  <si>
    <t>313</t>
  </si>
  <si>
    <t>ERR14661170</t>
  </si>
  <si>
    <t>GCA_965183035</t>
  </si>
  <si>
    <t>CBDABH010000001-CBDABH010000099</t>
  </si>
  <si>
    <t>M-M299-B</t>
  </si>
  <si>
    <t>Enterobacter roggenkampii</t>
  </si>
  <si>
    <t>2945</t>
  </si>
  <si>
    <t>ERR14661117</t>
  </si>
  <si>
    <t>GCA_965180075</t>
  </si>
  <si>
    <t>CBCYBC010000001-CBCYBC010000144</t>
  </si>
  <si>
    <t>M-A112-B</t>
  </si>
  <si>
    <t>685</t>
  </si>
  <si>
    <t>ERR14661065</t>
  </si>
  <si>
    <t>GCA_965182155</t>
  </si>
  <si>
    <t>CBCYIX010000001-CBCYIX010000124</t>
  </si>
  <si>
    <t>M-A068-B</t>
  </si>
  <si>
    <t>3224</t>
  </si>
  <si>
    <t>ERR14661062</t>
  </si>
  <si>
    <t>GCA_965180855</t>
  </si>
  <si>
    <t>CBCYFK010000001-CBCYFK010000141</t>
  </si>
  <si>
    <t>M-M085-B</t>
  </si>
  <si>
    <t>ERR14661083</t>
  </si>
  <si>
    <t>GCA_965180955</t>
  </si>
  <si>
    <t>CBCYEX010000001-CBCYEX010000205</t>
  </si>
  <si>
    <t>M-M140-B</t>
  </si>
  <si>
    <t>ERR14661097</t>
  </si>
  <si>
    <t>GCA_965183275</t>
  </si>
  <si>
    <t>CBDABV010000001-CBDABV010000199</t>
  </si>
  <si>
    <t>M-M243-B</t>
  </si>
  <si>
    <t>ERR14661112</t>
  </si>
  <si>
    <t>GCA_965182825</t>
  </si>
  <si>
    <t>CBCYMY010000001-CBCYMY010000093</t>
  </si>
  <si>
    <t>M-M129-B</t>
  </si>
  <si>
    <t>ERR14661092</t>
  </si>
  <si>
    <t>GCA_965183235</t>
  </si>
  <si>
    <t>CBDACG010000001-CBDACG010000102</t>
  </si>
  <si>
    <t>M-M091-B.1</t>
  </si>
  <si>
    <t>ERR14661088</t>
  </si>
  <si>
    <t>GCA_965181775</t>
  </si>
  <si>
    <t>CBCYHR010000001-CBCYHR010000058</t>
  </si>
  <si>
    <t>M-A171-B</t>
  </si>
  <si>
    <t>ERR14661068</t>
  </si>
  <si>
    <t>GCA_965182935</t>
  </si>
  <si>
    <t>CBCYOX010000001-CBCYOX010000094</t>
  </si>
  <si>
    <t>M-M143-B.2</t>
  </si>
  <si>
    <t>ERR14661099</t>
  </si>
  <si>
    <t>GCA_965181935</t>
  </si>
  <si>
    <t>CBCYJA010000001-CBCYJA010000122</t>
  </si>
  <si>
    <t>M-M096-B</t>
  </si>
  <si>
    <t>Citrobacter cronae</t>
  </si>
  <si>
    <t>ERR14661090</t>
  </si>
  <si>
    <t>GCA_965181765</t>
  </si>
  <si>
    <t>CBCYHZ010000001-CBCYHZ010000110</t>
  </si>
  <si>
    <t>M-M175-B</t>
  </si>
  <si>
    <t>ERR14661105</t>
  </si>
  <si>
    <t>GCA_965183615</t>
  </si>
  <si>
    <t>CBDADJ010000001-CBDADJ010000162</t>
  </si>
  <si>
    <t>M-M143-B.3</t>
  </si>
  <si>
    <t>ERR14661100</t>
  </si>
  <si>
    <t>GCA_965183635</t>
  </si>
  <si>
    <t>CBDACT010000001-CBDACT010000061</t>
  </si>
  <si>
    <t>M-A046-B</t>
  </si>
  <si>
    <t>602</t>
  </si>
  <si>
    <t>ERR14661059</t>
  </si>
  <si>
    <t>GCA_965179865</t>
  </si>
  <si>
    <t>CBCYBA010000001-CBCYBA010000077</t>
  </si>
  <si>
    <t>M-M087-B</t>
  </si>
  <si>
    <t>ERR14661084</t>
  </si>
  <si>
    <t>GCA_965182485</t>
  </si>
  <si>
    <t>CBCYLA010000001-CBCYLA010000093</t>
  </si>
  <si>
    <t>M-M041-B</t>
  </si>
  <si>
    <t>6280</t>
  </si>
  <si>
    <t>ERR14661076</t>
  </si>
  <si>
    <t>GCA_965180655</t>
  </si>
  <si>
    <t>CBCYEA010000001-CBCYEA010000220</t>
  </si>
  <si>
    <t>M-M158-B</t>
  </si>
  <si>
    <t>ERR14661103</t>
  </si>
  <si>
    <t>GCA_965183625</t>
  </si>
  <si>
    <t>CBDACE010000001-CBDACE010000145</t>
  </si>
  <si>
    <t>M-A093-B</t>
  </si>
  <si>
    <t>ERR14661063</t>
  </si>
  <si>
    <t>GCA_965183045</t>
  </si>
  <si>
    <t>CBCZWA010000001-CBCZWA010000143</t>
  </si>
  <si>
    <t>M-A193-B</t>
  </si>
  <si>
    <t>ERR14661071</t>
  </si>
  <si>
    <t>GCA_965182955</t>
  </si>
  <si>
    <t>CBCZNO010000001-CBCZNO010000064</t>
  </si>
  <si>
    <t>M-M194-B</t>
  </si>
  <si>
    <t>ERR14661108</t>
  </si>
  <si>
    <t>GCA_965181675</t>
  </si>
  <si>
    <t>CBCYHG010000001-CBCYHG010000050</t>
  </si>
  <si>
    <t>M-A190-B.1</t>
  </si>
  <si>
    <t>ERR14661069</t>
  </si>
  <si>
    <t>GCA_965182945</t>
  </si>
  <si>
    <t>CBCYWX010000001-CBCYWX010000078</t>
  </si>
  <si>
    <t>M-A190-B.2</t>
  </si>
  <si>
    <t>ERR14661070</t>
  </si>
  <si>
    <t>GCA_965179945</t>
  </si>
  <si>
    <t>CBCYBU010000001-CBCYBU010000079</t>
  </si>
  <si>
    <t>M-A206-B</t>
  </si>
  <si>
    <t>365</t>
  </si>
  <si>
    <t>ERR14661072</t>
  </si>
  <si>
    <t>GCA_965179935</t>
  </si>
  <si>
    <t>CBCYBN010000001-CBCYBN010000068</t>
  </si>
  <si>
    <t>C-P331-B</t>
  </si>
  <si>
    <t>ERR14661051</t>
  </si>
  <si>
    <t>GCA_965180895</t>
  </si>
  <si>
    <t>CBCYET010000001-CBCYET010000079</t>
  </si>
  <si>
    <t>M-Mo101-B.3</t>
  </si>
  <si>
    <t>ERR14661122</t>
  </si>
  <si>
    <t>GCA_965180045</t>
  </si>
  <si>
    <t>CBCYBO010000001-CBCYBO010000067</t>
  </si>
  <si>
    <t>M-M091-B.2</t>
  </si>
  <si>
    <t>ERR14661089</t>
  </si>
  <si>
    <t>GCA_965182805</t>
  </si>
  <si>
    <t>CBCYMT010000001-CBCYMT010000105</t>
  </si>
  <si>
    <t>M-M019-B</t>
  </si>
  <si>
    <t>ERR14661075</t>
  </si>
  <si>
    <t>GCA_965180665</t>
  </si>
  <si>
    <t>CBCYDI010000001-CBCYDI010000065</t>
  </si>
  <si>
    <t>M-M288-B</t>
  </si>
  <si>
    <t>51</t>
  </si>
  <si>
    <t>ERR14661116</t>
  </si>
  <si>
    <t>GCA_965180315</t>
  </si>
  <si>
    <t>CBCYBT010000001-CBCYBT010000045</t>
  </si>
  <si>
    <t>C-K404-B.2</t>
  </si>
  <si>
    <t>1308</t>
  </si>
  <si>
    <t>ERR14661041</t>
  </si>
  <si>
    <t>GCA_965179615</t>
  </si>
  <si>
    <t>CBCYAD010000001-CBCYAD010000081</t>
  </si>
  <si>
    <t>C-K404-B.1</t>
  </si>
  <si>
    <t>354</t>
  </si>
  <si>
    <t>ERR14661040</t>
  </si>
  <si>
    <t>GCA_965181365</t>
  </si>
  <si>
    <t>CBCYGV010000001-CBCYGV010000099</t>
  </si>
  <si>
    <t>C-K418-B</t>
  </si>
  <si>
    <t>ERR14661043</t>
  </si>
  <si>
    <t>GCA_965179635</t>
  </si>
  <si>
    <t>CBCXZW010000001-CBCXZW010000135</t>
  </si>
  <si>
    <t>C-K422-B</t>
  </si>
  <si>
    <t>ERR14661045</t>
  </si>
  <si>
    <t>GCA_965182355</t>
  </si>
  <si>
    <t>CBCYJX010000001-CBCYJX010000112</t>
  </si>
  <si>
    <t>C-K417-B</t>
  </si>
  <si>
    <t>ERR14661042</t>
  </si>
  <si>
    <t>GCA_965182375</t>
  </si>
  <si>
    <t>CBCYJS010000001-CBCYJS010000071</t>
  </si>
  <si>
    <t>C-P271-B</t>
  </si>
  <si>
    <t>6782</t>
  </si>
  <si>
    <t>ERR14661046</t>
  </si>
  <si>
    <t>GCA_965179745</t>
  </si>
  <si>
    <t>CBCXZR010000001-CBCXZR010000146</t>
  </si>
  <si>
    <t>C-P350-B</t>
  </si>
  <si>
    <t>ERR14661052</t>
  </si>
  <si>
    <t>GCA_965180085</t>
  </si>
  <si>
    <t>CBCYCP010000001-CBCYCP010000133</t>
  </si>
  <si>
    <t>C-P358-B.1</t>
  </si>
  <si>
    <t>ERR14661053</t>
  </si>
  <si>
    <t>GCA_965180875</t>
  </si>
  <si>
    <t>CBCYES010000001-CBCYES010000163</t>
  </si>
  <si>
    <t>C-P358-B.2</t>
  </si>
  <si>
    <t>ERR14661054</t>
  </si>
  <si>
    <t>GCA_965179605</t>
  </si>
  <si>
    <t>CBCXZX010000001-CBCXZX010000171</t>
  </si>
  <si>
    <t>C-K419-B</t>
  </si>
  <si>
    <t>54</t>
  </si>
  <si>
    <t>ERR14661044</t>
  </si>
  <si>
    <t>GCA_965182365</t>
  </si>
  <si>
    <t>CBCYLG010000001-CBCYLG010000163</t>
  </si>
  <si>
    <t>C-P298-B.1</t>
  </si>
  <si>
    <t>1674</t>
  </si>
  <si>
    <t>ERR14661049</t>
  </si>
  <si>
    <t>GCA_965182345</t>
  </si>
  <si>
    <t>CBCYJU010000001-CBCYJU010000080</t>
  </si>
  <si>
    <t>C-P298-B.2</t>
  </si>
  <si>
    <t>ERR14661050</t>
  </si>
  <si>
    <t>GCA_965182675</t>
  </si>
  <si>
    <t>CBCYLQ010000001-CBCYLQ010000152</t>
  </si>
  <si>
    <t>C-P370-B</t>
  </si>
  <si>
    <t>Enterobacter cloacae</t>
  </si>
  <si>
    <t>84</t>
  </si>
  <si>
    <t>ERR14661056</t>
  </si>
  <si>
    <t>GCA_965179755</t>
  </si>
  <si>
    <t>CBCYAB010000001-CBCYAB010000184</t>
  </si>
  <si>
    <t>C-P293-B</t>
  </si>
  <si>
    <t>ERR14661048</t>
  </si>
  <si>
    <t>GCA_965179725</t>
  </si>
  <si>
    <t>CBCYAC010000001-CBCYAC010000079</t>
  </si>
  <si>
    <t>M-Mo150-B.1</t>
  </si>
  <si>
    <t>ERR14661150</t>
  </si>
  <si>
    <t>GCA_965182965</t>
  </si>
  <si>
    <t>CBCZNM010000001-CBCZNM010000064</t>
  </si>
  <si>
    <t>M-Mo243-B</t>
  </si>
  <si>
    <t>ERR14661154</t>
  </si>
  <si>
    <t>GCA_965182115</t>
  </si>
  <si>
    <t>CBCYKC010000001-CBCYKC010000074</t>
  </si>
  <si>
    <t>M-Mo150-B.2</t>
  </si>
  <si>
    <t>ERR14661151</t>
  </si>
  <si>
    <t>GCA_965182625</t>
  </si>
  <si>
    <t>CBCYKQ010000001-CBCYKQ010000067</t>
  </si>
  <si>
    <t>M-Mo064-B.1</t>
  </si>
  <si>
    <t>ERR14661118</t>
  </si>
  <si>
    <t>GCA_965180065</t>
  </si>
  <si>
    <t>CBCYAU010000001-CBCYAU010000036</t>
  </si>
  <si>
    <t>M-Mo121-B</t>
  </si>
  <si>
    <t>ERR14661124</t>
  </si>
  <si>
    <t>GCA_965180035</t>
  </si>
  <si>
    <t>CBCYCT010000001-CBCYCT010000064</t>
  </si>
  <si>
    <t>M-Mo120-B</t>
  </si>
  <si>
    <t>ERR14661123</t>
  </si>
  <si>
    <t>GCA_965179855</t>
  </si>
  <si>
    <t>CBCYAV010000001-CBCYAV010000058</t>
  </si>
  <si>
    <t>M-Mo101-B.1</t>
  </si>
  <si>
    <t>ERR14661120</t>
  </si>
  <si>
    <t>GCA_965179845</t>
  </si>
  <si>
    <t>CBCYDJ010000001-CBCYDJ010000097</t>
  </si>
  <si>
    <t>M-Mo101-B.2</t>
  </si>
  <si>
    <t>ERR14661121</t>
  </si>
  <si>
    <t>GCA_965180055</t>
  </si>
  <si>
    <t>CBCYBK010000001-CBCYBK010000065</t>
  </si>
  <si>
    <t>M-Mo133-B</t>
  </si>
  <si>
    <t>ERR14661149</t>
  </si>
  <si>
    <t>GCA_965180555</t>
  </si>
  <si>
    <t>CBCYDV010000001-CBCYDV010000069</t>
  </si>
  <si>
    <t>M-Mo064-B.2</t>
  </si>
  <si>
    <t>ERR14661119</t>
  </si>
  <si>
    <t>GCA_965179835</t>
  </si>
  <si>
    <t>CBCYAO010000001-CBCYAO010000076</t>
  </si>
  <si>
    <t>C-K367-B</t>
  </si>
  <si>
    <t>ERR14660667</t>
  </si>
  <si>
    <t>GCA_965179135</t>
  </si>
  <si>
    <t>CBCXXY010000001-CBCXXY010000065</t>
  </si>
  <si>
    <t>C-K372-B.1</t>
  </si>
  <si>
    <t>1013</t>
  </si>
  <si>
    <t>ERR14660669</t>
  </si>
  <si>
    <t>GCA_965179145</t>
  </si>
  <si>
    <t>CBCXYK010000001-CBCXYK010000094</t>
  </si>
  <si>
    <t>C-K374-B</t>
  </si>
  <si>
    <t>ERR14660674</t>
  </si>
  <si>
    <t>GCA_965179355</t>
  </si>
  <si>
    <t>CBCXXU010000001-CBCXXU010000035</t>
  </si>
  <si>
    <t>C-K427-M</t>
  </si>
  <si>
    <t>ERR14660904</t>
  </si>
  <si>
    <t>GCA_965182565</t>
  </si>
  <si>
    <t>CBCYKW010000001-CBCYKW010000091</t>
  </si>
  <si>
    <t>C-K442-M</t>
  </si>
  <si>
    <t>ERR14660908</t>
  </si>
  <si>
    <t>GCA_965180125</t>
  </si>
  <si>
    <t>CBCYBE010000001-CBCYBE010000068</t>
  </si>
  <si>
    <t>C-K445-B.1</t>
  </si>
  <si>
    <t>ERR14660719</t>
  </si>
  <si>
    <t>GCA_965179245</t>
  </si>
  <si>
    <t>CBCXZM010000001-CBCXZM010000131</t>
  </si>
  <si>
    <t>C-P311-B</t>
  </si>
  <si>
    <t>8375</t>
  </si>
  <si>
    <t>ERR14660727</t>
  </si>
  <si>
    <t>GCA_965178895</t>
  </si>
  <si>
    <t>CBCXZO010000001-CBCXZO010000116</t>
  </si>
  <si>
    <t>C-P322-M.2</t>
  </si>
  <si>
    <t>101</t>
  </si>
  <si>
    <t>ERR14660911</t>
  </si>
  <si>
    <t>GCA_965179825</t>
  </si>
  <si>
    <t>CBCYAZ010000001-CBCYAZ010000124</t>
  </si>
  <si>
    <t>C-P328-B</t>
  </si>
  <si>
    <t>ERR14660733</t>
  </si>
  <si>
    <t>GCA_965180795</t>
  </si>
  <si>
    <t>CBCYEJ010000001-CBCYEJ010000165</t>
  </si>
  <si>
    <t>C-P332-M</t>
  </si>
  <si>
    <t>ERR14660737</t>
  </si>
  <si>
    <t>GCA_965180765</t>
  </si>
  <si>
    <t>CBCYEF010000001-CBCYEF010000182</t>
  </si>
  <si>
    <t>C-P358-B.3</t>
  </si>
  <si>
    <t>ERR14661055</t>
  </si>
  <si>
    <t>GCA_965180965</t>
  </si>
  <si>
    <t>CBCYFB010000001-CBCYFB010000151</t>
  </si>
  <si>
    <t>C-P361-M</t>
  </si>
  <si>
    <t>ERR14660756</t>
  </si>
  <si>
    <t>GCA_965180375</t>
  </si>
  <si>
    <t>CBCYDD010000001-CBCYDD010000114</t>
  </si>
  <si>
    <t>C-P365-M.2</t>
  </si>
  <si>
    <t>ERR14660914</t>
  </si>
  <si>
    <t>GCA_965183355</t>
  </si>
  <si>
    <t>CBDABM010000001-CBDABM010000117</t>
  </si>
  <si>
    <t>M-M101-B</t>
  </si>
  <si>
    <t>Atlantibacter hermannii</t>
  </si>
  <si>
    <t>ERR14660795</t>
  </si>
  <si>
    <t>GCA_965182305</t>
  </si>
  <si>
    <t>CBCYJM010000001-CBCYJM010000052</t>
  </si>
  <si>
    <t>C-P338-B.1</t>
  </si>
  <si>
    <t>ERR14660741</t>
  </si>
  <si>
    <t>GCA_965182915</t>
  </si>
  <si>
    <t>CBCYMU010000001-CBCYMU010000036</t>
  </si>
  <si>
    <t>C-K429-M</t>
  </si>
  <si>
    <t>7304</t>
  </si>
  <si>
    <t>ERR14660710</t>
  </si>
  <si>
    <t>GCA_965178755</t>
  </si>
  <si>
    <t>CBCXYJ010000001-CBCXYJ010000167</t>
  </si>
  <si>
    <t>M-M088-B.2</t>
  </si>
  <si>
    <t>ERR14660789</t>
  </si>
  <si>
    <t>GCA_965179895</t>
  </si>
  <si>
    <t>CBCYAR010000001-CBCYAR010000076</t>
  </si>
  <si>
    <t>C-K443-B</t>
  </si>
  <si>
    <t>Klebsiella aerogenes</t>
  </si>
  <si>
    <t>kaerogenes</t>
  </si>
  <si>
    <t>135</t>
  </si>
  <si>
    <t>ERR14660717</t>
  </si>
  <si>
    <t>GCA_965178825</t>
  </si>
  <si>
    <t>CBCXYB010000001-CBCXYB010000048</t>
  </si>
  <si>
    <t>M-M022-B</t>
  </si>
  <si>
    <t>ERR14660776</t>
  </si>
  <si>
    <t>GCA_965181485</t>
  </si>
  <si>
    <t>CBCYHJ010000001-CBCYHJ010000055</t>
  </si>
  <si>
    <t>C-K387-B.2</t>
  </si>
  <si>
    <t>ERR14660685</t>
  </si>
  <si>
    <t>GCA_965179305</t>
  </si>
  <si>
    <t>CBCXYS010000001-CBCXYS010000067</t>
  </si>
  <si>
    <t>M-M157-B</t>
  </si>
  <si>
    <t>Kluyvera genomospecies</t>
  </si>
  <si>
    <t>ERR14686640</t>
  </si>
  <si>
    <t>GCA_965195765</t>
  </si>
  <si>
    <t>CBDAHN010000001-CBDAHN010000093</t>
  </si>
  <si>
    <t>M-M271-B</t>
  </si>
  <si>
    <t>Leclercia adecarboxylata</t>
  </si>
  <si>
    <t>ERR14660839</t>
  </si>
  <si>
    <t>GCA_965179695</t>
  </si>
  <si>
    <t>CBCXZU010000001-CBCXZU010000064</t>
  </si>
  <si>
    <t>M-M052-B.1</t>
  </si>
  <si>
    <t>Morganella morganii</t>
  </si>
  <si>
    <t>ERR14660780</t>
  </si>
  <si>
    <t>GCA_965180365</t>
  </si>
  <si>
    <t>CBCYAQ010000001-CBCYAQ010000087</t>
  </si>
  <si>
    <t>M-M108-M.1</t>
  </si>
  <si>
    <t>ERR14660803</t>
  </si>
  <si>
    <t>GCA_965183455</t>
  </si>
  <si>
    <t>CBDAAV010000001-CBDAAV010000068</t>
  </si>
  <si>
    <t>M-A044-M.2</t>
  </si>
  <si>
    <t>ERR14660922</t>
  </si>
  <si>
    <t>GCA_965183305</t>
  </si>
  <si>
    <t>CBDABQ010000001-CBDABQ010000034</t>
  </si>
  <si>
    <t>M-M117-M</t>
  </si>
  <si>
    <t>ERR14660965</t>
  </si>
  <si>
    <t>GCA_965180525</t>
  </si>
  <si>
    <t>CBCYDU010000001-CBCYDU010000109</t>
  </si>
  <si>
    <t>M-A074-M</t>
  </si>
  <si>
    <t>Leclercia genomospecies</t>
  </si>
  <si>
    <t>ERR14686637</t>
  </si>
  <si>
    <t>GCA_965195605</t>
  </si>
  <si>
    <t>CBDAHM010000001-CBDAHM010000041</t>
  </si>
  <si>
    <t>M-A043-M</t>
  </si>
  <si>
    <t>ERR14660920</t>
  </si>
  <si>
    <t>GCA_965183335</t>
  </si>
  <si>
    <t>CBDAAE010000001-CBDAAE010000135</t>
  </si>
  <si>
    <t>M-Mo210-B</t>
  </si>
  <si>
    <t>ERR14661153</t>
  </si>
  <si>
    <t>GCA_965182125</t>
  </si>
  <si>
    <t>CBCYIR010000001-CBCYIR010000144</t>
  </si>
  <si>
    <t>M-M133-B</t>
  </si>
  <si>
    <t>ERR14661093</t>
  </si>
  <si>
    <t>GCA_965181755</t>
  </si>
  <si>
    <t>CBCYIA010000001-CBCYIA010000101</t>
  </si>
  <si>
    <t>M-A123-B</t>
  </si>
  <si>
    <t>ERR14661066</t>
  </si>
  <si>
    <t>GCA_965183015</t>
  </si>
  <si>
    <t>CBDABB010000001-CBDABB010000100</t>
  </si>
  <si>
    <t>M-A237-B</t>
  </si>
  <si>
    <t>ERR14661073</t>
  </si>
  <si>
    <t>GCA_965179925</t>
  </si>
  <si>
    <t>CBCYBW010000001-CBCYBW010000054</t>
  </si>
  <si>
    <t>M-M138-B</t>
  </si>
  <si>
    <t>Phytobacter diazotrophicus</t>
  </si>
  <si>
    <t>ERR14661096</t>
  </si>
  <si>
    <t>GCA_965181635</t>
  </si>
  <si>
    <t>CBCYII010000001-CBCYII010000128</t>
  </si>
  <si>
    <t>M-M068-B.1</t>
  </si>
  <si>
    <t>ERR14661080</t>
  </si>
  <si>
    <t>GCA_965180195</t>
  </si>
  <si>
    <t>CBCYCG010000001-CBCYCG010000083</t>
  </si>
  <si>
    <t>M-M275-B</t>
  </si>
  <si>
    <t>ERR14661115</t>
  </si>
  <si>
    <t>GCA_965182885</t>
  </si>
  <si>
    <t>CBCYNE010000001-CBCYNE010000089</t>
  </si>
  <si>
    <t>M-M089-B.2</t>
  </si>
  <si>
    <t>ERR14661086</t>
  </si>
  <si>
    <t>GCA_965182595</t>
  </si>
  <si>
    <t>CBCYJK010000001-CBCYJK010000116</t>
  </si>
  <si>
    <t>M-M004-B</t>
  </si>
  <si>
    <t>ERR14661074</t>
  </si>
  <si>
    <t>GCA_965183005</t>
  </si>
  <si>
    <t>CBCZQI010000001-CBCZQI010000052</t>
  </si>
  <si>
    <t>M-M089-B.3</t>
  </si>
  <si>
    <t>ERR14661087</t>
  </si>
  <si>
    <t>GCA_965182745</t>
  </si>
  <si>
    <t>CBCYMM010000001-CBCYMM010000101</t>
  </si>
  <si>
    <t>M-M257-B</t>
  </si>
  <si>
    <t>ERR14661113</t>
  </si>
  <si>
    <t>GCA_965180325</t>
  </si>
  <si>
    <t>CBCYDA010000001-CBCYDA010000118</t>
  </si>
  <si>
    <t>M-M191-B</t>
  </si>
  <si>
    <t>ERR14661106</t>
  </si>
  <si>
    <t>GCA_965181685</t>
  </si>
  <si>
    <t>CBCYFQ010000001-CBCYFQ010000159</t>
  </si>
  <si>
    <t>C-K396-B</t>
  </si>
  <si>
    <t>305</t>
  </si>
  <si>
    <t>ERR14661039</t>
  </si>
  <si>
    <t>GCA_965181375</t>
  </si>
  <si>
    <t>CBCYHE010000001-CBCYHE010000058</t>
  </si>
  <si>
    <t>M-Mo150-B.3</t>
  </si>
  <si>
    <t>ERR14661152</t>
  </si>
  <si>
    <t>GCA_965182135</t>
  </si>
  <si>
    <t>CBCYJT010000001-CBCYJT010000117</t>
  </si>
  <si>
    <t>C-P332-B</t>
  </si>
  <si>
    <t>ERR14660736</t>
  </si>
  <si>
    <t>GCA_965180775</t>
  </si>
  <si>
    <t>CBCYEK010000001-CBCYEK010000120</t>
  </si>
  <si>
    <t>C-K381-M</t>
  </si>
  <si>
    <t>5112</t>
  </si>
  <si>
    <t>ERR14660679</t>
  </si>
  <si>
    <t>GCA_965178925</t>
  </si>
  <si>
    <t>CBCXZK010000001-CBCXZK010000098</t>
  </si>
  <si>
    <t>C-K392-B</t>
  </si>
  <si>
    <t>152</t>
  </si>
  <si>
    <t>ERR14660690</t>
  </si>
  <si>
    <t>GCA_965179255</t>
  </si>
  <si>
    <t>CBCXZL010000001-CBCXZL010000082</t>
  </si>
  <si>
    <t>M-A164-B</t>
  </si>
  <si>
    <t>Lelliottia nimipressuralis</t>
  </si>
  <si>
    <t>ERR14661067</t>
  </si>
  <si>
    <t>GCA_965182145</t>
  </si>
  <si>
    <t>CBCYIZ010000001-CBCYIZ010000067</t>
  </si>
  <si>
    <t>C-P361-B</t>
  </si>
  <si>
    <t>136</t>
  </si>
  <si>
    <t>ERR14660755</t>
  </si>
  <si>
    <t>GCA_965180385</t>
  </si>
  <si>
    <t>CBCYBS010000001-CBCYBS010000056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</si>
</sst>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3"/>
  <sheetViews>
    <sheetView tabSelected="1" topLeftCell="G1" zoomScaleNormal="100" workbookViewId="0">
      <selection activeCell="O3" sqref="O3"/>
    </sheetView>
  </sheetViews>
  <sheetFormatPr baseColWidth="10" defaultColWidth="10.54296875" defaultRowHeight="14.5" x14ac:dyDescent="0.35"/>
  <cols>
    <col min="1" max="4" width="14.7265625" customWidth="1"/>
    <col min="5" max="5" width="50.7265625" customWidth="1"/>
    <col min="6" max="7" width="29.7265625" customWidth="1"/>
    <col min="8" max="8" width="16.7265625" customWidth="1"/>
    <col min="9" max="9" width="18.7265625" customWidth="1"/>
    <col min="10" max="10" width="36.81640625" customWidth="1"/>
    <col min="11" max="11" width="16" customWidth="1"/>
    <col min="12" max="12" width="18" customWidth="1"/>
    <col min="13" max="13" width="41.54296875" customWidth="1"/>
  </cols>
  <sheetData>
    <row r="1" spans="1:13" s="2" customFormat="1" ht="18.5" x14ac:dyDescent="0.45">
      <c r="A1" s="1" t="s">
        <v>0</v>
      </c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</row>
    <row r="2" spans="1:13" s="4" customFormat="1" ht="15.5" x14ac:dyDescent="0.3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5" t="s">
        <v>13</v>
      </c>
      <c r="L2" s="5" t="s">
        <v>13</v>
      </c>
      <c r="M2" s="5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tr">
        <f>HYPERLINK("https://www.ebi.ac.uk/ena/browser/view/ERR14660665","ERR14660665")</f>
        <v>ERR14660665</v>
      </c>
      <c r="L3" t="str">
        <f>HYPERLINK("https://www.ebi.ac.uk/ena/browser/view/GCA_965178865","GCA_965178865")</f>
        <v>GCA_965178865</v>
      </c>
      <c r="M3" t="str">
        <f>HYPERLINK("https://www.ncbi.nlm.nih.gov/datasets/genome/GCA_965178865","CBCXYD010000001-CBCXYD010000122")</f>
        <v>CBCXYD010000001-CBCXYD010000122</v>
      </c>
    </row>
    <row r="4" spans="1:13" x14ac:dyDescent="0.35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19</v>
      </c>
      <c r="G4" t="s">
        <v>27</v>
      </c>
      <c r="H4" t="s">
        <v>28</v>
      </c>
      <c r="I4" t="s">
        <v>29</v>
      </c>
      <c r="J4" t="s">
        <v>30</v>
      </c>
      <c r="K4" t="str">
        <f>HYPERLINK("https://www.ebi.ac.uk/ena/browser/view/ERR14660768","ERR14660768")</f>
        <v>ERR14660768</v>
      </c>
      <c r="L4" t="str">
        <f>HYPERLINK("https://www.ebi.ac.uk/ena/browser/view/GCA_965180605","GCA_965180605")</f>
        <v>GCA_965180605</v>
      </c>
      <c r="M4" t="str">
        <f>HYPERLINK("https://www.ncbi.nlm.nih.gov/datasets/genome/GCA_965180605","CBCYDN010000001-CBCYDN010000118")</f>
        <v>CBCYDN010000001-CBCYDN010000118</v>
      </c>
    </row>
    <row r="5" spans="1:13" x14ac:dyDescent="0.35">
      <c r="A5" t="s">
        <v>31</v>
      </c>
      <c r="B5" t="s">
        <v>25</v>
      </c>
      <c r="C5" t="s">
        <v>26</v>
      </c>
      <c r="D5" t="s">
        <v>32</v>
      </c>
      <c r="E5" t="s">
        <v>18</v>
      </c>
      <c r="F5" t="s">
        <v>19</v>
      </c>
      <c r="G5" t="s">
        <v>27</v>
      </c>
      <c r="H5" t="s">
        <v>33</v>
      </c>
      <c r="I5" t="s">
        <v>34</v>
      </c>
      <c r="J5" t="s">
        <v>35</v>
      </c>
      <c r="K5" t="str">
        <f>HYPERLINK("https://www.ebi.ac.uk/ena/browser/view/ERR14660790","ERR14660790")</f>
        <v>ERR14660790</v>
      </c>
      <c r="L5" t="str">
        <f>HYPERLINK("https://www.ebi.ac.uk/ena/browser/view/GCA_965182435","GCA_965182435")</f>
        <v>GCA_965182435</v>
      </c>
      <c r="M5" t="str">
        <f>HYPERLINK("https://www.ncbi.nlm.nih.gov/datasets/genome/GCA_965182435","CBCYKI010000001-CBCYKI010000216")</f>
        <v>CBCYKI010000001-CBCYKI010000216</v>
      </c>
    </row>
    <row r="6" spans="1:13" x14ac:dyDescent="0.35">
      <c r="A6" t="s">
        <v>36</v>
      </c>
      <c r="B6" t="s">
        <v>25</v>
      </c>
      <c r="C6" t="s">
        <v>26</v>
      </c>
      <c r="D6" t="s">
        <v>17</v>
      </c>
      <c r="E6" t="s">
        <v>18</v>
      </c>
      <c r="F6" t="s">
        <v>19</v>
      </c>
      <c r="G6" t="s">
        <v>27</v>
      </c>
      <c r="H6" t="s">
        <v>37</v>
      </c>
      <c r="I6" t="s">
        <v>38</v>
      </c>
      <c r="J6" t="s">
        <v>39</v>
      </c>
      <c r="K6" t="str">
        <f>HYPERLINK("https://www.ebi.ac.uk/ena/browser/view/ERR14660792","ERR14660792")</f>
        <v>ERR14660792</v>
      </c>
      <c r="L6" t="str">
        <f>HYPERLINK("https://www.ebi.ac.uk/ena/browser/view/GCA_965182425","GCA_965182425")</f>
        <v>GCA_965182425</v>
      </c>
      <c r="M6" t="str">
        <f>HYPERLINK("https://www.ncbi.nlm.nih.gov/datasets/genome/GCA_965182425","CBCYKS010000001-CBCYKS010000110")</f>
        <v>CBCYKS010000001-CBCYKS010000110</v>
      </c>
    </row>
    <row r="7" spans="1:13" x14ac:dyDescent="0.35">
      <c r="A7" t="s">
        <v>40</v>
      </c>
      <c r="B7" t="s">
        <v>25</v>
      </c>
      <c r="C7" t="s">
        <v>26</v>
      </c>
      <c r="D7" t="s">
        <v>17</v>
      </c>
      <c r="E7" t="s">
        <v>18</v>
      </c>
      <c r="F7" t="s">
        <v>19</v>
      </c>
      <c r="G7" t="s">
        <v>41</v>
      </c>
      <c r="H7" t="s">
        <v>42</v>
      </c>
      <c r="I7" t="s">
        <v>43</v>
      </c>
      <c r="J7" t="s">
        <v>44</v>
      </c>
      <c r="K7" t="str">
        <f>HYPERLINK("https://www.ebi.ac.uk/ena/browser/view/ERR14660805","ERR14660805")</f>
        <v>ERR14660805</v>
      </c>
      <c r="L7" t="str">
        <f>HYPERLINK("https://www.ebi.ac.uk/ena/browser/view/GCA_965181425","GCA_965181425")</f>
        <v>GCA_965181425</v>
      </c>
      <c r="M7" t="str">
        <f>HYPERLINK("https://www.ncbi.nlm.nih.gov/datasets/genome/GCA_965181425","CBCYGZ010000001-CBCYGZ010000070")</f>
        <v>CBCYGZ010000001-CBCYGZ010000070</v>
      </c>
    </row>
    <row r="8" spans="1:13" x14ac:dyDescent="0.35">
      <c r="A8" t="s">
        <v>45</v>
      </c>
      <c r="B8" t="s">
        <v>25</v>
      </c>
      <c r="C8" t="s">
        <v>26</v>
      </c>
      <c r="D8" t="s">
        <v>17</v>
      </c>
      <c r="E8" t="s">
        <v>18</v>
      </c>
      <c r="F8" t="s">
        <v>19</v>
      </c>
      <c r="G8" t="s">
        <v>27</v>
      </c>
      <c r="H8" t="s">
        <v>46</v>
      </c>
      <c r="I8" t="s">
        <v>47</v>
      </c>
      <c r="J8" t="s">
        <v>48</v>
      </c>
      <c r="K8" t="str">
        <f>HYPERLINK("https://www.ebi.ac.uk/ena/browser/view/ERR14660834","ERR14660834")</f>
        <v>ERR14660834</v>
      </c>
      <c r="L8" t="str">
        <f>HYPERLINK("https://www.ebi.ac.uk/ena/browser/view/GCA_965183365","GCA_965183365")</f>
        <v>GCA_965183365</v>
      </c>
      <c r="M8" t="str">
        <f>HYPERLINK("https://www.ncbi.nlm.nih.gov/datasets/genome/GCA_965183365","CBDACI010000001-CBDACI010000113")</f>
        <v>CBDACI010000001-CBDACI010000113</v>
      </c>
    </row>
    <row r="9" spans="1:13" x14ac:dyDescent="0.35">
      <c r="A9" t="s">
        <v>49</v>
      </c>
      <c r="B9" t="s">
        <v>25</v>
      </c>
      <c r="C9" t="s">
        <v>26</v>
      </c>
      <c r="D9" t="s">
        <v>17</v>
      </c>
      <c r="E9" t="s">
        <v>18</v>
      </c>
      <c r="F9" t="s">
        <v>19</v>
      </c>
      <c r="G9" t="s">
        <v>27</v>
      </c>
      <c r="H9" t="s">
        <v>50</v>
      </c>
      <c r="I9" t="s">
        <v>51</v>
      </c>
      <c r="J9" t="s">
        <v>52</v>
      </c>
      <c r="K9" t="str">
        <f>HYPERLINK("https://www.ebi.ac.uk/ena/browser/view/ERR14660835","ERR14660835")</f>
        <v>ERR14660835</v>
      </c>
      <c r="L9" t="str">
        <f>HYPERLINK("https://www.ebi.ac.uk/ena/browser/view/GCA_965181145","GCA_965181145")</f>
        <v>GCA_965181145</v>
      </c>
      <c r="M9" t="str">
        <f>HYPERLINK("https://www.ncbi.nlm.nih.gov/datasets/genome/GCA_965181145","CBCYGC010000001-CBCYGC010000111")</f>
        <v>CBCYGC010000001-CBCYGC010000111</v>
      </c>
    </row>
    <row r="10" spans="1:13" x14ac:dyDescent="0.35">
      <c r="A10" t="s">
        <v>53</v>
      </c>
      <c r="B10" t="s">
        <v>15</v>
      </c>
      <c r="C10" t="s">
        <v>16</v>
      </c>
      <c r="D10" t="s">
        <v>17</v>
      </c>
      <c r="E10" t="s">
        <v>54</v>
      </c>
      <c r="F10" t="s">
        <v>19</v>
      </c>
      <c r="G10" t="s">
        <v>55</v>
      </c>
      <c r="H10" t="s">
        <v>56</v>
      </c>
      <c r="I10" t="s">
        <v>57</v>
      </c>
      <c r="J10" t="s">
        <v>58</v>
      </c>
      <c r="K10" t="str">
        <f>HYPERLINK("https://www.ebi.ac.uk/ena/browser/view/ERR14660709","ERR14660709")</f>
        <v>ERR14660709</v>
      </c>
      <c r="L10" t="str">
        <f>HYPERLINK("https://www.ebi.ac.uk/ena/browser/view/GCA_965179565","GCA_965179565")</f>
        <v>GCA_965179565</v>
      </c>
      <c r="M10" t="str">
        <f>HYPERLINK("https://www.ncbi.nlm.nih.gov/datasets/genome/GCA_965179565","CBCXYL010000001-CBCXYL010000086")</f>
        <v>CBCXYL010000001-CBCXYL010000086</v>
      </c>
    </row>
    <row r="11" spans="1:13" x14ac:dyDescent="0.35">
      <c r="A11" t="s">
        <v>59</v>
      </c>
      <c r="B11" t="s">
        <v>25</v>
      </c>
      <c r="C11" t="s">
        <v>26</v>
      </c>
      <c r="D11" t="s">
        <v>32</v>
      </c>
      <c r="E11" t="s">
        <v>54</v>
      </c>
      <c r="F11" t="s">
        <v>19</v>
      </c>
      <c r="G11" t="s">
        <v>60</v>
      </c>
      <c r="H11" t="s">
        <v>61</v>
      </c>
      <c r="I11" t="s">
        <v>62</v>
      </c>
      <c r="J11" t="s">
        <v>63</v>
      </c>
      <c r="K11" t="str">
        <f>HYPERLINK("https://www.ebi.ac.uk/ena/browser/view/ERR14660775","ERR14660775")</f>
        <v>ERR14660775</v>
      </c>
      <c r="L11" t="str">
        <f>HYPERLINK("https://www.ebi.ac.uk/ena/browser/view/GCA_965181495","GCA_965181495")</f>
        <v>GCA_965181495</v>
      </c>
      <c r="M11" t="str">
        <f>HYPERLINK("https://www.ncbi.nlm.nih.gov/datasets/genome/GCA_965181495","CBCYHB010000001-CBCYHB010000137")</f>
        <v>CBCYHB010000001-CBCYHB010000137</v>
      </c>
    </row>
    <row r="12" spans="1:13" x14ac:dyDescent="0.35">
      <c r="A12" t="s">
        <v>64</v>
      </c>
      <c r="B12" t="s">
        <v>15</v>
      </c>
      <c r="C12" t="s">
        <v>16</v>
      </c>
      <c r="D12" t="s">
        <v>17</v>
      </c>
      <c r="E12" t="s">
        <v>65</v>
      </c>
      <c r="F12" t="s">
        <v>19</v>
      </c>
      <c r="G12" t="s">
        <v>66</v>
      </c>
      <c r="H12" t="s">
        <v>67</v>
      </c>
      <c r="I12" t="s">
        <v>68</v>
      </c>
      <c r="J12" t="s">
        <v>69</v>
      </c>
      <c r="K12" t="str">
        <f>HYPERLINK("https://www.ebi.ac.uk/ena/browser/view/ERR14660661","ERR14660661")</f>
        <v>ERR14660661</v>
      </c>
      <c r="L12" t="str">
        <f>HYPERLINK("https://www.ebi.ac.uk/ena/browser/view/GCA_965179275","GCA_965179275")</f>
        <v>GCA_965179275</v>
      </c>
      <c r="M12" t="str">
        <f>HYPERLINK("https://www.ncbi.nlm.nih.gov/datasets/genome/GCA_965179275","CBCXWX010000001-CBCXWX010000103")</f>
        <v>CBCXWX010000001-CBCXWX010000103</v>
      </c>
    </row>
    <row r="13" spans="1:13" x14ac:dyDescent="0.35">
      <c r="A13" t="s">
        <v>70</v>
      </c>
      <c r="B13" t="s">
        <v>25</v>
      </c>
      <c r="C13" t="s">
        <v>26</v>
      </c>
      <c r="D13" t="s">
        <v>32</v>
      </c>
      <c r="E13" t="s">
        <v>65</v>
      </c>
      <c r="F13" t="s">
        <v>19</v>
      </c>
      <c r="G13" t="s">
        <v>71</v>
      </c>
      <c r="H13" t="s">
        <v>72</v>
      </c>
      <c r="I13" t="s">
        <v>73</v>
      </c>
      <c r="J13" t="s">
        <v>74</v>
      </c>
      <c r="K13" t="str">
        <f>HYPERLINK("https://www.ebi.ac.uk/ena/browser/view/ERR14660769","ERR14660769")</f>
        <v>ERR14660769</v>
      </c>
      <c r="L13" t="str">
        <f>HYPERLINK("https://www.ebi.ac.uk/ena/browser/view/GCA_965181595","GCA_965181595")</f>
        <v>GCA_965181595</v>
      </c>
      <c r="M13" t="str">
        <f>HYPERLINK("https://www.ncbi.nlm.nih.gov/datasets/genome/GCA_965181595","CBCYHD010000001-CBCYHD010000041")</f>
        <v>CBCYHD010000001-CBCYHD010000041</v>
      </c>
    </row>
    <row r="14" spans="1:13" x14ac:dyDescent="0.35">
      <c r="A14" t="s">
        <v>75</v>
      </c>
      <c r="B14" t="s">
        <v>25</v>
      </c>
      <c r="C14" t="s">
        <v>26</v>
      </c>
      <c r="D14" t="s">
        <v>17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 t="s">
        <v>81</v>
      </c>
      <c r="K14" t="str">
        <f>HYPERLINK("https://www.ebi.ac.uk/ena/browser/view/ERR14660813","ERR14660813")</f>
        <v>ERR14660813</v>
      </c>
      <c r="L14" t="str">
        <f>HYPERLINK("https://www.ebi.ac.uk/ena/browser/view/GCA_965183605","GCA_965183605")</f>
        <v>GCA_965183605</v>
      </c>
      <c r="M14" t="str">
        <f>HYPERLINK("https://www.ncbi.nlm.nih.gov/datasets/genome/GCA_965183605","CBDACU010000001-CBDACU010000056")</f>
        <v>CBDACU010000001-CBDACU010000056</v>
      </c>
    </row>
    <row r="15" spans="1:13" x14ac:dyDescent="0.35">
      <c r="A15" t="s">
        <v>82</v>
      </c>
      <c r="B15" t="s">
        <v>25</v>
      </c>
      <c r="C15" t="s">
        <v>26</v>
      </c>
      <c r="D15" t="s">
        <v>17</v>
      </c>
      <c r="E15" t="s">
        <v>83</v>
      </c>
      <c r="F15" t="s">
        <v>77</v>
      </c>
      <c r="G15" t="s">
        <v>84</v>
      </c>
      <c r="H15" t="s">
        <v>85</v>
      </c>
      <c r="I15" t="s">
        <v>86</v>
      </c>
      <c r="J15" t="s">
        <v>87</v>
      </c>
      <c r="K15" t="str">
        <f>HYPERLINK("https://www.ebi.ac.uk/ena/browser/view/ERR14660766","ERR14660766")</f>
        <v>ERR14660766</v>
      </c>
      <c r="L15" t="str">
        <f>HYPERLINK("https://www.ebi.ac.uk/ena/browser/view/GCA_965180615","GCA_965180615")</f>
        <v>GCA_965180615</v>
      </c>
      <c r="M15" t="str">
        <f>HYPERLINK("https://www.ncbi.nlm.nih.gov/datasets/genome/GCA_965180615","CBCYDM010000001-CBCYDM010000132")</f>
        <v>CBCYDM010000001-CBCYDM010000132</v>
      </c>
    </row>
    <row r="16" spans="1:13" x14ac:dyDescent="0.35">
      <c r="A16" t="s">
        <v>88</v>
      </c>
      <c r="B16" t="s">
        <v>25</v>
      </c>
      <c r="C16" t="s">
        <v>26</v>
      </c>
      <c r="D16" t="s">
        <v>17</v>
      </c>
      <c r="E16" t="s">
        <v>83</v>
      </c>
      <c r="F16" t="s">
        <v>77</v>
      </c>
      <c r="G16" t="s">
        <v>89</v>
      </c>
      <c r="H16" t="s">
        <v>90</v>
      </c>
      <c r="I16" t="s">
        <v>91</v>
      </c>
      <c r="J16" t="s">
        <v>92</v>
      </c>
      <c r="K16" t="str">
        <f>HYPERLINK("https://www.ebi.ac.uk/ena/browser/view/ERR14660809","ERR14660809")</f>
        <v>ERR14660809</v>
      </c>
      <c r="L16" t="str">
        <f>HYPERLINK("https://www.ebi.ac.uk/ena/browser/view/GCA_965182765","GCA_965182765")</f>
        <v>GCA_965182765</v>
      </c>
      <c r="M16" t="str">
        <f>HYPERLINK("https://www.ncbi.nlm.nih.gov/datasets/genome/GCA_965182765","CBCYLN010000001-CBCYLN010000088")</f>
        <v>CBCYLN010000001-CBCYLN010000088</v>
      </c>
    </row>
    <row r="17" spans="1:13" x14ac:dyDescent="0.35">
      <c r="A17" t="s">
        <v>93</v>
      </c>
      <c r="B17" t="s">
        <v>15</v>
      </c>
      <c r="C17" t="s">
        <v>16</v>
      </c>
      <c r="D17" t="s">
        <v>17</v>
      </c>
      <c r="E17" t="s">
        <v>94</v>
      </c>
      <c r="F17" t="s">
        <v>77</v>
      </c>
      <c r="G17" t="s">
        <v>95</v>
      </c>
      <c r="H17" t="s">
        <v>96</v>
      </c>
      <c r="I17" t="s">
        <v>97</v>
      </c>
      <c r="J17" t="s">
        <v>98</v>
      </c>
      <c r="K17" t="str">
        <f>HYPERLINK("https://www.ebi.ac.uk/ena/browser/view/ERR14660659","ERR14660659")</f>
        <v>ERR14660659</v>
      </c>
      <c r="L17" t="str">
        <f>HYPERLINK("https://www.ebi.ac.uk/ena/browser/view/GCA_965179095","GCA_965179095")</f>
        <v>GCA_965179095</v>
      </c>
      <c r="M17" t="str">
        <f>HYPERLINK("https://www.ncbi.nlm.nih.gov/datasets/genome/GCA_965179095","CBCXXB010000001-CBCXXB010000046")</f>
        <v>CBCXXB010000001-CBCXXB010000046</v>
      </c>
    </row>
    <row r="18" spans="1:13" x14ac:dyDescent="0.35">
      <c r="A18" t="s">
        <v>99</v>
      </c>
      <c r="B18" t="s">
        <v>15</v>
      </c>
      <c r="C18" t="s">
        <v>16</v>
      </c>
      <c r="D18" t="s">
        <v>17</v>
      </c>
      <c r="E18" t="s">
        <v>94</v>
      </c>
      <c r="F18" t="s">
        <v>77</v>
      </c>
      <c r="G18" t="s">
        <v>100</v>
      </c>
      <c r="H18" t="s">
        <v>101</v>
      </c>
      <c r="I18" t="s">
        <v>102</v>
      </c>
      <c r="J18" t="s">
        <v>103</v>
      </c>
      <c r="K18" t="str">
        <f>HYPERLINK("https://www.ebi.ac.uk/ena/browser/view/ERR14660676","ERR14660676")</f>
        <v>ERR14660676</v>
      </c>
      <c r="L18" t="str">
        <f>HYPERLINK("https://www.ebi.ac.uk/ena/browser/view/GCA_965179505","GCA_965179505")</f>
        <v>GCA_965179505</v>
      </c>
      <c r="M18" t="str">
        <f>HYPERLINK("https://www.ncbi.nlm.nih.gov/datasets/genome/GCA_965179505","CBCXXC010000001-CBCXXC010000051")</f>
        <v>CBCXXC010000001-CBCXXC010000051</v>
      </c>
    </row>
    <row r="19" spans="1:13" x14ac:dyDescent="0.35">
      <c r="A19" t="s">
        <v>104</v>
      </c>
      <c r="B19" t="s">
        <v>15</v>
      </c>
      <c r="C19" t="s">
        <v>16</v>
      </c>
      <c r="D19" t="s">
        <v>17</v>
      </c>
      <c r="E19" t="s">
        <v>94</v>
      </c>
      <c r="F19" t="s">
        <v>77</v>
      </c>
      <c r="G19" t="s">
        <v>105</v>
      </c>
      <c r="H19" t="s">
        <v>106</v>
      </c>
      <c r="I19" t="s">
        <v>107</v>
      </c>
      <c r="J19" t="s">
        <v>108</v>
      </c>
      <c r="K19" t="str">
        <f>HYPERLINK("https://www.ebi.ac.uk/ena/browser/view/ERR14660684","ERR14660684")</f>
        <v>ERR14660684</v>
      </c>
      <c r="L19" t="str">
        <f>HYPERLINK("https://www.ebi.ac.uk/ena/browser/view/GCA_965179325","GCA_965179325")</f>
        <v>GCA_965179325</v>
      </c>
      <c r="M19" t="str">
        <f>HYPERLINK("https://www.ncbi.nlm.nih.gov/datasets/genome/GCA_965179325","CBCXWY010000001-CBCXWY010000050")</f>
        <v>CBCXWY010000001-CBCXWY010000050</v>
      </c>
    </row>
    <row r="20" spans="1:13" x14ac:dyDescent="0.35">
      <c r="A20" t="s">
        <v>109</v>
      </c>
      <c r="B20" t="s">
        <v>15</v>
      </c>
      <c r="C20" t="s">
        <v>16</v>
      </c>
      <c r="D20" t="s">
        <v>17</v>
      </c>
      <c r="E20" t="s">
        <v>94</v>
      </c>
      <c r="F20" t="s">
        <v>77</v>
      </c>
      <c r="G20" t="s">
        <v>110</v>
      </c>
      <c r="H20" t="s">
        <v>111</v>
      </c>
      <c r="I20" t="s">
        <v>112</v>
      </c>
      <c r="J20" t="s">
        <v>113</v>
      </c>
      <c r="K20" t="str">
        <f>HYPERLINK("https://www.ebi.ac.uk/ena/browser/view/ERR14660700","ERR14660700")</f>
        <v>ERR14660700</v>
      </c>
      <c r="L20" t="str">
        <f>HYPERLINK("https://www.ebi.ac.uk/ena/browser/view/GCA_965179315","GCA_965179315")</f>
        <v>GCA_965179315</v>
      </c>
      <c r="M20" t="str">
        <f>HYPERLINK("https://www.ncbi.nlm.nih.gov/datasets/genome/GCA_965179315","CBCXXQ010000001-CBCXXQ010000055")</f>
        <v>CBCXXQ010000001-CBCXXQ010000055</v>
      </c>
    </row>
    <row r="21" spans="1:13" x14ac:dyDescent="0.35">
      <c r="A21" t="s">
        <v>114</v>
      </c>
      <c r="B21" t="s">
        <v>15</v>
      </c>
      <c r="C21" t="s">
        <v>16</v>
      </c>
      <c r="D21" t="s">
        <v>17</v>
      </c>
      <c r="E21" t="s">
        <v>94</v>
      </c>
      <c r="F21" t="s">
        <v>77</v>
      </c>
      <c r="G21" t="s">
        <v>110</v>
      </c>
      <c r="H21" t="s">
        <v>115</v>
      </c>
      <c r="I21" t="s">
        <v>116</v>
      </c>
      <c r="J21" t="s">
        <v>117</v>
      </c>
      <c r="K21" t="str">
        <f>HYPERLINK("https://www.ebi.ac.uk/ena/browser/view/ERR14660713","ERR14660713")</f>
        <v>ERR14660713</v>
      </c>
      <c r="L21" t="str">
        <f>HYPERLINK("https://www.ebi.ac.uk/ena/browser/view/GCA_965179405","GCA_965179405")</f>
        <v>GCA_965179405</v>
      </c>
      <c r="M21" t="str">
        <f>HYPERLINK("https://www.ncbi.nlm.nih.gov/datasets/genome/GCA_965179405","CBCXXO010000001-CBCXXO010000055")</f>
        <v>CBCXXO010000001-CBCXXO010000055</v>
      </c>
    </row>
    <row r="22" spans="1:13" x14ac:dyDescent="0.35">
      <c r="A22" t="s">
        <v>118</v>
      </c>
      <c r="B22" t="s">
        <v>15</v>
      </c>
      <c r="C22" t="s">
        <v>16</v>
      </c>
      <c r="D22" t="s">
        <v>17</v>
      </c>
      <c r="E22" t="s">
        <v>94</v>
      </c>
      <c r="F22" t="s">
        <v>77</v>
      </c>
      <c r="G22" t="s">
        <v>105</v>
      </c>
      <c r="H22" t="s">
        <v>119</v>
      </c>
      <c r="I22" t="s">
        <v>120</v>
      </c>
      <c r="J22" t="s">
        <v>121</v>
      </c>
      <c r="K22" t="str">
        <f>HYPERLINK("https://www.ebi.ac.uk/ena/browser/view/ERR14660730","ERR14660730")</f>
        <v>ERR14660730</v>
      </c>
      <c r="L22" t="str">
        <f>HYPERLINK("https://www.ebi.ac.uk/ena/browser/view/GCA_965180825","GCA_965180825")</f>
        <v>GCA_965180825</v>
      </c>
      <c r="M22" t="str">
        <f>HYPERLINK("https://www.ncbi.nlm.nih.gov/datasets/genome/GCA_965180825","CBCYEC010000001-CBCYEC010000042")</f>
        <v>CBCYEC010000001-CBCYEC010000042</v>
      </c>
    </row>
    <row r="23" spans="1:13" x14ac:dyDescent="0.35">
      <c r="A23" t="s">
        <v>122</v>
      </c>
      <c r="B23" t="s">
        <v>25</v>
      </c>
      <c r="C23" t="s">
        <v>26</v>
      </c>
      <c r="D23" t="s">
        <v>17</v>
      </c>
      <c r="E23" t="s">
        <v>94</v>
      </c>
      <c r="F23" t="s">
        <v>77</v>
      </c>
      <c r="G23" t="s">
        <v>123</v>
      </c>
      <c r="H23" t="s">
        <v>124</v>
      </c>
      <c r="I23" t="s">
        <v>125</v>
      </c>
      <c r="J23" t="s">
        <v>126</v>
      </c>
      <c r="K23" t="str">
        <f>HYPERLINK("https://www.ebi.ac.uk/ena/browser/view/ERR14660788","ERR14660788")</f>
        <v>ERR14660788</v>
      </c>
      <c r="L23" t="str">
        <f>HYPERLINK("https://www.ebi.ac.uk/ena/browser/view/GCA_965180165","GCA_965180165")</f>
        <v>GCA_965180165</v>
      </c>
      <c r="M23" t="str">
        <f>HYPERLINK("https://www.ncbi.nlm.nih.gov/datasets/genome/GCA_965180165","CBCYBJ010000001-CBCYBJ010000079")</f>
        <v>CBCYBJ010000001-CBCYBJ010000079</v>
      </c>
    </row>
    <row r="24" spans="1:13" x14ac:dyDescent="0.35">
      <c r="A24" t="s">
        <v>127</v>
      </c>
      <c r="B24" t="s">
        <v>25</v>
      </c>
      <c r="C24" t="s">
        <v>26</v>
      </c>
      <c r="D24" t="s">
        <v>17</v>
      </c>
      <c r="E24" t="s">
        <v>94</v>
      </c>
      <c r="F24" t="s">
        <v>77</v>
      </c>
      <c r="G24" t="s">
        <v>128</v>
      </c>
      <c r="H24" t="s">
        <v>129</v>
      </c>
      <c r="I24" t="s">
        <v>130</v>
      </c>
      <c r="J24" t="s">
        <v>131</v>
      </c>
      <c r="K24" t="str">
        <f>HYPERLINK("https://www.ebi.ac.uk/ena/browser/view/ERR14660791","ERR14660791")</f>
        <v>ERR14660791</v>
      </c>
      <c r="L24" t="str">
        <f>HYPERLINK("https://www.ebi.ac.uk/ena/browser/view/GCA_965179885","GCA_965179885")</f>
        <v>GCA_965179885</v>
      </c>
      <c r="M24" t="str">
        <f>HYPERLINK("https://www.ncbi.nlm.nih.gov/datasets/genome/GCA_965179885","CBCYAX010000001-CBCYAX010000063")</f>
        <v>CBCYAX010000001-CBCYAX010000063</v>
      </c>
    </row>
    <row r="25" spans="1:13" x14ac:dyDescent="0.35">
      <c r="A25" t="s">
        <v>132</v>
      </c>
      <c r="B25" t="s">
        <v>25</v>
      </c>
      <c r="C25" t="s">
        <v>26</v>
      </c>
      <c r="D25" t="s">
        <v>32</v>
      </c>
      <c r="E25" t="s">
        <v>94</v>
      </c>
      <c r="F25" t="s">
        <v>77</v>
      </c>
      <c r="G25" t="s">
        <v>133</v>
      </c>
      <c r="H25" t="s">
        <v>134</v>
      </c>
      <c r="I25" t="s">
        <v>135</v>
      </c>
      <c r="J25" t="s">
        <v>136</v>
      </c>
      <c r="K25" t="str">
        <f>HYPERLINK("https://www.ebi.ac.uk/ena/browser/view/ERR14660796","ERR14660796")</f>
        <v>ERR14660796</v>
      </c>
      <c r="L25" t="str">
        <f>HYPERLINK("https://www.ebi.ac.uk/ena/browser/view/GCA_965181865","GCA_965181865")</f>
        <v>GCA_965181865</v>
      </c>
      <c r="M25" t="str">
        <f>HYPERLINK("https://www.ncbi.nlm.nih.gov/datasets/genome/GCA_965181865","CBCYIH010000001-CBCYIH010000066")</f>
        <v>CBCYIH010000001-CBCYIH010000066</v>
      </c>
    </row>
    <row r="26" spans="1:13" x14ac:dyDescent="0.35">
      <c r="A26" t="s">
        <v>137</v>
      </c>
      <c r="B26" t="s">
        <v>25</v>
      </c>
      <c r="C26" t="s">
        <v>26</v>
      </c>
      <c r="D26" t="s">
        <v>32</v>
      </c>
      <c r="E26" t="s">
        <v>94</v>
      </c>
      <c r="F26" t="s">
        <v>77</v>
      </c>
      <c r="G26" t="s">
        <v>138</v>
      </c>
      <c r="H26" t="s">
        <v>139</v>
      </c>
      <c r="I26" t="s">
        <v>140</v>
      </c>
      <c r="J26" t="s">
        <v>141</v>
      </c>
      <c r="K26" t="str">
        <f>HYPERLINK("https://www.ebi.ac.uk/ena/browser/view/ERR14660797","ERR14660797")</f>
        <v>ERR14660797</v>
      </c>
      <c r="L26" t="str">
        <f>HYPERLINK("https://www.ebi.ac.uk/ena/browser/view/GCA_965182295","GCA_965182295")</f>
        <v>GCA_965182295</v>
      </c>
      <c r="M26" t="str">
        <f>HYPERLINK("https://www.ncbi.nlm.nih.gov/datasets/genome/GCA_965182295","CBCYJV010000001-CBCYJV010000080")</f>
        <v>CBCYJV010000001-CBCYJV010000080</v>
      </c>
    </row>
    <row r="27" spans="1:13" x14ac:dyDescent="0.35">
      <c r="A27" t="s">
        <v>142</v>
      </c>
      <c r="B27" t="s">
        <v>25</v>
      </c>
      <c r="C27" t="s">
        <v>26</v>
      </c>
      <c r="D27" t="s">
        <v>17</v>
      </c>
      <c r="E27" t="s">
        <v>94</v>
      </c>
      <c r="F27" t="s">
        <v>77</v>
      </c>
      <c r="G27" t="s">
        <v>138</v>
      </c>
      <c r="H27" t="s">
        <v>143</v>
      </c>
      <c r="I27" t="s">
        <v>144</v>
      </c>
      <c r="J27" t="s">
        <v>145</v>
      </c>
      <c r="K27" t="str">
        <f>HYPERLINK("https://www.ebi.ac.uk/ena/browser/view/ERR14660802","ERR14660802")</f>
        <v>ERR14660802</v>
      </c>
      <c r="L27" t="str">
        <f>HYPERLINK("https://www.ebi.ac.uk/ena/browser/view/GCA_965182855","GCA_965182855")</f>
        <v>GCA_965182855</v>
      </c>
      <c r="M27" t="str">
        <f>HYPERLINK("https://www.ncbi.nlm.nih.gov/datasets/genome/GCA_965182855","CBCYMX010000001-CBCYMX010000070")</f>
        <v>CBCYMX010000001-CBCYMX010000070</v>
      </c>
    </row>
    <row r="28" spans="1:13" x14ac:dyDescent="0.35">
      <c r="A28" t="s">
        <v>146</v>
      </c>
      <c r="B28" t="s">
        <v>25</v>
      </c>
      <c r="C28" t="s">
        <v>26</v>
      </c>
      <c r="D28" t="s">
        <v>17</v>
      </c>
      <c r="E28" t="s">
        <v>94</v>
      </c>
      <c r="F28" t="s">
        <v>77</v>
      </c>
      <c r="G28" t="s">
        <v>147</v>
      </c>
      <c r="H28" t="s">
        <v>148</v>
      </c>
      <c r="I28" t="s">
        <v>149</v>
      </c>
      <c r="J28" t="s">
        <v>150</v>
      </c>
      <c r="K28" t="str">
        <f>HYPERLINK("https://www.ebi.ac.uk/ena/browser/view/ERR14660815","ERR14660815")</f>
        <v>ERR14660815</v>
      </c>
      <c r="L28" t="str">
        <f>HYPERLINK("https://www.ebi.ac.uk/ena/browser/view/GCA_965183645","GCA_965183645")</f>
        <v>GCA_965183645</v>
      </c>
      <c r="M28" t="str">
        <f>HYPERLINK("https://www.ncbi.nlm.nih.gov/datasets/genome/GCA_965183645","CBDACH010000001-CBDACH010000029")</f>
        <v>CBDACH010000001-CBDACH010000029</v>
      </c>
    </row>
    <row r="29" spans="1:13" x14ac:dyDescent="0.35">
      <c r="A29" t="s">
        <v>151</v>
      </c>
      <c r="B29" t="s">
        <v>25</v>
      </c>
      <c r="C29" t="s">
        <v>26</v>
      </c>
      <c r="D29" t="s">
        <v>17</v>
      </c>
      <c r="E29" t="s">
        <v>94</v>
      </c>
      <c r="F29" t="s">
        <v>77</v>
      </c>
      <c r="G29" t="s">
        <v>152</v>
      </c>
      <c r="H29" t="s">
        <v>153</v>
      </c>
      <c r="I29" t="s">
        <v>154</v>
      </c>
      <c r="J29" t="s">
        <v>155</v>
      </c>
      <c r="K29" t="str">
        <f>HYPERLINK("https://www.ebi.ac.uk/ena/browser/view/ERR14660820","ERR14660820")</f>
        <v>ERR14660820</v>
      </c>
      <c r="L29" t="str">
        <f>HYPERLINK("https://www.ebi.ac.uk/ena/browser/view/GCA_965183315","GCA_965183315")</f>
        <v>GCA_965183315</v>
      </c>
      <c r="M29" t="str">
        <f>HYPERLINK("https://www.ncbi.nlm.nih.gov/datasets/genome/GCA_965183315","CBDABU010000001-CBDABU010000081")</f>
        <v>CBDABU010000001-CBDABU010000081</v>
      </c>
    </row>
    <row r="30" spans="1:13" x14ac:dyDescent="0.35">
      <c r="A30" t="s">
        <v>156</v>
      </c>
      <c r="B30" t="s">
        <v>25</v>
      </c>
      <c r="C30" t="s">
        <v>26</v>
      </c>
      <c r="D30" t="s">
        <v>17</v>
      </c>
      <c r="E30" t="s">
        <v>94</v>
      </c>
      <c r="F30" t="s">
        <v>77</v>
      </c>
      <c r="G30" t="s">
        <v>157</v>
      </c>
      <c r="H30" t="s">
        <v>158</v>
      </c>
      <c r="I30" t="s">
        <v>159</v>
      </c>
      <c r="J30" t="s">
        <v>160</v>
      </c>
      <c r="K30" t="str">
        <f>HYPERLINK("https://www.ebi.ac.uk/ena/browser/view/ERR14660821","ERR14660821")</f>
        <v>ERR14660821</v>
      </c>
      <c r="L30" t="str">
        <f>HYPERLINK("https://www.ebi.ac.uk/ena/browser/view/GCA_965183425","GCA_965183425")</f>
        <v>GCA_965183425</v>
      </c>
      <c r="M30" t="str">
        <f>HYPERLINK("https://www.ncbi.nlm.nih.gov/datasets/genome/GCA_965183425","CBDABZ010000001-CBDABZ010000057")</f>
        <v>CBDABZ010000001-CBDABZ010000057</v>
      </c>
    </row>
    <row r="31" spans="1:13" x14ac:dyDescent="0.35">
      <c r="A31" t="s">
        <v>161</v>
      </c>
      <c r="B31" t="s">
        <v>25</v>
      </c>
      <c r="C31" t="s">
        <v>26</v>
      </c>
      <c r="D31" t="s">
        <v>32</v>
      </c>
      <c r="E31" t="s">
        <v>94</v>
      </c>
      <c r="F31" t="s">
        <v>77</v>
      </c>
      <c r="G31" t="s">
        <v>157</v>
      </c>
      <c r="H31" t="s">
        <v>162</v>
      </c>
      <c r="I31" t="s">
        <v>163</v>
      </c>
      <c r="J31" t="s">
        <v>164</v>
      </c>
      <c r="K31" t="str">
        <f>HYPERLINK("https://www.ebi.ac.uk/ena/browser/view/ERR14660836","ERR14660836")</f>
        <v>ERR14660836</v>
      </c>
      <c r="L31" t="str">
        <f>HYPERLINK("https://www.ebi.ac.uk/ena/browser/view/GCA_965182085","GCA_965182085")</f>
        <v>GCA_965182085</v>
      </c>
      <c r="M31" t="str">
        <f>HYPERLINK("https://www.ncbi.nlm.nih.gov/datasets/genome/GCA_965182085","CBCYJI010000001-CBCYJI010000070")</f>
        <v>CBCYJI010000001-CBCYJI010000070</v>
      </c>
    </row>
    <row r="32" spans="1:13" x14ac:dyDescent="0.35">
      <c r="A32" t="s">
        <v>165</v>
      </c>
      <c r="B32" t="s">
        <v>25</v>
      </c>
      <c r="C32" t="s">
        <v>26</v>
      </c>
      <c r="D32" t="s">
        <v>17</v>
      </c>
      <c r="E32" t="s">
        <v>94</v>
      </c>
      <c r="F32" t="s">
        <v>77</v>
      </c>
      <c r="G32" t="s">
        <v>133</v>
      </c>
      <c r="H32" t="s">
        <v>166</v>
      </c>
      <c r="I32" t="s">
        <v>167</v>
      </c>
      <c r="J32" t="s">
        <v>168</v>
      </c>
      <c r="K32" t="str">
        <f>HYPERLINK("https://www.ebi.ac.uk/ena/browser/view/ERR14660837","ERR14660837")</f>
        <v>ERR14660837</v>
      </c>
      <c r="L32" t="str">
        <f>HYPERLINK("https://www.ebi.ac.uk/ena/browser/view/GCA_965181195","GCA_965181195")</f>
        <v>GCA_965181195</v>
      </c>
      <c r="M32" t="str">
        <f>HYPERLINK("https://www.ncbi.nlm.nih.gov/datasets/genome/GCA_965181195","CBCYFE010000001-CBCYFE010000062")</f>
        <v>CBCYFE010000001-CBCYFE010000062</v>
      </c>
    </row>
    <row r="33" spans="1:13" x14ac:dyDescent="0.35">
      <c r="A33" t="s">
        <v>169</v>
      </c>
      <c r="B33" t="s">
        <v>25</v>
      </c>
      <c r="C33" t="s">
        <v>26</v>
      </c>
      <c r="D33" t="s">
        <v>32</v>
      </c>
      <c r="E33" t="s">
        <v>94</v>
      </c>
      <c r="F33" t="s">
        <v>77</v>
      </c>
      <c r="G33" t="s">
        <v>133</v>
      </c>
      <c r="H33" t="s">
        <v>170</v>
      </c>
      <c r="I33" t="s">
        <v>171</v>
      </c>
      <c r="J33" t="s">
        <v>172</v>
      </c>
      <c r="K33" t="str">
        <f>HYPERLINK("https://www.ebi.ac.uk/ena/browser/view/ERR14660838","ERR14660838")</f>
        <v>ERR14660838</v>
      </c>
      <c r="L33" t="str">
        <f>HYPERLINK("https://www.ebi.ac.uk/ena/browser/view/GCA_965179735","GCA_965179735")</f>
        <v>GCA_965179735</v>
      </c>
      <c r="M33" t="str">
        <f>HYPERLINK("https://www.ncbi.nlm.nih.gov/datasets/genome/GCA_965179735","CBCXZP010000001-CBCXZP010000060")</f>
        <v>CBCXZP010000001-CBCXZP010000060</v>
      </c>
    </row>
    <row r="34" spans="1:13" x14ac:dyDescent="0.35">
      <c r="A34" t="s">
        <v>173</v>
      </c>
      <c r="B34" t="s">
        <v>25</v>
      </c>
      <c r="C34" t="s">
        <v>174</v>
      </c>
      <c r="D34" t="s">
        <v>17</v>
      </c>
      <c r="E34" t="s">
        <v>94</v>
      </c>
      <c r="F34" t="s">
        <v>77</v>
      </c>
      <c r="G34" t="s">
        <v>175</v>
      </c>
      <c r="H34" t="s">
        <v>176</v>
      </c>
      <c r="I34" t="s">
        <v>177</v>
      </c>
      <c r="J34" t="s">
        <v>178</v>
      </c>
      <c r="K34" t="str">
        <f>HYPERLINK("https://www.ebi.ac.uk/ena/browser/view/ERR14660873","ERR14660873")</f>
        <v>ERR14660873</v>
      </c>
      <c r="L34" t="str">
        <f>HYPERLINK("https://www.ebi.ac.uk/ena/browser/view/GCA_965182035","GCA_965182035")</f>
        <v>GCA_965182035</v>
      </c>
      <c r="M34" t="str">
        <f>HYPERLINK("https://www.ncbi.nlm.nih.gov/datasets/genome/GCA_965182035","CBCYIV010000001-CBCYIV010000046")</f>
        <v>CBCYIV010000001-CBCYIV010000046</v>
      </c>
    </row>
    <row r="35" spans="1:13" x14ac:dyDescent="0.35">
      <c r="A35" t="s">
        <v>179</v>
      </c>
      <c r="B35" t="s">
        <v>25</v>
      </c>
      <c r="C35" t="s">
        <v>26</v>
      </c>
      <c r="D35" t="s">
        <v>17</v>
      </c>
      <c r="E35" t="s">
        <v>180</v>
      </c>
      <c r="F35" t="s">
        <v>77</v>
      </c>
      <c r="G35" t="s">
        <v>181</v>
      </c>
      <c r="H35" t="s">
        <v>182</v>
      </c>
      <c r="I35" t="s">
        <v>183</v>
      </c>
      <c r="J35" t="s">
        <v>184</v>
      </c>
      <c r="K35" t="str">
        <f>HYPERLINK("https://www.ebi.ac.uk/ena/browser/view/ERR14660781","ERR14660781")</f>
        <v>ERR14660781</v>
      </c>
      <c r="L35" t="str">
        <f>HYPERLINK("https://www.ebi.ac.uk/ena/browser/view/GCA_965183575","GCA_965183575")</f>
        <v>GCA_965183575</v>
      </c>
      <c r="M35" t="str">
        <f>HYPERLINK("https://www.ncbi.nlm.nih.gov/datasets/genome/GCA_965183575","CBDADB010000001-CBDADB010000118")</f>
        <v>CBDADB010000001-CBDADB010000118</v>
      </c>
    </row>
    <row r="36" spans="1:13" x14ac:dyDescent="0.35">
      <c r="A36" t="s">
        <v>185</v>
      </c>
      <c r="B36" t="s">
        <v>25</v>
      </c>
      <c r="C36" t="s">
        <v>26</v>
      </c>
      <c r="D36" t="s">
        <v>32</v>
      </c>
      <c r="E36" t="s">
        <v>180</v>
      </c>
      <c r="F36" t="s">
        <v>77</v>
      </c>
      <c r="G36" t="s">
        <v>181</v>
      </c>
      <c r="H36" t="s">
        <v>186</v>
      </c>
      <c r="I36" t="s">
        <v>187</v>
      </c>
      <c r="J36" t="s">
        <v>188</v>
      </c>
      <c r="K36" t="str">
        <f>HYPERLINK("https://www.ebi.ac.uk/ena/browser/view/ERR14660782","ERR14660782")</f>
        <v>ERR14660782</v>
      </c>
      <c r="L36" t="str">
        <f>HYPERLINK("https://www.ebi.ac.uk/ena/browser/view/GCA_965180355","GCA_965180355")</f>
        <v>GCA_965180355</v>
      </c>
      <c r="M36" t="str">
        <f>HYPERLINK("https://www.ncbi.nlm.nih.gov/datasets/genome/GCA_965180355","CBCYCV010000001-CBCYCV010000114")</f>
        <v>CBCYCV010000001-CBCYCV010000114</v>
      </c>
    </row>
    <row r="37" spans="1:13" x14ac:dyDescent="0.35">
      <c r="A37" t="s">
        <v>189</v>
      </c>
      <c r="B37" t="s">
        <v>15</v>
      </c>
      <c r="C37" t="s">
        <v>16</v>
      </c>
      <c r="D37" t="s">
        <v>17</v>
      </c>
      <c r="E37" t="s">
        <v>190</v>
      </c>
      <c r="F37" t="s">
        <v>191</v>
      </c>
      <c r="G37" t="s">
        <v>133</v>
      </c>
      <c r="H37" t="s">
        <v>192</v>
      </c>
      <c r="I37" t="s">
        <v>193</v>
      </c>
      <c r="J37" t="s">
        <v>194</v>
      </c>
      <c r="K37" t="str">
        <f>HYPERLINK("https://www.ebi.ac.uk/ena/browser/view/ERR14660475","ERR14660475")</f>
        <v>ERR14660475</v>
      </c>
      <c r="L37" t="str">
        <f>HYPERLINK("https://www.ebi.ac.uk/ena/browser/view/GCA_965179345","GCA_965179345")</f>
        <v>GCA_965179345</v>
      </c>
      <c r="M37" t="str">
        <f>HYPERLINK("https://www.ncbi.nlm.nih.gov/datasets/genome/GCA_965179345","CBCXYF010000001-CBCXYF010000340")</f>
        <v>CBCXYF010000001-CBCXYF010000340</v>
      </c>
    </row>
    <row r="38" spans="1:13" x14ac:dyDescent="0.35">
      <c r="A38" t="s">
        <v>195</v>
      </c>
      <c r="B38" t="s">
        <v>15</v>
      </c>
      <c r="C38" t="s">
        <v>16</v>
      </c>
      <c r="D38" t="s">
        <v>32</v>
      </c>
      <c r="E38" t="s">
        <v>190</v>
      </c>
      <c r="F38" t="s">
        <v>191</v>
      </c>
      <c r="G38" t="s">
        <v>196</v>
      </c>
      <c r="H38" t="s">
        <v>197</v>
      </c>
      <c r="I38" t="s">
        <v>198</v>
      </c>
      <c r="J38" t="s">
        <v>199</v>
      </c>
      <c r="K38" t="str">
        <f>HYPERLINK("https://www.ebi.ac.uk/ena/browser/view/ERR14660651","ERR14660651")</f>
        <v>ERR14660651</v>
      </c>
      <c r="L38" t="str">
        <f>HYPERLINK("https://www.ebi.ac.uk/ena/browser/view/GCA_965178815","GCA_965178815")</f>
        <v>GCA_965178815</v>
      </c>
      <c r="M38" t="str">
        <f>HYPERLINK("https://www.ncbi.nlm.nih.gov/datasets/genome/GCA_965178815","CBCXXP010000001-CBCXXP010000170")</f>
        <v>CBCXXP010000001-CBCXXP010000170</v>
      </c>
    </row>
    <row r="39" spans="1:13" x14ac:dyDescent="0.35">
      <c r="A39" t="s">
        <v>200</v>
      </c>
      <c r="B39" t="s">
        <v>15</v>
      </c>
      <c r="C39" t="s">
        <v>16</v>
      </c>
      <c r="D39" t="s">
        <v>17</v>
      </c>
      <c r="E39" t="s">
        <v>190</v>
      </c>
      <c r="F39" t="s">
        <v>191</v>
      </c>
      <c r="G39" t="s">
        <v>201</v>
      </c>
      <c r="H39" t="s">
        <v>202</v>
      </c>
      <c r="I39" t="s">
        <v>203</v>
      </c>
      <c r="J39" t="s">
        <v>204</v>
      </c>
      <c r="K39" t="str">
        <f>HYPERLINK("https://www.ebi.ac.uk/ena/browser/view/ERR14660652","ERR14660652")</f>
        <v>ERR14660652</v>
      </c>
      <c r="L39" t="str">
        <f>HYPERLINK("https://www.ebi.ac.uk/ena/browser/view/GCA_965179235","GCA_965179235")</f>
        <v>GCA_965179235</v>
      </c>
      <c r="M39" t="str">
        <f>HYPERLINK("https://www.ncbi.nlm.nih.gov/datasets/genome/GCA_965179235","CBCXXH010000001-CBCXXH010000283")</f>
        <v>CBCXXH010000001-CBCXXH010000283</v>
      </c>
    </row>
    <row r="40" spans="1:13" x14ac:dyDescent="0.35">
      <c r="A40" t="s">
        <v>205</v>
      </c>
      <c r="B40" t="s">
        <v>15</v>
      </c>
      <c r="C40" t="s">
        <v>16</v>
      </c>
      <c r="D40" t="s">
        <v>32</v>
      </c>
      <c r="E40" t="s">
        <v>190</v>
      </c>
      <c r="F40" t="s">
        <v>191</v>
      </c>
      <c r="G40" t="s">
        <v>206</v>
      </c>
      <c r="H40" t="s">
        <v>207</v>
      </c>
      <c r="I40" t="s">
        <v>208</v>
      </c>
      <c r="J40" t="s">
        <v>209</v>
      </c>
      <c r="K40" t="str">
        <f>HYPERLINK("https://www.ebi.ac.uk/ena/browser/view/ERR14660654","ERR14660654")</f>
        <v>ERR14660654</v>
      </c>
      <c r="L40" t="str">
        <f>HYPERLINK("https://www.ebi.ac.uk/ena/browser/view/GCA_965178785","GCA_965178785")</f>
        <v>GCA_965178785</v>
      </c>
      <c r="M40" t="str">
        <f>HYPERLINK("https://www.ncbi.nlm.nih.gov/datasets/genome/GCA_965178785","CBCXWV010000001-CBCXWV010000055")</f>
        <v>CBCXWV010000001-CBCXWV010000055</v>
      </c>
    </row>
    <row r="41" spans="1:13" x14ac:dyDescent="0.35">
      <c r="A41" t="s">
        <v>210</v>
      </c>
      <c r="B41" t="s">
        <v>15</v>
      </c>
      <c r="C41" t="s">
        <v>16</v>
      </c>
      <c r="D41" t="s">
        <v>17</v>
      </c>
      <c r="E41" t="s">
        <v>190</v>
      </c>
      <c r="F41" t="s">
        <v>191</v>
      </c>
      <c r="G41" t="s">
        <v>211</v>
      </c>
      <c r="H41" t="s">
        <v>212</v>
      </c>
      <c r="I41" t="s">
        <v>213</v>
      </c>
      <c r="J41" t="s">
        <v>214</v>
      </c>
      <c r="K41" t="str">
        <f>HYPERLINK("https://www.ebi.ac.uk/ena/browser/view/ERR14660655","ERR14660655")</f>
        <v>ERR14660655</v>
      </c>
      <c r="L41" t="str">
        <f>HYPERLINK("https://www.ebi.ac.uk/ena/browser/view/GCA_965179165","GCA_965179165")</f>
        <v>GCA_965179165</v>
      </c>
      <c r="M41" t="str">
        <f>HYPERLINK("https://www.ncbi.nlm.nih.gov/datasets/genome/GCA_965179165","CBCXYI010000001-CBCXYI010000295")</f>
        <v>CBCXYI010000001-CBCXYI010000295</v>
      </c>
    </row>
    <row r="42" spans="1:13" x14ac:dyDescent="0.35">
      <c r="A42" t="s">
        <v>215</v>
      </c>
      <c r="B42" t="s">
        <v>15</v>
      </c>
      <c r="C42" t="s">
        <v>16</v>
      </c>
      <c r="D42" t="s">
        <v>32</v>
      </c>
      <c r="E42" t="s">
        <v>190</v>
      </c>
      <c r="F42" t="s">
        <v>191</v>
      </c>
      <c r="G42" t="s">
        <v>216</v>
      </c>
      <c r="H42" t="s">
        <v>217</v>
      </c>
      <c r="I42" t="s">
        <v>218</v>
      </c>
      <c r="J42" t="s">
        <v>219</v>
      </c>
      <c r="K42" t="str">
        <f>HYPERLINK("https://www.ebi.ac.uk/ena/browser/view/ERR14660656","ERR14660656")</f>
        <v>ERR14660656</v>
      </c>
      <c r="L42" t="str">
        <f>HYPERLINK("https://www.ebi.ac.uk/ena/browser/view/GCA_965179065","GCA_965179065")</f>
        <v>GCA_965179065</v>
      </c>
      <c r="M42" t="str">
        <f>HYPERLINK("https://www.ncbi.nlm.nih.gov/datasets/genome/GCA_965179065","CBCXWQ010000001-CBCXWQ010000127")</f>
        <v>CBCXWQ010000001-CBCXWQ010000127</v>
      </c>
    </row>
    <row r="43" spans="1:13" x14ac:dyDescent="0.35">
      <c r="A43" t="s">
        <v>220</v>
      </c>
      <c r="B43" t="s">
        <v>15</v>
      </c>
      <c r="C43" t="s">
        <v>16</v>
      </c>
      <c r="D43" t="s">
        <v>17</v>
      </c>
      <c r="E43" t="s">
        <v>190</v>
      </c>
      <c r="F43" t="s">
        <v>191</v>
      </c>
      <c r="G43" t="s">
        <v>221</v>
      </c>
      <c r="H43" t="s">
        <v>222</v>
      </c>
      <c r="I43" t="s">
        <v>223</v>
      </c>
      <c r="J43" t="s">
        <v>224</v>
      </c>
      <c r="K43" t="str">
        <f>HYPERLINK("https://www.ebi.ac.uk/ena/browser/view/ERR14660657","ERR14660657")</f>
        <v>ERR14660657</v>
      </c>
      <c r="L43" t="str">
        <f>HYPERLINK("https://www.ebi.ac.uk/ena/browser/view/GCA_965179055","GCA_965179055")</f>
        <v>GCA_965179055</v>
      </c>
      <c r="M43" t="str">
        <f>HYPERLINK("https://www.ncbi.nlm.nih.gov/datasets/genome/GCA_965179055","CBCXYQ010000001-CBCXYQ010000270")</f>
        <v>CBCXYQ010000001-CBCXYQ010000270</v>
      </c>
    </row>
    <row r="44" spans="1:13" x14ac:dyDescent="0.35">
      <c r="A44" t="s">
        <v>225</v>
      </c>
      <c r="B44" t="s">
        <v>15</v>
      </c>
      <c r="C44" t="s">
        <v>16</v>
      </c>
      <c r="D44" t="s">
        <v>32</v>
      </c>
      <c r="E44" t="s">
        <v>190</v>
      </c>
      <c r="F44" t="s">
        <v>191</v>
      </c>
      <c r="G44" t="s">
        <v>221</v>
      </c>
      <c r="H44" t="s">
        <v>226</v>
      </c>
      <c r="I44" t="s">
        <v>227</v>
      </c>
      <c r="J44" t="s">
        <v>228</v>
      </c>
      <c r="K44" t="str">
        <f>HYPERLINK("https://www.ebi.ac.uk/ena/browser/view/ERR14660658","ERR14660658")</f>
        <v>ERR14660658</v>
      </c>
      <c r="L44" t="str">
        <f>HYPERLINK("https://www.ebi.ac.uk/ena/browser/view/GCA_965178975","GCA_965178975")</f>
        <v>GCA_965178975</v>
      </c>
      <c r="M44" t="str">
        <f>HYPERLINK("https://www.ncbi.nlm.nih.gov/datasets/genome/GCA_965178975","CBCXYX010000001-CBCXYX010000242")</f>
        <v>CBCXYX010000001-CBCXYX010000242</v>
      </c>
    </row>
    <row r="45" spans="1:13" x14ac:dyDescent="0.35">
      <c r="A45" t="s">
        <v>229</v>
      </c>
      <c r="B45" t="s">
        <v>15</v>
      </c>
      <c r="C45" t="s">
        <v>16</v>
      </c>
      <c r="D45" t="s">
        <v>32</v>
      </c>
      <c r="E45" t="s">
        <v>190</v>
      </c>
      <c r="F45" t="s">
        <v>191</v>
      </c>
      <c r="G45" t="s">
        <v>230</v>
      </c>
      <c r="H45" t="s">
        <v>231</v>
      </c>
      <c r="I45" t="s">
        <v>232</v>
      </c>
      <c r="J45" t="s">
        <v>233</v>
      </c>
      <c r="K45" t="str">
        <f>HYPERLINK("https://www.ebi.ac.uk/ena/browser/view/ERR14660660","ERR14660660")</f>
        <v>ERR14660660</v>
      </c>
      <c r="L45" t="str">
        <f>HYPERLINK("https://www.ebi.ac.uk/ena/browser/view/GCA_965179075","GCA_965179075")</f>
        <v>GCA_965179075</v>
      </c>
      <c r="M45" t="str">
        <f>HYPERLINK("https://www.ncbi.nlm.nih.gov/datasets/genome/GCA_965179075","CBCXXF010000001-CBCXXF010000071")</f>
        <v>CBCXXF010000001-CBCXXF010000071</v>
      </c>
    </row>
    <row r="46" spans="1:13" x14ac:dyDescent="0.35">
      <c r="A46" t="s">
        <v>234</v>
      </c>
      <c r="B46" t="s">
        <v>15</v>
      </c>
      <c r="C46" t="s">
        <v>16</v>
      </c>
      <c r="D46" t="s">
        <v>32</v>
      </c>
      <c r="E46" t="s">
        <v>190</v>
      </c>
      <c r="F46" t="s">
        <v>191</v>
      </c>
      <c r="G46" t="s">
        <v>235</v>
      </c>
      <c r="H46" t="s">
        <v>236</v>
      </c>
      <c r="I46" t="s">
        <v>237</v>
      </c>
      <c r="J46" t="s">
        <v>238</v>
      </c>
      <c r="K46" t="str">
        <f>HYPERLINK("https://www.ebi.ac.uk/ena/browser/view/ERR14660662","ERR14660662")</f>
        <v>ERR14660662</v>
      </c>
      <c r="L46" t="str">
        <f>HYPERLINK("https://www.ebi.ac.uk/ena/browser/view/GCA_965178855","GCA_965178855")</f>
        <v>GCA_965178855</v>
      </c>
      <c r="M46" t="str">
        <f>HYPERLINK("https://www.ncbi.nlm.nih.gov/datasets/genome/GCA_965178855","CBCXWP010000001-CBCXWP010000076")</f>
        <v>CBCXWP010000001-CBCXWP010000076</v>
      </c>
    </row>
    <row r="47" spans="1:13" x14ac:dyDescent="0.35">
      <c r="A47" t="s">
        <v>239</v>
      </c>
      <c r="B47" t="s">
        <v>15</v>
      </c>
      <c r="C47" t="s">
        <v>16</v>
      </c>
      <c r="D47" t="s">
        <v>17</v>
      </c>
      <c r="E47" t="s">
        <v>190</v>
      </c>
      <c r="F47" t="s">
        <v>191</v>
      </c>
      <c r="G47" t="s">
        <v>206</v>
      </c>
      <c r="H47" t="s">
        <v>240</v>
      </c>
      <c r="I47" t="s">
        <v>241</v>
      </c>
      <c r="J47" t="s">
        <v>242</v>
      </c>
      <c r="K47" t="str">
        <f>HYPERLINK("https://www.ebi.ac.uk/ena/browser/view/ERR14660663","ERR14660663")</f>
        <v>ERR14660663</v>
      </c>
      <c r="L47" t="str">
        <f>HYPERLINK("https://www.ebi.ac.uk/ena/browser/view/GCA_965178955","GCA_965178955")</f>
        <v>GCA_965178955</v>
      </c>
      <c r="M47" t="str">
        <f>HYPERLINK("https://www.ncbi.nlm.nih.gov/datasets/genome/GCA_965178955","CBCXWU010000001-CBCXWU010000152")</f>
        <v>CBCXWU010000001-CBCXWU010000152</v>
      </c>
    </row>
    <row r="48" spans="1:13" x14ac:dyDescent="0.35">
      <c r="A48" t="s">
        <v>243</v>
      </c>
      <c r="B48" t="s">
        <v>15</v>
      </c>
      <c r="C48" t="s">
        <v>16</v>
      </c>
      <c r="D48" t="s">
        <v>32</v>
      </c>
      <c r="E48" t="s">
        <v>190</v>
      </c>
      <c r="F48" t="s">
        <v>191</v>
      </c>
      <c r="G48" t="s">
        <v>244</v>
      </c>
      <c r="H48" t="s">
        <v>245</v>
      </c>
      <c r="I48" t="s">
        <v>246</v>
      </c>
      <c r="J48" t="s">
        <v>247</v>
      </c>
      <c r="K48" t="str">
        <f>HYPERLINK("https://www.ebi.ac.uk/ena/browser/view/ERR14660664","ERR14660664")</f>
        <v>ERR14660664</v>
      </c>
      <c r="L48" t="str">
        <f>HYPERLINK("https://www.ebi.ac.uk/ena/browser/view/GCA_965178905","GCA_965178905")</f>
        <v>GCA_965178905</v>
      </c>
      <c r="M48" t="str">
        <f>HYPERLINK("https://www.ncbi.nlm.nih.gov/datasets/genome/GCA_965178905","CBCXWM010000001-CBCXWM010000150")</f>
        <v>CBCXWM010000001-CBCXWM010000150</v>
      </c>
    </row>
    <row r="49" spans="1:13" x14ac:dyDescent="0.35">
      <c r="A49" t="s">
        <v>248</v>
      </c>
      <c r="B49" t="s">
        <v>15</v>
      </c>
      <c r="C49" t="s">
        <v>16</v>
      </c>
      <c r="D49" t="s">
        <v>32</v>
      </c>
      <c r="E49" t="s">
        <v>190</v>
      </c>
      <c r="F49" t="s">
        <v>191</v>
      </c>
      <c r="G49" t="s">
        <v>221</v>
      </c>
      <c r="H49" t="s">
        <v>249</v>
      </c>
      <c r="I49" t="s">
        <v>250</v>
      </c>
      <c r="J49" t="s">
        <v>251</v>
      </c>
      <c r="K49" t="str">
        <f>HYPERLINK("https://www.ebi.ac.uk/ena/browser/view/ERR14660666","ERR14660666")</f>
        <v>ERR14660666</v>
      </c>
      <c r="L49" t="str">
        <f>HYPERLINK("https://www.ebi.ac.uk/ena/browser/view/GCA_965179475","GCA_965179475")</f>
        <v>GCA_965179475</v>
      </c>
      <c r="M49" t="str">
        <f>HYPERLINK("https://www.ncbi.nlm.nih.gov/datasets/genome/GCA_965179475","CBCXYN010000001-CBCXYN010000094")</f>
        <v>CBCXYN010000001-CBCXYN010000094</v>
      </c>
    </row>
    <row r="50" spans="1:13" x14ac:dyDescent="0.35">
      <c r="A50" t="s">
        <v>252</v>
      </c>
      <c r="B50" t="s">
        <v>15</v>
      </c>
      <c r="C50" t="s">
        <v>16</v>
      </c>
      <c r="D50" t="s">
        <v>17</v>
      </c>
      <c r="E50" t="s">
        <v>190</v>
      </c>
      <c r="F50" t="s">
        <v>191</v>
      </c>
      <c r="G50" t="s">
        <v>175</v>
      </c>
      <c r="H50" t="s">
        <v>253</v>
      </c>
      <c r="I50" t="s">
        <v>254</v>
      </c>
      <c r="J50" t="s">
        <v>255</v>
      </c>
      <c r="K50" t="str">
        <f>HYPERLINK("https://www.ebi.ac.uk/ena/browser/view/ERR14660670","ERR14660670")</f>
        <v>ERR14660670</v>
      </c>
      <c r="L50" t="str">
        <f>HYPERLINK("https://www.ebi.ac.uk/ena/browser/view/GCA_965179555","GCA_965179555")</f>
        <v>GCA_965179555</v>
      </c>
      <c r="M50" t="str">
        <f>HYPERLINK("https://www.ncbi.nlm.nih.gov/datasets/genome/GCA_965179555","CBCXXW010000001-CBCXXW010000231")</f>
        <v>CBCXXW010000001-CBCXXW010000231</v>
      </c>
    </row>
    <row r="51" spans="1:13" x14ac:dyDescent="0.35">
      <c r="A51" t="s">
        <v>256</v>
      </c>
      <c r="B51" t="s">
        <v>15</v>
      </c>
      <c r="C51" t="s">
        <v>16</v>
      </c>
      <c r="D51" t="s">
        <v>32</v>
      </c>
      <c r="E51" t="s">
        <v>190</v>
      </c>
      <c r="F51" t="s">
        <v>191</v>
      </c>
      <c r="G51" t="s">
        <v>257</v>
      </c>
      <c r="H51" t="s">
        <v>258</v>
      </c>
      <c r="I51" t="s">
        <v>259</v>
      </c>
      <c r="J51" t="s">
        <v>260</v>
      </c>
      <c r="K51" t="str">
        <f>HYPERLINK("https://www.ebi.ac.uk/ena/browser/view/ERR14660671","ERR14660671")</f>
        <v>ERR14660671</v>
      </c>
      <c r="L51" t="str">
        <f>HYPERLINK("https://www.ebi.ac.uk/ena/browser/view/GCA_965179395","GCA_965179395")</f>
        <v>GCA_965179395</v>
      </c>
      <c r="M51" t="str">
        <f>HYPERLINK("https://www.ncbi.nlm.nih.gov/datasets/genome/GCA_965179395","CBCXXZ010000001-CBCXXZ010000086")</f>
        <v>CBCXXZ010000001-CBCXXZ010000086</v>
      </c>
    </row>
    <row r="52" spans="1:13" x14ac:dyDescent="0.35">
      <c r="A52" t="s">
        <v>261</v>
      </c>
      <c r="B52" t="s">
        <v>15</v>
      </c>
      <c r="C52" t="s">
        <v>16</v>
      </c>
      <c r="D52" t="s">
        <v>17</v>
      </c>
      <c r="E52" t="s">
        <v>190</v>
      </c>
      <c r="F52" t="s">
        <v>191</v>
      </c>
      <c r="G52" t="s">
        <v>262</v>
      </c>
      <c r="H52" t="s">
        <v>263</v>
      </c>
      <c r="I52" t="s">
        <v>264</v>
      </c>
      <c r="J52" t="s">
        <v>265</v>
      </c>
      <c r="K52" t="str">
        <f>HYPERLINK("https://www.ebi.ac.uk/ena/browser/view/ERR14660672","ERR14660672")</f>
        <v>ERR14660672</v>
      </c>
      <c r="L52" t="str">
        <f>HYPERLINK("https://www.ebi.ac.uk/ena/browser/view/GCA_965179375","GCA_965179375")</f>
        <v>GCA_965179375</v>
      </c>
      <c r="M52" t="str">
        <f>HYPERLINK("https://www.ncbi.nlm.nih.gov/datasets/genome/GCA_965179375","CBCXXA010000001-CBCXXA010000098")</f>
        <v>CBCXXA010000001-CBCXXA010000098</v>
      </c>
    </row>
    <row r="53" spans="1:13" x14ac:dyDescent="0.35">
      <c r="A53" t="s">
        <v>266</v>
      </c>
      <c r="B53" t="s">
        <v>15</v>
      </c>
      <c r="C53" t="s">
        <v>16</v>
      </c>
      <c r="D53" t="s">
        <v>32</v>
      </c>
      <c r="E53" t="s">
        <v>190</v>
      </c>
      <c r="F53" t="s">
        <v>191</v>
      </c>
      <c r="G53" t="s">
        <v>211</v>
      </c>
      <c r="H53" t="s">
        <v>267</v>
      </c>
      <c r="I53" t="s">
        <v>268</v>
      </c>
      <c r="J53" t="s">
        <v>269</v>
      </c>
      <c r="K53" t="str">
        <f>HYPERLINK("https://www.ebi.ac.uk/ena/browser/view/ERR14660673","ERR14660673")</f>
        <v>ERR14660673</v>
      </c>
      <c r="L53" t="str">
        <f>HYPERLINK("https://www.ebi.ac.uk/ena/browser/view/GCA_965178935","GCA_965178935")</f>
        <v>GCA_965178935</v>
      </c>
      <c r="M53" t="str">
        <f>HYPERLINK("https://www.ncbi.nlm.nih.gov/datasets/genome/GCA_965178935","CBCXYZ010000001-CBCXYZ010000159")</f>
        <v>CBCXYZ010000001-CBCXYZ010000159</v>
      </c>
    </row>
    <row r="54" spans="1:13" x14ac:dyDescent="0.35">
      <c r="A54" t="s">
        <v>270</v>
      </c>
      <c r="B54" t="s">
        <v>15</v>
      </c>
      <c r="C54" t="s">
        <v>16</v>
      </c>
      <c r="D54" t="s">
        <v>32</v>
      </c>
      <c r="E54" t="s">
        <v>190</v>
      </c>
      <c r="F54" t="s">
        <v>191</v>
      </c>
      <c r="G54" t="s">
        <v>271</v>
      </c>
      <c r="H54" t="s">
        <v>272</v>
      </c>
      <c r="I54" t="s">
        <v>273</v>
      </c>
      <c r="J54" t="s">
        <v>274</v>
      </c>
      <c r="K54" t="str">
        <f>HYPERLINK("https://www.ebi.ac.uk/ena/browser/view/ERR14660675","ERR14660675")</f>
        <v>ERR14660675</v>
      </c>
      <c r="L54" t="str">
        <f>HYPERLINK("https://www.ebi.ac.uk/ena/browser/view/GCA_965179455","GCA_965179455")</f>
        <v>GCA_965179455</v>
      </c>
      <c r="M54" t="str">
        <f>HYPERLINK("https://www.ncbi.nlm.nih.gov/datasets/genome/GCA_965179455","CBCXYA010000001-CBCXYA010000116")</f>
        <v>CBCXYA010000001-CBCXYA010000116</v>
      </c>
    </row>
    <row r="55" spans="1:13" x14ac:dyDescent="0.35">
      <c r="A55" t="s">
        <v>275</v>
      </c>
      <c r="B55" t="s">
        <v>15</v>
      </c>
      <c r="C55" t="s">
        <v>16</v>
      </c>
      <c r="D55" t="s">
        <v>32</v>
      </c>
      <c r="E55" t="s">
        <v>190</v>
      </c>
      <c r="F55" t="s">
        <v>191</v>
      </c>
      <c r="G55" t="s">
        <v>276</v>
      </c>
      <c r="H55" t="s">
        <v>277</v>
      </c>
      <c r="I55" t="s">
        <v>278</v>
      </c>
      <c r="J55" t="s">
        <v>279</v>
      </c>
      <c r="K55" t="str">
        <f>HYPERLINK("https://www.ebi.ac.uk/ena/browser/view/ERR14660677","ERR14660677")</f>
        <v>ERR14660677</v>
      </c>
      <c r="L55" t="str">
        <f>HYPERLINK("https://www.ebi.ac.uk/ena/browser/view/GCA_965179415","GCA_965179415")</f>
        <v>GCA_965179415</v>
      </c>
      <c r="M55" t="str">
        <f>HYPERLINK("https://www.ncbi.nlm.nih.gov/datasets/genome/GCA_965179415","CBCXXX010000001-CBCXXX010000121")</f>
        <v>CBCXXX010000001-CBCXXX010000121</v>
      </c>
    </row>
    <row r="56" spans="1:13" x14ac:dyDescent="0.35">
      <c r="A56" t="s">
        <v>280</v>
      </c>
      <c r="B56" t="s">
        <v>15</v>
      </c>
      <c r="C56" t="s">
        <v>16</v>
      </c>
      <c r="D56" t="s">
        <v>17</v>
      </c>
      <c r="E56" t="s">
        <v>190</v>
      </c>
      <c r="F56" t="s">
        <v>191</v>
      </c>
      <c r="G56" t="s">
        <v>281</v>
      </c>
      <c r="H56" t="s">
        <v>282</v>
      </c>
      <c r="I56" t="s">
        <v>283</v>
      </c>
      <c r="J56" t="s">
        <v>284</v>
      </c>
      <c r="K56" t="str">
        <f>HYPERLINK("https://www.ebi.ac.uk/ena/browser/view/ERR14660681","ERR14660681")</f>
        <v>ERR14660681</v>
      </c>
      <c r="L56" t="str">
        <f>HYPERLINK("https://www.ebi.ac.uk/ena/browser/view/GCA_965179265","GCA_965179265")</f>
        <v>GCA_965179265</v>
      </c>
      <c r="M56" t="str">
        <f>HYPERLINK("https://www.ncbi.nlm.nih.gov/datasets/genome/GCA_965179265","CBCXXE010000001-CBCXXE010000114")</f>
        <v>CBCXXE010000001-CBCXXE010000114</v>
      </c>
    </row>
    <row r="57" spans="1:13" x14ac:dyDescent="0.35">
      <c r="A57" t="s">
        <v>285</v>
      </c>
      <c r="B57" t="s">
        <v>15</v>
      </c>
      <c r="C57" t="s">
        <v>16</v>
      </c>
      <c r="D57" t="s">
        <v>17</v>
      </c>
      <c r="E57" t="s">
        <v>190</v>
      </c>
      <c r="F57" t="s">
        <v>191</v>
      </c>
      <c r="G57" t="s">
        <v>281</v>
      </c>
      <c r="H57" t="s">
        <v>286</v>
      </c>
      <c r="I57" t="s">
        <v>287</v>
      </c>
      <c r="J57" t="s">
        <v>288</v>
      </c>
      <c r="K57" t="str">
        <f>HYPERLINK("https://www.ebi.ac.uk/ena/browser/view/ERR14660682","ERR14660682")</f>
        <v>ERR14660682</v>
      </c>
      <c r="L57" t="str">
        <f>HYPERLINK("https://www.ebi.ac.uk/ena/browser/view/GCA_965179335","GCA_965179335")</f>
        <v>GCA_965179335</v>
      </c>
      <c r="M57" t="str">
        <f>HYPERLINK("https://www.ncbi.nlm.nih.gov/datasets/genome/GCA_965179335","CBCXXN010000001-CBCXXN010000088")</f>
        <v>CBCXXN010000001-CBCXXN010000088</v>
      </c>
    </row>
    <row r="58" spans="1:13" x14ac:dyDescent="0.35">
      <c r="A58" t="s">
        <v>289</v>
      </c>
      <c r="B58" t="s">
        <v>15</v>
      </c>
      <c r="C58" t="s">
        <v>16</v>
      </c>
      <c r="D58" t="s">
        <v>32</v>
      </c>
      <c r="E58" t="s">
        <v>190</v>
      </c>
      <c r="F58" t="s">
        <v>191</v>
      </c>
      <c r="G58" t="s">
        <v>281</v>
      </c>
      <c r="H58" t="s">
        <v>290</v>
      </c>
      <c r="I58" t="s">
        <v>291</v>
      </c>
      <c r="J58" t="s">
        <v>292</v>
      </c>
      <c r="K58" t="str">
        <f>HYPERLINK("https://www.ebi.ac.uk/ena/browser/view/ERR14660683","ERR14660683")</f>
        <v>ERR14660683</v>
      </c>
      <c r="L58" t="str">
        <f>HYPERLINK("https://www.ebi.ac.uk/ena/browser/view/GCA_965179295","GCA_965179295")</f>
        <v>GCA_965179295</v>
      </c>
      <c r="M58" t="str">
        <f>HYPERLINK("https://www.ncbi.nlm.nih.gov/datasets/genome/GCA_965179295","CBCXXR010000001-CBCXXR010000137")</f>
        <v>CBCXXR010000001-CBCXXR010000137</v>
      </c>
    </row>
    <row r="59" spans="1:13" x14ac:dyDescent="0.35">
      <c r="A59" t="s">
        <v>293</v>
      </c>
      <c r="B59" t="s">
        <v>15</v>
      </c>
      <c r="C59" t="s">
        <v>16</v>
      </c>
      <c r="D59" t="s">
        <v>32</v>
      </c>
      <c r="E59" t="s">
        <v>190</v>
      </c>
      <c r="F59" t="s">
        <v>191</v>
      </c>
      <c r="G59" t="s">
        <v>294</v>
      </c>
      <c r="H59" t="s">
        <v>295</v>
      </c>
      <c r="I59" t="s">
        <v>296</v>
      </c>
      <c r="J59" t="s">
        <v>297</v>
      </c>
      <c r="K59" t="str">
        <f>HYPERLINK("https://www.ebi.ac.uk/ena/browser/view/ERR14660686","ERR14660686")</f>
        <v>ERR14660686</v>
      </c>
      <c r="L59" t="str">
        <f>HYPERLINK("https://www.ebi.ac.uk/ena/browser/view/GCA_965179515","GCA_965179515")</f>
        <v>GCA_965179515</v>
      </c>
      <c r="M59" t="str">
        <f>HYPERLINK("https://www.ncbi.nlm.nih.gov/datasets/genome/GCA_965179515","CBCXZI010000001-CBCXZI010000204")</f>
        <v>CBCXZI010000001-CBCXZI010000204</v>
      </c>
    </row>
    <row r="60" spans="1:13" x14ac:dyDescent="0.35">
      <c r="A60" t="s">
        <v>298</v>
      </c>
      <c r="B60" t="s">
        <v>15</v>
      </c>
      <c r="C60" t="s">
        <v>16</v>
      </c>
      <c r="D60" t="s">
        <v>17</v>
      </c>
      <c r="E60" t="s">
        <v>190</v>
      </c>
      <c r="F60" t="s">
        <v>191</v>
      </c>
      <c r="G60" t="s">
        <v>221</v>
      </c>
      <c r="H60" t="s">
        <v>299</v>
      </c>
      <c r="I60" t="s">
        <v>300</v>
      </c>
      <c r="J60" t="s">
        <v>301</v>
      </c>
      <c r="K60" t="str">
        <f>HYPERLINK("https://www.ebi.ac.uk/ena/browser/view/ERR14660687","ERR14660687")</f>
        <v>ERR14660687</v>
      </c>
      <c r="L60" t="str">
        <f>HYPERLINK("https://www.ebi.ac.uk/ena/browser/view/GCA_965178795","GCA_965178795")</f>
        <v>GCA_965178795</v>
      </c>
      <c r="M60" t="str">
        <f>HYPERLINK("https://www.ncbi.nlm.nih.gov/datasets/genome/GCA_965178795","CBCXZB010000001-CBCXZB010000144")</f>
        <v>CBCXZB010000001-CBCXZB010000144</v>
      </c>
    </row>
    <row r="61" spans="1:13" x14ac:dyDescent="0.35">
      <c r="A61" t="s">
        <v>302</v>
      </c>
      <c r="B61" t="s">
        <v>15</v>
      </c>
      <c r="C61" t="s">
        <v>16</v>
      </c>
      <c r="D61" t="s">
        <v>17</v>
      </c>
      <c r="E61" t="s">
        <v>190</v>
      </c>
      <c r="F61" t="s">
        <v>191</v>
      </c>
      <c r="G61" t="s">
        <v>221</v>
      </c>
      <c r="H61" t="s">
        <v>303</v>
      </c>
      <c r="I61" t="s">
        <v>304</v>
      </c>
      <c r="J61" t="s">
        <v>305</v>
      </c>
      <c r="K61" t="str">
        <f>HYPERLINK("https://www.ebi.ac.uk/ena/browser/view/ERR14660688","ERR14660688")</f>
        <v>ERR14660688</v>
      </c>
      <c r="L61" t="str">
        <f>HYPERLINK("https://www.ebi.ac.uk/ena/browser/view/GCA_965179185","GCA_965179185")</f>
        <v>GCA_965179185</v>
      </c>
      <c r="M61" t="str">
        <f>HYPERLINK("https://www.ncbi.nlm.nih.gov/datasets/genome/GCA_965179185","CBCXYO010000001-CBCXYO010000115")</f>
        <v>CBCXYO010000001-CBCXYO010000115</v>
      </c>
    </row>
    <row r="62" spans="1:13" x14ac:dyDescent="0.35">
      <c r="A62" t="s">
        <v>306</v>
      </c>
      <c r="B62" t="s">
        <v>15</v>
      </c>
      <c r="C62" t="s">
        <v>16</v>
      </c>
      <c r="D62" t="s">
        <v>32</v>
      </c>
      <c r="E62" t="s">
        <v>190</v>
      </c>
      <c r="F62" t="s">
        <v>191</v>
      </c>
      <c r="G62" t="s">
        <v>206</v>
      </c>
      <c r="H62" t="s">
        <v>307</v>
      </c>
      <c r="I62" t="s">
        <v>308</v>
      </c>
      <c r="J62" t="s">
        <v>309</v>
      </c>
      <c r="K62" t="str">
        <f>HYPERLINK("https://www.ebi.ac.uk/ena/browser/view/ERR14660689","ERR14660689")</f>
        <v>ERR14660689</v>
      </c>
      <c r="L62" t="str">
        <f>HYPERLINK("https://www.ebi.ac.uk/ena/browser/view/GCA_965178805","GCA_965178805")</f>
        <v>GCA_965178805</v>
      </c>
      <c r="M62" t="str">
        <f>HYPERLINK("https://www.ncbi.nlm.nih.gov/datasets/genome/GCA_965178805","CBCXXV010000001-CBCXXV010000187")</f>
        <v>CBCXXV010000001-CBCXXV010000187</v>
      </c>
    </row>
    <row r="63" spans="1:13" x14ac:dyDescent="0.35">
      <c r="A63" t="s">
        <v>310</v>
      </c>
      <c r="B63" t="s">
        <v>15</v>
      </c>
      <c r="C63" t="s">
        <v>16</v>
      </c>
      <c r="D63" t="s">
        <v>32</v>
      </c>
      <c r="E63" t="s">
        <v>190</v>
      </c>
      <c r="F63" t="s">
        <v>191</v>
      </c>
      <c r="G63" t="s">
        <v>206</v>
      </c>
      <c r="H63" t="s">
        <v>311</v>
      </c>
      <c r="I63" t="s">
        <v>312</v>
      </c>
      <c r="J63" t="s">
        <v>313</v>
      </c>
      <c r="K63" t="str">
        <f>HYPERLINK("https://www.ebi.ac.uk/ena/browser/view/ERR14660691","ERR14660691")</f>
        <v>ERR14660691</v>
      </c>
      <c r="L63" t="str">
        <f>HYPERLINK("https://www.ebi.ac.uk/ena/browser/view/GCA_965179535","GCA_965179535")</f>
        <v>GCA_965179535</v>
      </c>
      <c r="M63" t="str">
        <f>HYPERLINK("https://www.ncbi.nlm.nih.gov/datasets/genome/GCA_965179535","CBCXYY010000001-CBCXYY010000199")</f>
        <v>CBCXYY010000001-CBCXYY010000199</v>
      </c>
    </row>
    <row r="64" spans="1:13" x14ac:dyDescent="0.35">
      <c r="A64" t="s">
        <v>314</v>
      </c>
      <c r="B64" t="s">
        <v>15</v>
      </c>
      <c r="C64" t="s">
        <v>16</v>
      </c>
      <c r="D64" t="s">
        <v>17</v>
      </c>
      <c r="E64" t="s">
        <v>190</v>
      </c>
      <c r="F64" t="s">
        <v>191</v>
      </c>
      <c r="G64" t="s">
        <v>27</v>
      </c>
      <c r="H64" t="s">
        <v>315</v>
      </c>
      <c r="I64" t="s">
        <v>316</v>
      </c>
      <c r="J64" t="s">
        <v>317</v>
      </c>
      <c r="K64" t="str">
        <f>HYPERLINK("https://www.ebi.ac.uk/ena/browser/view/ERR14660692","ERR14660692")</f>
        <v>ERR14660692</v>
      </c>
      <c r="L64" t="str">
        <f>HYPERLINK("https://www.ebi.ac.uk/ena/browser/view/GCA_965179005","GCA_965179005")</f>
        <v>GCA_965179005</v>
      </c>
      <c r="M64" t="str">
        <f>HYPERLINK("https://www.ncbi.nlm.nih.gov/datasets/genome/GCA_965179005","CBCXYV010000001-CBCXYV010000127")</f>
        <v>CBCXYV010000001-CBCXYV010000127</v>
      </c>
    </row>
    <row r="65" spans="1:13" x14ac:dyDescent="0.35">
      <c r="A65" t="s">
        <v>318</v>
      </c>
      <c r="B65" t="s">
        <v>15</v>
      </c>
      <c r="C65" t="s">
        <v>16</v>
      </c>
      <c r="D65" t="s">
        <v>32</v>
      </c>
      <c r="E65" t="s">
        <v>190</v>
      </c>
      <c r="F65" t="s">
        <v>191</v>
      </c>
      <c r="G65" t="s">
        <v>319</v>
      </c>
      <c r="H65" t="s">
        <v>320</v>
      </c>
      <c r="I65" t="s">
        <v>321</v>
      </c>
      <c r="J65" t="s">
        <v>322</v>
      </c>
      <c r="K65" t="str">
        <f>HYPERLINK("https://www.ebi.ac.uk/ena/browser/view/ERR14660693","ERR14660693")</f>
        <v>ERR14660693</v>
      </c>
      <c r="L65" t="str">
        <f>HYPERLINK("https://www.ebi.ac.uk/ena/browser/view/GCA_965178835","GCA_965178835")</f>
        <v>GCA_965178835</v>
      </c>
      <c r="M65" t="str">
        <f>HYPERLINK("https://www.ncbi.nlm.nih.gov/datasets/genome/GCA_965178835","CBCXZF010000001-CBCXZF010000336")</f>
        <v>CBCXZF010000001-CBCXZF010000336</v>
      </c>
    </row>
    <row r="66" spans="1:13" x14ac:dyDescent="0.35">
      <c r="A66" t="s">
        <v>323</v>
      </c>
      <c r="B66" t="s">
        <v>15</v>
      </c>
      <c r="C66" t="s">
        <v>16</v>
      </c>
      <c r="D66" t="s">
        <v>17</v>
      </c>
      <c r="E66" t="s">
        <v>190</v>
      </c>
      <c r="F66" t="s">
        <v>191</v>
      </c>
      <c r="G66" t="s">
        <v>221</v>
      </c>
      <c r="H66" t="s">
        <v>324</v>
      </c>
      <c r="I66" t="s">
        <v>325</v>
      </c>
      <c r="J66" t="s">
        <v>326</v>
      </c>
      <c r="K66" t="str">
        <f>HYPERLINK("https://www.ebi.ac.uk/ena/browser/view/ERR14660696","ERR14660696")</f>
        <v>ERR14660696</v>
      </c>
      <c r="L66" t="str">
        <f>HYPERLINK("https://www.ebi.ac.uk/ena/browser/view/GCA_965178945","GCA_965178945")</f>
        <v>GCA_965178945</v>
      </c>
      <c r="M66" t="str">
        <f>HYPERLINK("https://www.ncbi.nlm.nih.gov/datasets/genome/GCA_965178945","CBCXYU010000001-CBCXYU010000129")</f>
        <v>CBCXYU010000001-CBCXYU010000129</v>
      </c>
    </row>
    <row r="67" spans="1:13" x14ac:dyDescent="0.35">
      <c r="A67" t="s">
        <v>327</v>
      </c>
      <c r="B67" t="s">
        <v>15</v>
      </c>
      <c r="C67" t="s">
        <v>16</v>
      </c>
      <c r="D67" t="s">
        <v>32</v>
      </c>
      <c r="E67" t="s">
        <v>190</v>
      </c>
      <c r="F67" t="s">
        <v>191</v>
      </c>
      <c r="G67" t="s">
        <v>257</v>
      </c>
      <c r="H67" t="s">
        <v>328</v>
      </c>
      <c r="I67" t="s">
        <v>329</v>
      </c>
      <c r="J67" t="s">
        <v>330</v>
      </c>
      <c r="K67" t="str">
        <f>HYPERLINK("https://www.ebi.ac.uk/ena/browser/view/ERR14660697","ERR14660697")</f>
        <v>ERR14660697</v>
      </c>
      <c r="L67" t="str">
        <f>HYPERLINK("https://www.ebi.ac.uk/ena/browser/view/GCA_965178985","GCA_965178985")</f>
        <v>GCA_965178985</v>
      </c>
      <c r="M67" t="str">
        <f>HYPERLINK("https://www.ncbi.nlm.nih.gov/datasets/genome/GCA_965178985","CBCXWR010000001-CBCXWR010000176")</f>
        <v>CBCXWR010000001-CBCXWR010000176</v>
      </c>
    </row>
    <row r="68" spans="1:13" x14ac:dyDescent="0.35">
      <c r="A68" t="s">
        <v>331</v>
      </c>
      <c r="B68" t="s">
        <v>15</v>
      </c>
      <c r="C68" t="s">
        <v>16</v>
      </c>
      <c r="D68" t="s">
        <v>17</v>
      </c>
      <c r="E68" t="s">
        <v>190</v>
      </c>
      <c r="F68" t="s">
        <v>191</v>
      </c>
      <c r="G68" t="s">
        <v>332</v>
      </c>
      <c r="H68" t="s">
        <v>333</v>
      </c>
      <c r="I68" t="s">
        <v>334</v>
      </c>
      <c r="J68" t="s">
        <v>335</v>
      </c>
      <c r="K68" t="str">
        <f>HYPERLINK("https://www.ebi.ac.uk/ena/browser/view/ERR14660698","ERR14660698")</f>
        <v>ERR14660698</v>
      </c>
      <c r="L68" t="str">
        <f>HYPERLINK("https://www.ebi.ac.uk/ena/browser/view/GCA_965179125","GCA_965179125")</f>
        <v>GCA_965179125</v>
      </c>
      <c r="M68" t="str">
        <f>HYPERLINK("https://www.ncbi.nlm.nih.gov/datasets/genome/GCA_965179125","CBCXYC010000001-CBCXYC010000090")</f>
        <v>CBCXYC010000001-CBCXYC010000090</v>
      </c>
    </row>
    <row r="69" spans="1:13" x14ac:dyDescent="0.35">
      <c r="A69" t="s">
        <v>336</v>
      </c>
      <c r="B69" t="s">
        <v>15</v>
      </c>
      <c r="C69" t="s">
        <v>16</v>
      </c>
      <c r="D69" t="s">
        <v>32</v>
      </c>
      <c r="E69" t="s">
        <v>190</v>
      </c>
      <c r="F69" t="s">
        <v>191</v>
      </c>
      <c r="G69" t="s">
        <v>337</v>
      </c>
      <c r="H69" t="s">
        <v>338</v>
      </c>
      <c r="I69" t="s">
        <v>339</v>
      </c>
      <c r="J69" t="s">
        <v>340</v>
      </c>
      <c r="K69" t="str">
        <f>HYPERLINK("https://www.ebi.ac.uk/ena/browser/view/ERR14660699","ERR14660699")</f>
        <v>ERR14660699</v>
      </c>
      <c r="L69" t="str">
        <f>HYPERLINK("https://www.ebi.ac.uk/ena/browser/view/GCA_965178875","GCA_965178875")</f>
        <v>GCA_965178875</v>
      </c>
      <c r="M69" t="str">
        <f>HYPERLINK("https://www.ncbi.nlm.nih.gov/datasets/genome/GCA_965178875","CBCXXI010000001-CBCXXI010000197")</f>
        <v>CBCXXI010000001-CBCXXI010000197</v>
      </c>
    </row>
    <row r="70" spans="1:13" x14ac:dyDescent="0.35">
      <c r="A70" t="s">
        <v>341</v>
      </c>
      <c r="B70" t="s">
        <v>15</v>
      </c>
      <c r="C70" t="s">
        <v>16</v>
      </c>
      <c r="D70" t="s">
        <v>17</v>
      </c>
      <c r="E70" t="s">
        <v>190</v>
      </c>
      <c r="F70" t="s">
        <v>191</v>
      </c>
      <c r="G70" t="s">
        <v>221</v>
      </c>
      <c r="H70" t="s">
        <v>342</v>
      </c>
      <c r="I70" t="s">
        <v>343</v>
      </c>
      <c r="J70" t="s">
        <v>344</v>
      </c>
      <c r="K70" t="str">
        <f>HYPERLINK("https://www.ebi.ac.uk/ena/browser/view/ERR14660703","ERR14660703")</f>
        <v>ERR14660703</v>
      </c>
      <c r="L70" t="str">
        <f>HYPERLINK("https://www.ebi.ac.uk/ena/browser/view/GCA_965179385","GCA_965179385")</f>
        <v>GCA_965179385</v>
      </c>
      <c r="M70" t="str">
        <f>HYPERLINK("https://www.ncbi.nlm.nih.gov/datasets/genome/GCA_965179385","CBCXYG010000001-CBCXYG010000144")</f>
        <v>CBCXYG010000001-CBCXYG010000144</v>
      </c>
    </row>
    <row r="71" spans="1:13" x14ac:dyDescent="0.35">
      <c r="A71" t="s">
        <v>345</v>
      </c>
      <c r="B71" t="s">
        <v>15</v>
      </c>
      <c r="C71" t="s">
        <v>16</v>
      </c>
      <c r="D71" t="s">
        <v>32</v>
      </c>
      <c r="E71" t="s">
        <v>190</v>
      </c>
      <c r="F71" t="s">
        <v>191</v>
      </c>
      <c r="G71" t="s">
        <v>221</v>
      </c>
      <c r="H71" t="s">
        <v>346</v>
      </c>
      <c r="I71" t="s">
        <v>347</v>
      </c>
      <c r="J71" t="s">
        <v>348</v>
      </c>
      <c r="K71" t="str">
        <f>HYPERLINK("https://www.ebi.ac.uk/ena/browser/view/ERR14660704","ERR14660704")</f>
        <v>ERR14660704</v>
      </c>
      <c r="L71" t="str">
        <f>HYPERLINK("https://www.ebi.ac.uk/ena/browser/view/GCA_965179425","GCA_965179425")</f>
        <v>GCA_965179425</v>
      </c>
      <c r="M71" t="str">
        <f>HYPERLINK("https://www.ncbi.nlm.nih.gov/datasets/genome/GCA_965179425","CBCXZC010000001-CBCXZC010000128")</f>
        <v>CBCXZC010000001-CBCXZC010000128</v>
      </c>
    </row>
    <row r="72" spans="1:13" x14ac:dyDescent="0.35">
      <c r="A72" t="s">
        <v>349</v>
      </c>
      <c r="B72" t="s">
        <v>15</v>
      </c>
      <c r="C72" t="s">
        <v>16</v>
      </c>
      <c r="D72" t="s">
        <v>17</v>
      </c>
      <c r="E72" t="s">
        <v>190</v>
      </c>
      <c r="F72" t="s">
        <v>191</v>
      </c>
      <c r="G72" t="s">
        <v>206</v>
      </c>
      <c r="H72" t="s">
        <v>350</v>
      </c>
      <c r="I72" t="s">
        <v>351</v>
      </c>
      <c r="J72" t="s">
        <v>352</v>
      </c>
      <c r="K72" t="str">
        <f>HYPERLINK("https://www.ebi.ac.uk/ena/browser/view/ERR14660705","ERR14660705")</f>
        <v>ERR14660705</v>
      </c>
      <c r="L72" t="str">
        <f>HYPERLINK("https://www.ebi.ac.uk/ena/browser/view/GCA_965179225","GCA_965179225")</f>
        <v>GCA_965179225</v>
      </c>
      <c r="M72" t="str">
        <f>HYPERLINK("https://www.ncbi.nlm.nih.gov/datasets/genome/GCA_965179225","CBCXWT010000001-CBCXWT010000103")</f>
        <v>CBCXWT010000001-CBCXWT010000103</v>
      </c>
    </row>
    <row r="73" spans="1:13" x14ac:dyDescent="0.35">
      <c r="A73" t="s">
        <v>353</v>
      </c>
      <c r="B73" t="s">
        <v>15</v>
      </c>
      <c r="C73" t="s">
        <v>16</v>
      </c>
      <c r="D73" t="s">
        <v>32</v>
      </c>
      <c r="E73" t="s">
        <v>190</v>
      </c>
      <c r="F73" t="s">
        <v>191</v>
      </c>
      <c r="G73" t="s">
        <v>354</v>
      </c>
      <c r="H73" t="s">
        <v>355</v>
      </c>
      <c r="I73" t="s">
        <v>356</v>
      </c>
      <c r="J73" t="s">
        <v>357</v>
      </c>
      <c r="K73" t="str">
        <f>HYPERLINK("https://www.ebi.ac.uk/ena/browser/view/ERR14660706","ERR14660706")</f>
        <v>ERR14660706</v>
      </c>
      <c r="L73" t="str">
        <f>HYPERLINK("https://www.ebi.ac.uk/ena/browser/view/GCA_965179445","GCA_965179445")</f>
        <v>GCA_965179445</v>
      </c>
      <c r="M73" t="str">
        <f>HYPERLINK("https://www.ncbi.nlm.nih.gov/datasets/genome/GCA_965179445","CBCXYW010000001-CBCXYW010000256")</f>
        <v>CBCXYW010000001-CBCXYW010000256</v>
      </c>
    </row>
    <row r="74" spans="1:13" x14ac:dyDescent="0.35">
      <c r="A74" t="s">
        <v>358</v>
      </c>
      <c r="B74" t="s">
        <v>15</v>
      </c>
      <c r="C74" t="s">
        <v>16</v>
      </c>
      <c r="D74" t="s">
        <v>32</v>
      </c>
      <c r="E74" t="s">
        <v>190</v>
      </c>
      <c r="F74" t="s">
        <v>191</v>
      </c>
      <c r="G74" t="s">
        <v>359</v>
      </c>
      <c r="H74" t="s">
        <v>360</v>
      </c>
      <c r="I74" t="s">
        <v>361</v>
      </c>
      <c r="J74" t="s">
        <v>362</v>
      </c>
      <c r="K74" t="str">
        <f>HYPERLINK("https://www.ebi.ac.uk/ena/browser/view/ERR14660708","ERR14660708")</f>
        <v>ERR14660708</v>
      </c>
      <c r="L74" t="str">
        <f>HYPERLINK("https://www.ebi.ac.uk/ena/browser/view/GCA_965179435","GCA_965179435")</f>
        <v>GCA_965179435</v>
      </c>
      <c r="M74" t="str">
        <f>HYPERLINK("https://www.ncbi.nlm.nih.gov/datasets/genome/GCA_965179435","CBCXXJ010000001-CBCXXJ010000085")</f>
        <v>CBCXXJ010000001-CBCXXJ010000085</v>
      </c>
    </row>
    <row r="75" spans="1:13" x14ac:dyDescent="0.35">
      <c r="A75" t="s">
        <v>363</v>
      </c>
      <c r="B75" t="s">
        <v>15</v>
      </c>
      <c r="C75" t="s">
        <v>16</v>
      </c>
      <c r="D75" t="s">
        <v>17</v>
      </c>
      <c r="E75" t="s">
        <v>190</v>
      </c>
      <c r="F75" t="s">
        <v>191</v>
      </c>
      <c r="G75" t="s">
        <v>206</v>
      </c>
      <c r="H75" t="s">
        <v>364</v>
      </c>
      <c r="I75" t="s">
        <v>365</v>
      </c>
      <c r="J75" t="s">
        <v>366</v>
      </c>
      <c r="K75" t="str">
        <f>HYPERLINK("https://www.ebi.ac.uk/ena/browser/view/ERR14660711","ERR14660711")</f>
        <v>ERR14660711</v>
      </c>
      <c r="L75" t="str">
        <f>HYPERLINK("https://www.ebi.ac.uk/ena/browser/view/GCA_965179365","GCA_965179365")</f>
        <v>GCA_965179365</v>
      </c>
      <c r="M75" t="str">
        <f>HYPERLINK("https://www.ncbi.nlm.nih.gov/datasets/genome/GCA_965179365","CBCXZJ010000001-CBCXZJ010000218")</f>
        <v>CBCXZJ010000001-CBCXZJ010000218</v>
      </c>
    </row>
    <row r="76" spans="1:13" x14ac:dyDescent="0.35">
      <c r="A76" t="s">
        <v>367</v>
      </c>
      <c r="B76" t="s">
        <v>15</v>
      </c>
      <c r="C76" t="s">
        <v>16</v>
      </c>
      <c r="D76" t="s">
        <v>32</v>
      </c>
      <c r="E76" t="s">
        <v>190</v>
      </c>
      <c r="F76" t="s">
        <v>191</v>
      </c>
      <c r="G76" t="s">
        <v>368</v>
      </c>
      <c r="H76" t="s">
        <v>369</v>
      </c>
      <c r="I76" t="s">
        <v>370</v>
      </c>
      <c r="J76" t="s">
        <v>371</v>
      </c>
      <c r="K76" t="str">
        <f>HYPERLINK("https://www.ebi.ac.uk/ena/browser/view/ERR14660712","ERR14660712")</f>
        <v>ERR14660712</v>
      </c>
      <c r="L76" t="str">
        <f>HYPERLINK("https://www.ebi.ac.uk/ena/browser/view/GCA_965179465","GCA_965179465")</f>
        <v>GCA_965179465</v>
      </c>
      <c r="M76" t="str">
        <f>HYPERLINK("https://www.ncbi.nlm.nih.gov/datasets/genome/GCA_965179465","CBCXXM010000001-CBCXXM010000076")</f>
        <v>CBCXXM010000001-CBCXXM010000076</v>
      </c>
    </row>
    <row r="77" spans="1:13" x14ac:dyDescent="0.35">
      <c r="A77" t="s">
        <v>372</v>
      </c>
      <c r="B77" t="s">
        <v>15</v>
      </c>
      <c r="C77" t="s">
        <v>16</v>
      </c>
      <c r="D77" t="s">
        <v>32</v>
      </c>
      <c r="E77" t="s">
        <v>190</v>
      </c>
      <c r="F77" t="s">
        <v>191</v>
      </c>
      <c r="G77" t="s">
        <v>373</v>
      </c>
      <c r="H77" t="s">
        <v>374</v>
      </c>
      <c r="I77" t="s">
        <v>375</v>
      </c>
      <c r="J77" t="s">
        <v>376</v>
      </c>
      <c r="K77" t="str">
        <f>HYPERLINK("https://www.ebi.ac.uk/ena/browser/view/ERR14660714","ERR14660714")</f>
        <v>ERR14660714</v>
      </c>
      <c r="L77" t="str">
        <f>HYPERLINK("https://www.ebi.ac.uk/ena/browser/view/GCA_965179155","GCA_965179155")</f>
        <v>GCA_965179155</v>
      </c>
      <c r="M77" t="str">
        <f>HYPERLINK("https://www.ncbi.nlm.nih.gov/datasets/genome/GCA_965179155","CBCXXD010000001-CBCXXD010000075")</f>
        <v>CBCXXD010000001-CBCXXD010000075</v>
      </c>
    </row>
    <row r="78" spans="1:13" x14ac:dyDescent="0.35">
      <c r="A78" t="s">
        <v>377</v>
      </c>
      <c r="B78" t="s">
        <v>15</v>
      </c>
      <c r="C78" t="s">
        <v>16</v>
      </c>
      <c r="D78" t="s">
        <v>17</v>
      </c>
      <c r="E78" t="s">
        <v>190</v>
      </c>
      <c r="F78" t="s">
        <v>191</v>
      </c>
      <c r="G78" t="s">
        <v>216</v>
      </c>
      <c r="H78" t="s">
        <v>378</v>
      </c>
      <c r="I78" t="s">
        <v>379</v>
      </c>
      <c r="J78" t="s">
        <v>380</v>
      </c>
      <c r="K78" t="str">
        <f>HYPERLINK("https://www.ebi.ac.uk/ena/browser/view/ERR14660715","ERR14660715")</f>
        <v>ERR14660715</v>
      </c>
      <c r="L78" t="str">
        <f>HYPERLINK("https://www.ebi.ac.uk/ena/browser/view/GCA_965179205","GCA_965179205")</f>
        <v>GCA_965179205</v>
      </c>
      <c r="M78" t="str">
        <f>HYPERLINK("https://www.ncbi.nlm.nih.gov/datasets/genome/GCA_965179205","CBCXWW010000001-CBCXWW010000123")</f>
        <v>CBCXWW010000001-CBCXWW010000123</v>
      </c>
    </row>
    <row r="79" spans="1:13" x14ac:dyDescent="0.35">
      <c r="A79" t="s">
        <v>381</v>
      </c>
      <c r="B79" t="s">
        <v>15</v>
      </c>
      <c r="C79" t="s">
        <v>16</v>
      </c>
      <c r="D79" t="s">
        <v>32</v>
      </c>
      <c r="E79" t="s">
        <v>190</v>
      </c>
      <c r="F79" t="s">
        <v>191</v>
      </c>
      <c r="G79" t="s">
        <v>382</v>
      </c>
      <c r="H79" t="s">
        <v>383</v>
      </c>
      <c r="I79" t="s">
        <v>384</v>
      </c>
      <c r="J79" t="s">
        <v>385</v>
      </c>
      <c r="K79" t="str">
        <f>HYPERLINK("https://www.ebi.ac.uk/ena/browser/view/ERR14660716","ERR14660716")</f>
        <v>ERR14660716</v>
      </c>
      <c r="L79" t="str">
        <f>HYPERLINK("https://www.ebi.ac.uk/ena/browser/view/GCA_965179175","GCA_965179175")</f>
        <v>GCA_965179175</v>
      </c>
      <c r="M79" t="str">
        <f>HYPERLINK("https://www.ncbi.nlm.nih.gov/datasets/genome/GCA_965179175","CBCXZA010000001-CBCXZA010000363")</f>
        <v>CBCXZA010000001-CBCXZA010000363</v>
      </c>
    </row>
    <row r="80" spans="1:13" x14ac:dyDescent="0.35">
      <c r="A80" t="s">
        <v>386</v>
      </c>
      <c r="B80" t="s">
        <v>15</v>
      </c>
      <c r="C80" t="s">
        <v>16</v>
      </c>
      <c r="D80" t="s">
        <v>32</v>
      </c>
      <c r="E80" t="s">
        <v>190</v>
      </c>
      <c r="F80" t="s">
        <v>191</v>
      </c>
      <c r="G80" t="s">
        <v>387</v>
      </c>
      <c r="H80" t="s">
        <v>388</v>
      </c>
      <c r="I80" t="s">
        <v>389</v>
      </c>
      <c r="J80" t="s">
        <v>390</v>
      </c>
      <c r="K80" t="str">
        <f>HYPERLINK("https://www.ebi.ac.uk/ena/browser/view/ERR14660718","ERR14660718")</f>
        <v>ERR14660718</v>
      </c>
      <c r="L80" t="str">
        <f>HYPERLINK("https://www.ebi.ac.uk/ena/browser/view/GCA_965179545","GCA_965179545")</f>
        <v>GCA_965179545</v>
      </c>
      <c r="M80" t="str">
        <f>HYPERLINK("https://www.ncbi.nlm.nih.gov/datasets/genome/GCA_965179545","CBCXYH010000001-CBCXYH010000088")</f>
        <v>CBCXYH010000001-CBCXYH010000088</v>
      </c>
    </row>
    <row r="81" spans="1:13" x14ac:dyDescent="0.35">
      <c r="A81" t="s">
        <v>391</v>
      </c>
      <c r="B81" t="s">
        <v>15</v>
      </c>
      <c r="C81" t="s">
        <v>16</v>
      </c>
      <c r="D81" t="s">
        <v>17</v>
      </c>
      <c r="E81" t="s">
        <v>190</v>
      </c>
      <c r="F81" t="s">
        <v>191</v>
      </c>
      <c r="G81" t="s">
        <v>216</v>
      </c>
      <c r="H81" t="s">
        <v>392</v>
      </c>
      <c r="I81" t="s">
        <v>393</v>
      </c>
      <c r="J81" t="s">
        <v>394</v>
      </c>
      <c r="K81" t="str">
        <f>HYPERLINK("https://www.ebi.ac.uk/ena/browser/view/ERR14660720","ERR14660720")</f>
        <v>ERR14660720</v>
      </c>
      <c r="L81" t="str">
        <f>HYPERLINK("https://www.ebi.ac.uk/ena/browser/view/GCA_965178765","GCA_965178765")</f>
        <v>GCA_965178765</v>
      </c>
      <c r="M81" t="str">
        <f>HYPERLINK("https://www.ncbi.nlm.nih.gov/datasets/genome/GCA_965178765","CBCXWL010000001-CBCXWL010000128")</f>
        <v>CBCXWL010000001-CBCXWL010000128</v>
      </c>
    </row>
    <row r="82" spans="1:13" x14ac:dyDescent="0.35">
      <c r="A82" t="s">
        <v>395</v>
      </c>
      <c r="B82" t="s">
        <v>15</v>
      </c>
      <c r="C82" t="s">
        <v>16</v>
      </c>
      <c r="D82" t="s">
        <v>32</v>
      </c>
      <c r="E82" t="s">
        <v>190</v>
      </c>
      <c r="F82" t="s">
        <v>191</v>
      </c>
      <c r="G82" t="s">
        <v>396</v>
      </c>
      <c r="H82" t="s">
        <v>397</v>
      </c>
      <c r="I82" t="s">
        <v>398</v>
      </c>
      <c r="J82" t="s">
        <v>399</v>
      </c>
      <c r="K82" t="str">
        <f>HYPERLINK("https://www.ebi.ac.uk/ena/browser/view/ERR14660721","ERR14660721")</f>
        <v>ERR14660721</v>
      </c>
      <c r="L82" t="str">
        <f>HYPERLINK("https://www.ebi.ac.uk/ena/browser/view/GCA_965178775","GCA_965178775")</f>
        <v>GCA_965178775</v>
      </c>
      <c r="M82" t="str">
        <f>HYPERLINK("https://www.ncbi.nlm.nih.gov/datasets/genome/GCA_965178775","CBCXWS010000001-CBCXWS010000110")</f>
        <v>CBCXWS010000001-CBCXWS010000110</v>
      </c>
    </row>
    <row r="83" spans="1:13" x14ac:dyDescent="0.35">
      <c r="A83" t="s">
        <v>400</v>
      </c>
      <c r="B83" t="s">
        <v>15</v>
      </c>
      <c r="C83" t="s">
        <v>16</v>
      </c>
      <c r="D83" t="s">
        <v>17</v>
      </c>
      <c r="E83" t="s">
        <v>190</v>
      </c>
      <c r="F83" t="s">
        <v>191</v>
      </c>
      <c r="G83" t="s">
        <v>401</v>
      </c>
      <c r="H83" t="s">
        <v>402</v>
      </c>
      <c r="I83" t="s">
        <v>403</v>
      </c>
      <c r="J83" t="s">
        <v>404</v>
      </c>
      <c r="K83" t="str">
        <f>HYPERLINK("https://www.ebi.ac.uk/ena/browser/view/ERR14660722","ERR14660722")</f>
        <v>ERR14660722</v>
      </c>
      <c r="L83" t="str">
        <f>HYPERLINK("https://www.ebi.ac.uk/ena/browser/view/GCA_965179215","GCA_965179215")</f>
        <v>GCA_965179215</v>
      </c>
      <c r="M83" t="str">
        <f>HYPERLINK("https://www.ncbi.nlm.nih.gov/datasets/genome/GCA_965179215","CBCXWZ010000001-CBCXWZ010000107")</f>
        <v>CBCXWZ010000001-CBCXWZ010000107</v>
      </c>
    </row>
    <row r="84" spans="1:13" x14ac:dyDescent="0.35">
      <c r="A84" t="s">
        <v>405</v>
      </c>
      <c r="B84" t="s">
        <v>15</v>
      </c>
      <c r="C84" t="s">
        <v>16</v>
      </c>
      <c r="D84" t="s">
        <v>32</v>
      </c>
      <c r="E84" t="s">
        <v>190</v>
      </c>
      <c r="F84" t="s">
        <v>191</v>
      </c>
      <c r="G84" t="s">
        <v>401</v>
      </c>
      <c r="H84" t="s">
        <v>406</v>
      </c>
      <c r="I84" t="s">
        <v>407</v>
      </c>
      <c r="J84" t="s">
        <v>408</v>
      </c>
      <c r="K84" t="str">
        <f>HYPERLINK("https://www.ebi.ac.uk/ena/browser/view/ERR2538183","ERR2538183")</f>
        <v>ERR2538183</v>
      </c>
      <c r="L84" t="str">
        <f>HYPERLINK("https://www.ebi.ac.uk/ena/browser/view/GCA_965178555","GCA_965178555")</f>
        <v>GCA_965178555</v>
      </c>
      <c r="M84" t="str">
        <f>HYPERLINK("https://www.ncbi.nlm.nih.gov/datasets/genome/GCA_965178555","CBCXWJ010000001-CBCXWJ010000131")</f>
        <v>CBCXWJ010000001-CBCXWJ010000131</v>
      </c>
    </row>
    <row r="85" spans="1:13" x14ac:dyDescent="0.35">
      <c r="A85" t="s">
        <v>409</v>
      </c>
      <c r="B85" t="s">
        <v>15</v>
      </c>
      <c r="C85" t="s">
        <v>16</v>
      </c>
      <c r="D85" t="s">
        <v>17</v>
      </c>
      <c r="E85" t="s">
        <v>190</v>
      </c>
      <c r="F85" t="s">
        <v>191</v>
      </c>
      <c r="G85" t="s">
        <v>410</v>
      </c>
      <c r="H85" t="s">
        <v>411</v>
      </c>
      <c r="I85" t="s">
        <v>412</v>
      </c>
      <c r="J85" t="s">
        <v>413</v>
      </c>
      <c r="K85" t="str">
        <f>HYPERLINK("https://www.ebi.ac.uk/ena/browser/view/ERR14660723","ERR14660723")</f>
        <v>ERR14660723</v>
      </c>
      <c r="L85" t="str">
        <f>HYPERLINK("https://www.ebi.ac.uk/ena/browser/view/GCA_965179525","GCA_965179525")</f>
        <v>GCA_965179525</v>
      </c>
      <c r="M85" t="str">
        <f>HYPERLINK("https://www.ncbi.nlm.nih.gov/datasets/genome/GCA_965179525","CBCXXS010000001-CBCXXS010000131")</f>
        <v>CBCXXS010000001-CBCXXS010000131</v>
      </c>
    </row>
    <row r="86" spans="1:13" x14ac:dyDescent="0.35">
      <c r="A86" t="s">
        <v>414</v>
      </c>
      <c r="B86" t="s">
        <v>15</v>
      </c>
      <c r="C86" t="s">
        <v>16</v>
      </c>
      <c r="D86" t="s">
        <v>32</v>
      </c>
      <c r="E86" t="s">
        <v>190</v>
      </c>
      <c r="F86" t="s">
        <v>191</v>
      </c>
      <c r="G86" t="s">
        <v>415</v>
      </c>
      <c r="H86" t="s">
        <v>416</v>
      </c>
      <c r="I86" t="s">
        <v>417</v>
      </c>
      <c r="J86" t="s">
        <v>418</v>
      </c>
      <c r="K86" t="str">
        <f>HYPERLINK("https://www.ebi.ac.uk/ena/browser/view/ERR14660724","ERR14660724")</f>
        <v>ERR14660724</v>
      </c>
      <c r="L86" t="str">
        <f>HYPERLINK("https://www.ebi.ac.uk/ena/browser/view/GCA_965179195","GCA_965179195")</f>
        <v>GCA_965179195</v>
      </c>
      <c r="M86" t="str">
        <f>HYPERLINK("https://www.ncbi.nlm.nih.gov/datasets/genome/GCA_965179195","CBCXXK010000001-CBCXXK010000130")</f>
        <v>CBCXXK010000001-CBCXXK010000130</v>
      </c>
    </row>
    <row r="87" spans="1:13" x14ac:dyDescent="0.35">
      <c r="A87" t="s">
        <v>419</v>
      </c>
      <c r="B87" t="s">
        <v>15</v>
      </c>
      <c r="C87" t="s">
        <v>16</v>
      </c>
      <c r="D87" t="s">
        <v>32</v>
      </c>
      <c r="E87" t="s">
        <v>190</v>
      </c>
      <c r="F87" t="s">
        <v>191</v>
      </c>
      <c r="G87" t="s">
        <v>230</v>
      </c>
      <c r="H87" t="s">
        <v>420</v>
      </c>
      <c r="I87" t="s">
        <v>421</v>
      </c>
      <c r="J87" t="s">
        <v>422</v>
      </c>
      <c r="K87" t="str">
        <f>HYPERLINK("https://www.ebi.ac.uk/ena/browser/view/ERR2538190","ERR2538190")</f>
        <v>ERR2538190</v>
      </c>
      <c r="L87" t="str">
        <f>HYPERLINK("https://www.ebi.ac.uk/ena/browser/view/GCA_965178885","GCA_965178885")</f>
        <v>GCA_965178885</v>
      </c>
      <c r="M87" t="str">
        <f>HYPERLINK("https://www.ncbi.nlm.nih.gov/datasets/genome/GCA_965178885","CBCXXT010000001-CBCXXT010000155")</f>
        <v>CBCXXT010000001-CBCXXT010000155</v>
      </c>
    </row>
    <row r="88" spans="1:13" x14ac:dyDescent="0.35">
      <c r="A88" t="s">
        <v>423</v>
      </c>
      <c r="B88" t="s">
        <v>15</v>
      </c>
      <c r="C88" t="s">
        <v>16</v>
      </c>
      <c r="D88" t="s">
        <v>17</v>
      </c>
      <c r="E88" t="s">
        <v>190</v>
      </c>
      <c r="F88" t="s">
        <v>191</v>
      </c>
      <c r="G88" t="s">
        <v>206</v>
      </c>
      <c r="H88" t="s">
        <v>424</v>
      </c>
      <c r="I88" t="s">
        <v>425</v>
      </c>
      <c r="J88" t="s">
        <v>426</v>
      </c>
      <c r="K88" t="str">
        <f>HYPERLINK("https://www.ebi.ac.uk/ena/browser/view/ERR14660726","ERR14660726")</f>
        <v>ERR14660726</v>
      </c>
      <c r="L88" t="str">
        <f>HYPERLINK("https://www.ebi.ac.uk/ena/browser/view/GCA_965179115","GCA_965179115")</f>
        <v>GCA_965179115</v>
      </c>
      <c r="M88" t="str">
        <f>HYPERLINK("https://www.ncbi.nlm.nih.gov/datasets/genome/GCA_965179115","CBCXXG010000001-CBCXXG010000131")</f>
        <v>CBCXXG010000001-CBCXXG010000131</v>
      </c>
    </row>
    <row r="89" spans="1:13" x14ac:dyDescent="0.35">
      <c r="A89" t="s">
        <v>427</v>
      </c>
      <c r="B89" t="s">
        <v>15</v>
      </c>
      <c r="C89" t="s">
        <v>16</v>
      </c>
      <c r="D89" t="s">
        <v>32</v>
      </c>
      <c r="E89" t="s">
        <v>190</v>
      </c>
      <c r="F89" t="s">
        <v>191</v>
      </c>
      <c r="G89" t="s">
        <v>428</v>
      </c>
      <c r="H89" t="s">
        <v>429</v>
      </c>
      <c r="I89" t="s">
        <v>430</v>
      </c>
      <c r="J89" t="s">
        <v>431</v>
      </c>
      <c r="K89" t="str">
        <f>HYPERLINK("https://www.ebi.ac.uk/ena/browser/view/ERR2538195","ERR2538195")</f>
        <v>ERR2538195</v>
      </c>
      <c r="L89" t="str">
        <f>HYPERLINK("https://www.ebi.ac.uk/ena/browser/view/GCA_965179105","GCA_965179105")</f>
        <v>GCA_965179105</v>
      </c>
      <c r="M89" t="str">
        <f>HYPERLINK("https://www.ncbi.nlm.nih.gov/datasets/genome/GCA_965179105","CBCXWN010000001-CBCXWN010000176")</f>
        <v>CBCXWN010000001-CBCXWN010000176</v>
      </c>
    </row>
    <row r="90" spans="1:13" x14ac:dyDescent="0.35">
      <c r="A90" t="s">
        <v>432</v>
      </c>
      <c r="B90" t="s">
        <v>15</v>
      </c>
      <c r="C90" t="s">
        <v>16</v>
      </c>
      <c r="D90" t="s">
        <v>32</v>
      </c>
      <c r="E90" t="s">
        <v>190</v>
      </c>
      <c r="F90" t="s">
        <v>191</v>
      </c>
      <c r="G90" t="s">
        <v>271</v>
      </c>
      <c r="H90" t="s">
        <v>433</v>
      </c>
      <c r="I90" t="s">
        <v>434</v>
      </c>
      <c r="J90" t="s">
        <v>435</v>
      </c>
      <c r="K90" t="str">
        <f>HYPERLINK("https://www.ebi.ac.uk/ena/browser/view/ERR14660728","ERR14660728")</f>
        <v>ERR14660728</v>
      </c>
      <c r="L90" t="str">
        <f>HYPERLINK("https://www.ebi.ac.uk/ena/browser/view/GCA_965179025","GCA_965179025")</f>
        <v>GCA_965179025</v>
      </c>
      <c r="M90" t="str">
        <f>HYPERLINK("https://www.ncbi.nlm.nih.gov/datasets/genome/GCA_965179025","CBCXXL010000001-CBCXXL010000116")</f>
        <v>CBCXXL010000001-CBCXXL010000116</v>
      </c>
    </row>
    <row r="91" spans="1:13" x14ac:dyDescent="0.35">
      <c r="A91" t="s">
        <v>436</v>
      </c>
      <c r="B91" t="s">
        <v>15</v>
      </c>
      <c r="C91" t="s">
        <v>16</v>
      </c>
      <c r="D91" t="s">
        <v>17</v>
      </c>
      <c r="E91" t="s">
        <v>190</v>
      </c>
      <c r="F91" t="s">
        <v>191</v>
      </c>
      <c r="G91" t="s">
        <v>437</v>
      </c>
      <c r="H91" t="s">
        <v>438</v>
      </c>
      <c r="I91" t="s">
        <v>439</v>
      </c>
      <c r="J91" t="s">
        <v>440</v>
      </c>
      <c r="K91" t="str">
        <f>HYPERLINK("https://www.ebi.ac.uk/ena/browser/view/ERR14660729","ERR14660729")</f>
        <v>ERR14660729</v>
      </c>
      <c r="L91" t="str">
        <f>HYPERLINK("https://www.ebi.ac.uk/ena/browser/view/GCA_965178845","GCA_965178845")</f>
        <v>GCA_965178845</v>
      </c>
      <c r="M91" t="str">
        <f>HYPERLINK("https://www.ncbi.nlm.nih.gov/datasets/genome/GCA_965178845","CBCXYE010000001-CBCXYE010000134")</f>
        <v>CBCXYE010000001-CBCXYE010000134</v>
      </c>
    </row>
    <row r="92" spans="1:13" x14ac:dyDescent="0.35">
      <c r="A92" t="s">
        <v>441</v>
      </c>
      <c r="B92" t="s">
        <v>15</v>
      </c>
      <c r="C92" t="s">
        <v>16</v>
      </c>
      <c r="D92" t="s">
        <v>32</v>
      </c>
      <c r="E92" t="s">
        <v>190</v>
      </c>
      <c r="F92" t="s">
        <v>191</v>
      </c>
      <c r="G92" t="s">
        <v>437</v>
      </c>
      <c r="H92" t="s">
        <v>442</v>
      </c>
      <c r="I92" t="s">
        <v>443</v>
      </c>
      <c r="J92" t="s">
        <v>444</v>
      </c>
      <c r="K92" t="str">
        <f>HYPERLINK("https://www.ebi.ac.uk/ena/browser/view/ERR2538198","ERR2538198")</f>
        <v>ERR2538198</v>
      </c>
      <c r="L92" t="str">
        <f>HYPERLINK("https://www.ebi.ac.uk/ena/browser/view/GCA_965182065","GCA_965182065")</f>
        <v>GCA_965182065</v>
      </c>
      <c r="M92" t="str">
        <f>HYPERLINK("https://www.ncbi.nlm.nih.gov/datasets/genome/GCA_965182065","CBCYJQ010000001-CBCYJQ010000219")</f>
        <v>CBCYJQ010000001-CBCYJQ010000219</v>
      </c>
    </row>
    <row r="93" spans="1:13" x14ac:dyDescent="0.35">
      <c r="A93" t="s">
        <v>445</v>
      </c>
      <c r="B93" t="s">
        <v>15</v>
      </c>
      <c r="C93" t="s">
        <v>16</v>
      </c>
      <c r="D93" t="s">
        <v>32</v>
      </c>
      <c r="E93" t="s">
        <v>190</v>
      </c>
      <c r="F93" t="s">
        <v>191</v>
      </c>
      <c r="G93" t="s">
        <v>230</v>
      </c>
      <c r="H93" t="s">
        <v>446</v>
      </c>
      <c r="I93" t="s">
        <v>447</v>
      </c>
      <c r="J93" t="s">
        <v>448</v>
      </c>
      <c r="K93" t="str">
        <f>HYPERLINK("https://www.ebi.ac.uk/ena/browser/view/ERR14661167","ERR14661167")</f>
        <v>ERR14661167</v>
      </c>
      <c r="L93" t="str">
        <f>HYPERLINK("https://www.ebi.ac.uk/ena/browser/view/GCA_965182055","GCA_965182055")</f>
        <v>GCA_965182055</v>
      </c>
      <c r="M93" t="str">
        <f>HYPERLINK("https://www.ncbi.nlm.nih.gov/datasets/genome/GCA_965182055","CBCYJD010000001-CBCYJD010000073")</f>
        <v>CBCYJD010000001-CBCYJD010000073</v>
      </c>
    </row>
    <row r="94" spans="1:13" x14ac:dyDescent="0.35">
      <c r="A94" t="s">
        <v>449</v>
      </c>
      <c r="B94" t="s">
        <v>15</v>
      </c>
      <c r="C94" t="s">
        <v>16</v>
      </c>
      <c r="D94" t="s">
        <v>17</v>
      </c>
      <c r="E94" t="s">
        <v>190</v>
      </c>
      <c r="F94" t="s">
        <v>191</v>
      </c>
      <c r="G94" t="s">
        <v>450</v>
      </c>
      <c r="H94" t="s">
        <v>451</v>
      </c>
      <c r="I94" t="s">
        <v>452</v>
      </c>
      <c r="J94" t="s">
        <v>453</v>
      </c>
      <c r="K94" t="str">
        <f>HYPERLINK("https://www.ebi.ac.uk/ena/browser/view/ERR14660732","ERR14660732")</f>
        <v>ERR14660732</v>
      </c>
      <c r="L94" t="str">
        <f>HYPERLINK("https://www.ebi.ac.uk/ena/browser/view/GCA_965180805","GCA_965180805")</f>
        <v>GCA_965180805</v>
      </c>
      <c r="M94" t="str">
        <f>HYPERLINK("https://www.ncbi.nlm.nih.gov/datasets/genome/GCA_965180805","CBCYDX010000001-CBCYDX010000119")</f>
        <v>CBCYDX010000001-CBCYDX010000119</v>
      </c>
    </row>
    <row r="95" spans="1:13" x14ac:dyDescent="0.35">
      <c r="A95" t="s">
        <v>454</v>
      </c>
      <c r="B95" t="s">
        <v>15</v>
      </c>
      <c r="C95" t="s">
        <v>16</v>
      </c>
      <c r="D95" t="s">
        <v>32</v>
      </c>
      <c r="E95" t="s">
        <v>190</v>
      </c>
      <c r="F95" t="s">
        <v>191</v>
      </c>
      <c r="G95" t="s">
        <v>455</v>
      </c>
      <c r="H95" t="s">
        <v>456</v>
      </c>
      <c r="I95" t="s">
        <v>457</v>
      </c>
      <c r="J95" t="s">
        <v>458</v>
      </c>
      <c r="K95" t="str">
        <f>HYPERLINK("https://www.ebi.ac.uk/ena/browser/view/ERR2538202","ERR2538202")</f>
        <v>ERR2538202</v>
      </c>
      <c r="L95" t="str">
        <f>HYPERLINK("https://www.ebi.ac.uk/ena/browser/view/GCA_965180465","GCA_965180465")</f>
        <v>GCA_965180465</v>
      </c>
      <c r="M95" t="str">
        <f>HYPERLINK("https://www.ncbi.nlm.nih.gov/datasets/genome/GCA_965180465","CBCYCD010000001-CBCYCD010000185")</f>
        <v>CBCYCD010000001-CBCYCD010000185</v>
      </c>
    </row>
    <row r="96" spans="1:13" x14ac:dyDescent="0.35">
      <c r="A96" t="s">
        <v>459</v>
      </c>
      <c r="B96" t="s">
        <v>15</v>
      </c>
      <c r="C96" t="s">
        <v>16</v>
      </c>
      <c r="D96" t="s">
        <v>32</v>
      </c>
      <c r="E96" t="s">
        <v>190</v>
      </c>
      <c r="F96" t="s">
        <v>191</v>
      </c>
      <c r="G96" t="s">
        <v>460</v>
      </c>
      <c r="H96" t="s">
        <v>461</v>
      </c>
      <c r="I96" t="s">
        <v>462</v>
      </c>
      <c r="J96" t="s">
        <v>463</v>
      </c>
      <c r="K96" t="str">
        <f>HYPERLINK("https://www.ebi.ac.uk/ena/browser/view/ERR2539424","ERR2539424")</f>
        <v>ERR2539424</v>
      </c>
      <c r="L96" t="str">
        <f>HYPERLINK("https://www.ebi.ac.uk/ena/browser/view/GCA_965180455","GCA_965180455")</f>
        <v>GCA_965180455</v>
      </c>
      <c r="M96" t="str">
        <f>HYPERLINK("https://www.ncbi.nlm.nih.gov/datasets/genome/GCA_965180455","CBCYDE010000001-CBCYDE010000201")</f>
        <v>CBCYDE010000001-CBCYDE010000201</v>
      </c>
    </row>
    <row r="97" spans="1:13" x14ac:dyDescent="0.35">
      <c r="A97" t="s">
        <v>464</v>
      </c>
      <c r="B97" t="s">
        <v>15</v>
      </c>
      <c r="C97" t="s">
        <v>16</v>
      </c>
      <c r="D97" t="s">
        <v>17</v>
      </c>
      <c r="E97" t="s">
        <v>190</v>
      </c>
      <c r="F97" t="s">
        <v>191</v>
      </c>
      <c r="G97" t="s">
        <v>465</v>
      </c>
      <c r="H97" t="s">
        <v>466</v>
      </c>
      <c r="I97" t="s">
        <v>467</v>
      </c>
      <c r="J97" t="s">
        <v>468</v>
      </c>
      <c r="K97" t="str">
        <f>HYPERLINK("https://www.ebi.ac.uk/ena/browser/view/ERR14660734","ERR14660734")</f>
        <v>ERR14660734</v>
      </c>
      <c r="L97" t="str">
        <f>HYPERLINK("https://www.ebi.ac.uk/ena/browser/view/GCA_965180785","GCA_965180785")</f>
        <v>GCA_965180785</v>
      </c>
      <c r="M97" t="str">
        <f>HYPERLINK("https://www.ncbi.nlm.nih.gov/datasets/genome/GCA_965180785","CBCYEG010000001-CBCYEG010000126")</f>
        <v>CBCYEG010000001-CBCYEG010000126</v>
      </c>
    </row>
    <row r="98" spans="1:13" x14ac:dyDescent="0.35">
      <c r="A98" t="s">
        <v>469</v>
      </c>
      <c r="B98" t="s">
        <v>15</v>
      </c>
      <c r="C98" t="s">
        <v>16</v>
      </c>
      <c r="D98" t="s">
        <v>32</v>
      </c>
      <c r="E98" t="s">
        <v>190</v>
      </c>
      <c r="F98" t="s">
        <v>191</v>
      </c>
      <c r="G98" t="s">
        <v>465</v>
      </c>
      <c r="H98" t="s">
        <v>470</v>
      </c>
      <c r="I98" t="s">
        <v>471</v>
      </c>
      <c r="J98" t="s">
        <v>472</v>
      </c>
      <c r="K98" t="str">
        <f>HYPERLINK("https://www.ebi.ac.uk/ena/browser/view/ERR14660735","ERR14660735")</f>
        <v>ERR14660735</v>
      </c>
      <c r="L98" t="str">
        <f>HYPERLINK("https://www.ebi.ac.uk/ena/browser/view/GCA_965180445","GCA_965180445")</f>
        <v>GCA_965180445</v>
      </c>
      <c r="M98" t="str">
        <f>HYPERLINK("https://www.ncbi.nlm.nih.gov/datasets/genome/GCA_965180445","CBCYCX010000001-CBCYCX010000168")</f>
        <v>CBCYCX010000001-CBCYCX010000168</v>
      </c>
    </row>
    <row r="99" spans="1:13" x14ac:dyDescent="0.35">
      <c r="A99" t="s">
        <v>473</v>
      </c>
      <c r="B99" t="s">
        <v>15</v>
      </c>
      <c r="C99" t="s">
        <v>16</v>
      </c>
      <c r="D99" t="s">
        <v>17</v>
      </c>
      <c r="E99" t="s">
        <v>190</v>
      </c>
      <c r="F99" t="s">
        <v>191</v>
      </c>
      <c r="G99" t="s">
        <v>221</v>
      </c>
      <c r="H99" t="s">
        <v>474</v>
      </c>
      <c r="I99" t="s">
        <v>475</v>
      </c>
      <c r="J99" t="s">
        <v>476</v>
      </c>
      <c r="K99" t="str">
        <f>HYPERLINK("https://www.ebi.ac.uk/ena/browser/view/ERR14660738","ERR14660738")</f>
        <v>ERR14660738</v>
      </c>
      <c r="L99" t="str">
        <f>HYPERLINK("https://www.ebi.ac.uk/ena/browser/view/GCA_965180435","GCA_965180435")</f>
        <v>GCA_965180435</v>
      </c>
      <c r="M99" t="str">
        <f>HYPERLINK("https://www.ncbi.nlm.nih.gov/datasets/genome/GCA_965180435","CBCYDC010000001-CBCYDC010000168")</f>
        <v>CBCYDC010000001-CBCYDC010000168</v>
      </c>
    </row>
    <row r="100" spans="1:13" x14ac:dyDescent="0.35">
      <c r="A100" t="s">
        <v>477</v>
      </c>
      <c r="B100" t="s">
        <v>15</v>
      </c>
      <c r="C100" t="s">
        <v>16</v>
      </c>
      <c r="D100" t="s">
        <v>32</v>
      </c>
      <c r="E100" t="s">
        <v>190</v>
      </c>
      <c r="F100" t="s">
        <v>191</v>
      </c>
      <c r="G100" t="s">
        <v>478</v>
      </c>
      <c r="H100" t="s">
        <v>479</v>
      </c>
      <c r="I100" t="s">
        <v>480</v>
      </c>
      <c r="J100" t="s">
        <v>481</v>
      </c>
      <c r="K100" t="str">
        <f>HYPERLINK("https://www.ebi.ac.uk/ena/browser/view/ERR2538204","ERR2538204")</f>
        <v>ERR2538204</v>
      </c>
      <c r="L100" t="str">
        <f>HYPERLINK("https://www.ebi.ac.uk/ena/browser/view/GCA_965182815","GCA_965182815")</f>
        <v>GCA_965182815</v>
      </c>
      <c r="M100" t="str">
        <f>HYPERLINK("https://www.ncbi.nlm.nih.gov/datasets/genome/GCA_965182815","CBCYMN010000001-CBCYMN010000171")</f>
        <v>CBCYMN010000001-CBCYMN010000171</v>
      </c>
    </row>
    <row r="101" spans="1:13" x14ac:dyDescent="0.35">
      <c r="A101" t="s">
        <v>482</v>
      </c>
      <c r="B101" t="s">
        <v>15</v>
      </c>
      <c r="C101" t="s">
        <v>16</v>
      </c>
      <c r="D101" t="s">
        <v>17</v>
      </c>
      <c r="E101" t="s">
        <v>190</v>
      </c>
      <c r="F101" t="s">
        <v>191</v>
      </c>
      <c r="G101" t="s">
        <v>483</v>
      </c>
      <c r="H101" t="s">
        <v>484</v>
      </c>
      <c r="I101" t="s">
        <v>485</v>
      </c>
      <c r="J101" t="s">
        <v>486</v>
      </c>
      <c r="K101" t="str">
        <f>HYPERLINK("https://www.ebi.ac.uk/ena/browser/view/ERR14660739","ERR14660739")</f>
        <v>ERR14660739</v>
      </c>
      <c r="L101" t="str">
        <f>HYPERLINK("https://www.ebi.ac.uk/ena/browser/view/GCA_965182775","GCA_965182775")</f>
        <v>GCA_965182775</v>
      </c>
      <c r="M101" t="str">
        <f>HYPERLINK("https://www.ncbi.nlm.nih.gov/datasets/genome/GCA_965182775","CBCYLP010000001-CBCYLP010000121")</f>
        <v>CBCYLP010000001-CBCYLP010000121</v>
      </c>
    </row>
    <row r="102" spans="1:13" x14ac:dyDescent="0.35">
      <c r="A102" t="s">
        <v>487</v>
      </c>
      <c r="B102" t="s">
        <v>15</v>
      </c>
      <c r="C102" t="s">
        <v>16</v>
      </c>
      <c r="D102" t="s">
        <v>32</v>
      </c>
      <c r="E102" t="s">
        <v>190</v>
      </c>
      <c r="F102" t="s">
        <v>191</v>
      </c>
      <c r="G102" t="s">
        <v>206</v>
      </c>
      <c r="H102" t="s">
        <v>488</v>
      </c>
      <c r="I102" t="s">
        <v>489</v>
      </c>
      <c r="J102" t="s">
        <v>490</v>
      </c>
      <c r="K102" t="str">
        <f>HYPERLINK("https://www.ebi.ac.uk/ena/browser/view/ERR14660740","ERR14660740")</f>
        <v>ERR14660740</v>
      </c>
      <c r="L102" t="str">
        <f>HYPERLINK("https://www.ebi.ac.uk/ena/browser/view/GCA_965183495","GCA_965183495")</f>
        <v>GCA_965183495</v>
      </c>
      <c r="M102" t="str">
        <f>HYPERLINK("https://www.ncbi.nlm.nih.gov/datasets/genome/GCA_965183495","CBDACO010000001-CBDACO010000153")</f>
        <v>CBDACO010000001-CBDACO010000153</v>
      </c>
    </row>
    <row r="103" spans="1:13" x14ac:dyDescent="0.35">
      <c r="A103" t="s">
        <v>491</v>
      </c>
      <c r="B103" t="s">
        <v>15</v>
      </c>
      <c r="C103" t="s">
        <v>16</v>
      </c>
      <c r="D103" t="s">
        <v>17</v>
      </c>
      <c r="E103" t="s">
        <v>190</v>
      </c>
      <c r="F103" t="s">
        <v>191</v>
      </c>
      <c r="G103" t="s">
        <v>211</v>
      </c>
      <c r="H103" t="s">
        <v>492</v>
      </c>
      <c r="I103" t="s">
        <v>493</v>
      </c>
      <c r="J103" t="s">
        <v>494</v>
      </c>
      <c r="K103" t="str">
        <f>HYPERLINK("https://www.ebi.ac.uk/ena/browser/view/ERR14660744","ERR14660744")</f>
        <v>ERR14660744</v>
      </c>
      <c r="L103" t="str">
        <f>HYPERLINK("https://www.ebi.ac.uk/ena/browser/view/GCA_965182895","GCA_965182895")</f>
        <v>GCA_965182895</v>
      </c>
      <c r="M103" t="str">
        <f>HYPERLINK("https://www.ncbi.nlm.nih.gov/datasets/genome/GCA_965182895","CBCYNA010000001-CBCYNA010000182")</f>
        <v>CBCYNA010000001-CBCYNA010000182</v>
      </c>
    </row>
    <row r="104" spans="1:13" x14ac:dyDescent="0.35">
      <c r="A104" t="s">
        <v>495</v>
      </c>
      <c r="B104" t="s">
        <v>15</v>
      </c>
      <c r="C104" t="s">
        <v>16</v>
      </c>
      <c r="D104" t="s">
        <v>17</v>
      </c>
      <c r="E104" t="s">
        <v>190</v>
      </c>
      <c r="F104" t="s">
        <v>191</v>
      </c>
      <c r="G104" t="s">
        <v>211</v>
      </c>
      <c r="H104" t="s">
        <v>496</v>
      </c>
      <c r="I104" t="s">
        <v>497</v>
      </c>
      <c r="J104" t="s">
        <v>498</v>
      </c>
      <c r="K104" t="str">
        <f>HYPERLINK("https://www.ebi.ac.uk/ena/browser/view/ERR14660745","ERR14660745")</f>
        <v>ERR14660745</v>
      </c>
      <c r="L104" t="str">
        <f>HYPERLINK("https://www.ebi.ac.uk/ena/browser/view/GCA_965181315","GCA_965181315")</f>
        <v>GCA_965181315</v>
      </c>
      <c r="M104" t="str">
        <f>HYPERLINK("https://www.ncbi.nlm.nih.gov/datasets/genome/GCA_965181315","CBCYGN010000001-CBCYGN010000181")</f>
        <v>CBCYGN010000001-CBCYGN010000181</v>
      </c>
    </row>
    <row r="105" spans="1:13" x14ac:dyDescent="0.35">
      <c r="A105" t="s">
        <v>499</v>
      </c>
      <c r="B105" t="s">
        <v>15</v>
      </c>
      <c r="C105" t="s">
        <v>16</v>
      </c>
      <c r="D105" t="s">
        <v>32</v>
      </c>
      <c r="E105" t="s">
        <v>190</v>
      </c>
      <c r="F105" t="s">
        <v>191</v>
      </c>
      <c r="G105" t="s">
        <v>211</v>
      </c>
      <c r="H105" t="s">
        <v>500</v>
      </c>
      <c r="I105" t="s">
        <v>501</v>
      </c>
      <c r="J105" t="s">
        <v>502</v>
      </c>
      <c r="K105" t="str">
        <f>HYPERLINK("https://www.ebi.ac.uk/ena/browser/view/ERR14660746","ERR14660746")</f>
        <v>ERR14660746</v>
      </c>
      <c r="L105" t="str">
        <f>HYPERLINK("https://www.ebi.ac.uk/ena/browser/view/GCA_965182875","GCA_965182875")</f>
        <v>GCA_965182875</v>
      </c>
      <c r="M105" t="str">
        <f>HYPERLINK("https://www.ncbi.nlm.nih.gov/datasets/genome/GCA_965182875","CBCYNC010000001-CBCYNC010000121")</f>
        <v>CBCYNC010000001-CBCYNC010000121</v>
      </c>
    </row>
    <row r="106" spans="1:13" x14ac:dyDescent="0.35">
      <c r="A106" t="s">
        <v>503</v>
      </c>
      <c r="B106" t="s">
        <v>15</v>
      </c>
      <c r="C106" t="s">
        <v>16</v>
      </c>
      <c r="D106" t="s">
        <v>17</v>
      </c>
      <c r="E106" t="s">
        <v>190</v>
      </c>
      <c r="F106" t="s">
        <v>191</v>
      </c>
      <c r="G106" t="s">
        <v>504</v>
      </c>
      <c r="H106" t="s">
        <v>505</v>
      </c>
      <c r="I106" t="s">
        <v>506</v>
      </c>
      <c r="J106" t="s">
        <v>507</v>
      </c>
      <c r="K106" t="str">
        <f>HYPERLINK("https://www.ebi.ac.uk/ena/browser/view/ERR14660747","ERR14660747")</f>
        <v>ERR14660747</v>
      </c>
      <c r="L106" t="str">
        <f>HYPERLINK("https://www.ebi.ac.uk/ena/browser/view/GCA_965181305","GCA_965181305")</f>
        <v>GCA_965181305</v>
      </c>
      <c r="M106" t="str">
        <f>HYPERLINK("https://www.ncbi.nlm.nih.gov/datasets/genome/GCA_965181305","CBCYFX010000001-CBCYFX010000149")</f>
        <v>CBCYFX010000001-CBCYFX010000149</v>
      </c>
    </row>
    <row r="107" spans="1:13" x14ac:dyDescent="0.35">
      <c r="A107" t="s">
        <v>508</v>
      </c>
      <c r="B107" t="s">
        <v>15</v>
      </c>
      <c r="C107" t="s">
        <v>16</v>
      </c>
      <c r="D107" t="s">
        <v>32</v>
      </c>
      <c r="E107" t="s">
        <v>190</v>
      </c>
      <c r="F107" t="s">
        <v>191</v>
      </c>
      <c r="G107" t="s">
        <v>133</v>
      </c>
      <c r="H107" t="s">
        <v>509</v>
      </c>
      <c r="I107" t="s">
        <v>510</v>
      </c>
      <c r="J107" t="s">
        <v>511</v>
      </c>
      <c r="K107" t="str">
        <f>HYPERLINK("https://www.ebi.ac.uk/ena/browser/view/ERR2538207","ERR2538207")</f>
        <v>ERR2538207</v>
      </c>
      <c r="L107" t="str">
        <f>HYPERLINK("https://www.ebi.ac.uk/ena/browser/view/GCA_965180475","GCA_965180475")</f>
        <v>GCA_965180475</v>
      </c>
      <c r="M107" t="str">
        <f>HYPERLINK("https://www.ncbi.nlm.nih.gov/datasets/genome/GCA_965180475","CBCYCH010000001-CBCYCH010000180")</f>
        <v>CBCYCH010000001-CBCYCH010000180</v>
      </c>
    </row>
    <row r="108" spans="1:13" x14ac:dyDescent="0.35">
      <c r="A108" t="s">
        <v>512</v>
      </c>
      <c r="B108" t="s">
        <v>15</v>
      </c>
      <c r="C108" t="s">
        <v>16</v>
      </c>
      <c r="D108" t="s">
        <v>17</v>
      </c>
      <c r="E108" t="s">
        <v>190</v>
      </c>
      <c r="F108" t="s">
        <v>191</v>
      </c>
      <c r="G108" t="s">
        <v>230</v>
      </c>
      <c r="H108" t="s">
        <v>513</v>
      </c>
      <c r="I108" t="s">
        <v>514</v>
      </c>
      <c r="J108" t="s">
        <v>515</v>
      </c>
      <c r="K108" t="str">
        <f>HYPERLINK("https://www.ebi.ac.uk/ena/browser/view/ERR14660748","ERR14660748")</f>
        <v>ERR14660748</v>
      </c>
      <c r="L108" t="str">
        <f>HYPERLINK("https://www.ebi.ac.uk/ena/browser/view/GCA_965181295","GCA_965181295")</f>
        <v>GCA_965181295</v>
      </c>
      <c r="M108" t="str">
        <f>HYPERLINK("https://www.ncbi.nlm.nih.gov/datasets/genome/GCA_965181295","CBCYGL010000001-CBCYGL010000100")</f>
        <v>CBCYGL010000001-CBCYGL010000100</v>
      </c>
    </row>
    <row r="109" spans="1:13" x14ac:dyDescent="0.35">
      <c r="A109" t="s">
        <v>516</v>
      </c>
      <c r="B109" t="s">
        <v>15</v>
      </c>
      <c r="C109" t="s">
        <v>16</v>
      </c>
      <c r="D109" t="s">
        <v>32</v>
      </c>
      <c r="E109" t="s">
        <v>190</v>
      </c>
      <c r="F109" t="s">
        <v>191</v>
      </c>
      <c r="G109" t="s">
        <v>230</v>
      </c>
      <c r="H109" t="s">
        <v>517</v>
      </c>
      <c r="I109" t="s">
        <v>518</v>
      </c>
      <c r="J109" t="s">
        <v>519</v>
      </c>
      <c r="K109" t="str">
        <f>HYPERLINK("https://www.ebi.ac.uk/ena/browser/view/ERR2538208","ERR2538208")</f>
        <v>ERR2538208</v>
      </c>
      <c r="L109" t="str">
        <f>HYPERLINK("https://www.ebi.ac.uk/ena/browser/view/GCA_965180425","GCA_965180425")</f>
        <v>GCA_965180425</v>
      </c>
      <c r="M109" t="str">
        <f>HYPERLINK("https://www.ncbi.nlm.nih.gov/datasets/genome/GCA_965180425","CBCYCJ010000001-CBCYCJ010000136")</f>
        <v>CBCYCJ010000001-CBCYCJ010000136</v>
      </c>
    </row>
    <row r="110" spans="1:13" x14ac:dyDescent="0.35">
      <c r="A110" t="s">
        <v>520</v>
      </c>
      <c r="B110" t="s">
        <v>15</v>
      </c>
      <c r="C110" t="s">
        <v>16</v>
      </c>
      <c r="D110" t="s">
        <v>17</v>
      </c>
      <c r="E110" t="s">
        <v>190</v>
      </c>
      <c r="F110" t="s">
        <v>191</v>
      </c>
      <c r="G110" t="s">
        <v>373</v>
      </c>
      <c r="H110" t="s">
        <v>521</v>
      </c>
      <c r="I110" t="s">
        <v>522</v>
      </c>
      <c r="J110" t="s">
        <v>523</v>
      </c>
      <c r="K110" t="str">
        <f>HYPERLINK("https://www.ebi.ac.uk/ena/browser/view/ERR14660749","ERR14660749")</f>
        <v>ERR14660749</v>
      </c>
      <c r="L110" t="str">
        <f>HYPERLINK("https://www.ebi.ac.uk/ena/browser/view/GCA_965180415","GCA_965180415")</f>
        <v>GCA_965180415</v>
      </c>
      <c r="M110" t="str">
        <f>HYPERLINK("https://www.ncbi.nlm.nih.gov/datasets/genome/GCA_965180415","CBCYBD010000001-CBCYBD010000100")</f>
        <v>CBCYBD010000001-CBCYBD010000100</v>
      </c>
    </row>
    <row r="111" spans="1:13" x14ac:dyDescent="0.35">
      <c r="A111" t="s">
        <v>524</v>
      </c>
      <c r="B111" t="s">
        <v>15</v>
      </c>
      <c r="C111" t="s">
        <v>16</v>
      </c>
      <c r="D111" t="s">
        <v>32</v>
      </c>
      <c r="E111" t="s">
        <v>190</v>
      </c>
      <c r="F111" t="s">
        <v>191</v>
      </c>
      <c r="G111" t="s">
        <v>201</v>
      </c>
      <c r="H111" t="s">
        <v>525</v>
      </c>
      <c r="I111" t="s">
        <v>526</v>
      </c>
      <c r="J111" t="s">
        <v>527</v>
      </c>
      <c r="K111" t="str">
        <f>HYPERLINK("https://www.ebi.ac.uk/ena/browser/view/ERR14660750","ERR14660750")</f>
        <v>ERR14660750</v>
      </c>
      <c r="L111" t="str">
        <f>HYPERLINK("https://www.ebi.ac.uk/ena/browser/view/GCA_965181285","GCA_965181285")</f>
        <v>GCA_965181285</v>
      </c>
      <c r="M111" t="str">
        <f>HYPERLINK("https://www.ncbi.nlm.nih.gov/datasets/genome/GCA_965181285","CBCYGI010000001-CBCYGI010000156")</f>
        <v>CBCYGI010000001-CBCYGI010000156</v>
      </c>
    </row>
    <row r="112" spans="1:13" x14ac:dyDescent="0.35">
      <c r="A112" t="s">
        <v>528</v>
      </c>
      <c r="B112" t="s">
        <v>15</v>
      </c>
      <c r="C112" t="s">
        <v>16</v>
      </c>
      <c r="D112" t="s">
        <v>17</v>
      </c>
      <c r="E112" t="s">
        <v>190</v>
      </c>
      <c r="F112" t="s">
        <v>191</v>
      </c>
      <c r="G112" t="s">
        <v>483</v>
      </c>
      <c r="H112" t="s">
        <v>529</v>
      </c>
      <c r="I112" t="s">
        <v>530</v>
      </c>
      <c r="J112" t="s">
        <v>531</v>
      </c>
      <c r="K112" t="str">
        <f>HYPERLINK("https://www.ebi.ac.uk/ena/browser/view/ERR14660751","ERR14660751")</f>
        <v>ERR14660751</v>
      </c>
      <c r="L112" t="str">
        <f>HYPERLINK("https://www.ebi.ac.uk/ena/browser/view/GCA_965180405","GCA_965180405")</f>
        <v>GCA_965180405</v>
      </c>
      <c r="M112" t="str">
        <f>HYPERLINK("https://www.ncbi.nlm.nih.gov/datasets/genome/GCA_965180405","CBCYCI010000001-CBCYCI010000131")</f>
        <v>CBCYCI010000001-CBCYCI010000131</v>
      </c>
    </row>
    <row r="113" spans="1:13" x14ac:dyDescent="0.35">
      <c r="A113" t="s">
        <v>532</v>
      </c>
      <c r="B113" t="s">
        <v>15</v>
      </c>
      <c r="C113" t="s">
        <v>16</v>
      </c>
      <c r="D113" t="s">
        <v>17</v>
      </c>
      <c r="E113" t="s">
        <v>190</v>
      </c>
      <c r="F113" t="s">
        <v>191</v>
      </c>
      <c r="G113" t="s">
        <v>359</v>
      </c>
      <c r="H113" t="s">
        <v>533</v>
      </c>
      <c r="I113" t="s">
        <v>534</v>
      </c>
      <c r="J113" t="s">
        <v>535</v>
      </c>
      <c r="K113" t="str">
        <f>HYPERLINK("https://www.ebi.ac.uk/ena/browser/view/ERR14660752","ERR14660752")</f>
        <v>ERR14660752</v>
      </c>
      <c r="L113" t="str">
        <f>HYPERLINK("https://www.ebi.ac.uk/ena/browser/view/GCA_965181275","GCA_965181275")</f>
        <v>GCA_965181275</v>
      </c>
      <c r="M113" t="str">
        <f>HYPERLINK("https://www.ncbi.nlm.nih.gov/datasets/genome/GCA_965181275","CBCYFL010000001-CBCYFL010000106")</f>
        <v>CBCYFL010000001-CBCYFL010000106</v>
      </c>
    </row>
    <row r="114" spans="1:13" x14ac:dyDescent="0.35">
      <c r="A114" t="s">
        <v>536</v>
      </c>
      <c r="B114" t="s">
        <v>15</v>
      </c>
      <c r="C114" t="s">
        <v>16</v>
      </c>
      <c r="D114" t="s">
        <v>17</v>
      </c>
      <c r="E114" t="s">
        <v>190</v>
      </c>
      <c r="F114" t="s">
        <v>191</v>
      </c>
      <c r="G114" t="s">
        <v>206</v>
      </c>
      <c r="H114" t="s">
        <v>537</v>
      </c>
      <c r="I114" t="s">
        <v>538</v>
      </c>
      <c r="J114" t="s">
        <v>539</v>
      </c>
      <c r="K114" t="str">
        <f>HYPERLINK("https://www.ebi.ac.uk/ena/browser/view/ERR14660754","ERR14660754")</f>
        <v>ERR14660754</v>
      </c>
      <c r="L114" t="str">
        <f>HYPERLINK("https://www.ebi.ac.uk/ena/browser/view/GCA_965181265","GCA_965181265")</f>
        <v>GCA_965181265</v>
      </c>
      <c r="M114" t="str">
        <f>HYPERLINK("https://www.ncbi.nlm.nih.gov/datasets/genome/GCA_965181265","CBCYFO010000001-CBCYFO010000107")</f>
        <v>CBCYFO010000001-CBCYFO010000107</v>
      </c>
    </row>
    <row r="115" spans="1:13" x14ac:dyDescent="0.35">
      <c r="A115" t="s">
        <v>540</v>
      </c>
      <c r="B115" t="s">
        <v>15</v>
      </c>
      <c r="C115" t="s">
        <v>16</v>
      </c>
      <c r="D115" t="s">
        <v>32</v>
      </c>
      <c r="E115" t="s">
        <v>190</v>
      </c>
      <c r="F115" t="s">
        <v>191</v>
      </c>
      <c r="G115" t="s">
        <v>541</v>
      </c>
      <c r="H115" t="s">
        <v>542</v>
      </c>
      <c r="I115" t="s">
        <v>543</v>
      </c>
      <c r="J115" t="s">
        <v>544</v>
      </c>
      <c r="K115" t="str">
        <f>HYPERLINK("https://www.ebi.ac.uk/ena/browser/view/ERR2538209","ERR2538209")</f>
        <v>ERR2538209</v>
      </c>
      <c r="L115" t="str">
        <f>HYPERLINK("https://www.ebi.ac.uk/ena/browser/view/GCA_965181255","GCA_965181255")</f>
        <v>GCA_965181255</v>
      </c>
      <c r="M115" t="str">
        <f>HYPERLINK("https://www.ncbi.nlm.nih.gov/datasets/genome/GCA_965181255","CBCYGM010000001-CBCYGM010000146")</f>
        <v>CBCYGM010000001-CBCYGM010000146</v>
      </c>
    </row>
    <row r="116" spans="1:13" x14ac:dyDescent="0.35">
      <c r="A116" t="s">
        <v>545</v>
      </c>
      <c r="B116" t="s">
        <v>15</v>
      </c>
      <c r="C116" t="s">
        <v>16</v>
      </c>
      <c r="D116" t="s">
        <v>17</v>
      </c>
      <c r="E116" t="s">
        <v>190</v>
      </c>
      <c r="F116" t="s">
        <v>191</v>
      </c>
      <c r="G116" t="s">
        <v>546</v>
      </c>
      <c r="H116" t="s">
        <v>547</v>
      </c>
      <c r="I116" t="s">
        <v>548</v>
      </c>
      <c r="J116" t="s">
        <v>549</v>
      </c>
      <c r="K116" t="str">
        <f>HYPERLINK("https://www.ebi.ac.uk/ena/browser/view/ERR14660757","ERR14660757")</f>
        <v>ERR14660757</v>
      </c>
      <c r="L116" t="str">
        <f>HYPERLINK("https://www.ebi.ac.uk/ena/browser/view/GCA_965181245","GCA_965181245")</f>
        <v>GCA_965181245</v>
      </c>
      <c r="M116" t="str">
        <f>HYPERLINK("https://www.ncbi.nlm.nih.gov/datasets/genome/GCA_965181245","CBCYFG010000001-CBCYFG010000128")</f>
        <v>CBCYFG010000001-CBCYFG010000128</v>
      </c>
    </row>
    <row r="117" spans="1:13" x14ac:dyDescent="0.35">
      <c r="A117" t="s">
        <v>550</v>
      </c>
      <c r="B117" t="s">
        <v>15</v>
      </c>
      <c r="C117" t="s">
        <v>16</v>
      </c>
      <c r="D117" t="s">
        <v>17</v>
      </c>
      <c r="E117" t="s">
        <v>190</v>
      </c>
      <c r="F117" t="s">
        <v>191</v>
      </c>
      <c r="G117" t="s">
        <v>368</v>
      </c>
      <c r="H117" t="s">
        <v>551</v>
      </c>
      <c r="I117" t="s">
        <v>552</v>
      </c>
      <c r="J117" t="s">
        <v>553</v>
      </c>
      <c r="K117" t="str">
        <f>HYPERLINK("https://www.ebi.ac.uk/ena/browser/view/ERR14660758","ERR14660758")</f>
        <v>ERR14660758</v>
      </c>
      <c r="L117" t="str">
        <f>HYPERLINK("https://www.ebi.ac.uk/ena/browser/view/GCA_965182455","GCA_965182455")</f>
        <v>GCA_965182455</v>
      </c>
      <c r="M117" t="str">
        <f>HYPERLINK("https://www.ncbi.nlm.nih.gov/datasets/genome/GCA_965182455","CBCYJW010000001-CBCYJW010000101")</f>
        <v>CBCYJW010000001-CBCYJW010000101</v>
      </c>
    </row>
    <row r="118" spans="1:13" x14ac:dyDescent="0.35">
      <c r="A118" t="s">
        <v>554</v>
      </c>
      <c r="B118" t="s">
        <v>15</v>
      </c>
      <c r="C118" t="s">
        <v>16</v>
      </c>
      <c r="D118" t="s">
        <v>32</v>
      </c>
      <c r="E118" t="s">
        <v>190</v>
      </c>
      <c r="F118" t="s">
        <v>191</v>
      </c>
      <c r="G118" t="s">
        <v>196</v>
      </c>
      <c r="H118" t="s">
        <v>555</v>
      </c>
      <c r="I118" t="s">
        <v>556</v>
      </c>
      <c r="J118" t="s">
        <v>557</v>
      </c>
      <c r="K118" t="str">
        <f>HYPERLINK("https://www.ebi.ac.uk/ena/browser/view/ERR14660759","ERR14660759")</f>
        <v>ERR14660759</v>
      </c>
      <c r="L118" t="str">
        <f>HYPERLINK("https://www.ebi.ac.uk/ena/browser/view/GCA_965181015","GCA_965181015")</f>
        <v>GCA_965181015</v>
      </c>
      <c r="M118" t="str">
        <f>HYPERLINK("https://www.ncbi.nlm.nih.gov/datasets/genome/GCA_965181015","CBCYEY010000001-CBCYEY010000206")</f>
        <v>CBCYEY010000001-CBCYEY010000206</v>
      </c>
    </row>
    <row r="119" spans="1:13" x14ac:dyDescent="0.35">
      <c r="A119" t="s">
        <v>558</v>
      </c>
      <c r="B119" t="s">
        <v>15</v>
      </c>
      <c r="C119" t="s">
        <v>16</v>
      </c>
      <c r="D119" t="s">
        <v>17</v>
      </c>
      <c r="E119" t="s">
        <v>190</v>
      </c>
      <c r="F119" t="s">
        <v>191</v>
      </c>
      <c r="G119" t="s">
        <v>354</v>
      </c>
      <c r="H119" t="s">
        <v>559</v>
      </c>
      <c r="I119" t="s">
        <v>560</v>
      </c>
      <c r="J119" t="s">
        <v>561</v>
      </c>
      <c r="K119" t="str">
        <f>HYPERLINK("https://www.ebi.ac.uk/ena/browser/view/ERR14660760","ERR14660760")</f>
        <v>ERR14660760</v>
      </c>
      <c r="L119" t="str">
        <f>HYPERLINK("https://www.ebi.ac.uk/ena/browser/view/GCA_965182445","GCA_965182445")</f>
        <v>GCA_965182445</v>
      </c>
      <c r="M119" t="str">
        <f>HYPERLINK("https://www.ncbi.nlm.nih.gov/datasets/genome/GCA_965182445","CBCYKP010000001-CBCYKP010000184")</f>
        <v>CBCYKP010000001-CBCYKP010000184</v>
      </c>
    </row>
    <row r="120" spans="1:13" x14ac:dyDescent="0.35">
      <c r="A120" t="s">
        <v>562</v>
      </c>
      <c r="B120" t="s">
        <v>15</v>
      </c>
      <c r="C120" t="s">
        <v>16</v>
      </c>
      <c r="D120" t="s">
        <v>32</v>
      </c>
      <c r="E120" t="s">
        <v>190</v>
      </c>
      <c r="F120" t="s">
        <v>191</v>
      </c>
      <c r="G120" t="s">
        <v>319</v>
      </c>
      <c r="H120" t="s">
        <v>563</v>
      </c>
      <c r="I120" t="s">
        <v>564</v>
      </c>
      <c r="J120" t="s">
        <v>565</v>
      </c>
      <c r="K120" t="str">
        <f>HYPERLINK("https://www.ebi.ac.uk/ena/browser/view/ERR14660761","ERR14660761")</f>
        <v>ERR14660761</v>
      </c>
      <c r="L120" t="str">
        <f>HYPERLINK("https://www.ebi.ac.uk/ena/browser/view/GCA_965180645","GCA_965180645")</f>
        <v>GCA_965180645</v>
      </c>
      <c r="M120" t="str">
        <f>HYPERLINK("https://www.ncbi.nlm.nih.gov/datasets/genome/GCA_965180645","CBCYDY010000001-CBCYDY010000342")</f>
        <v>CBCYDY010000001-CBCYDY010000342</v>
      </c>
    </row>
    <row r="121" spans="1:13" x14ac:dyDescent="0.35">
      <c r="A121" t="s">
        <v>566</v>
      </c>
      <c r="B121" t="s">
        <v>15</v>
      </c>
      <c r="C121" t="s">
        <v>16</v>
      </c>
      <c r="D121" t="s">
        <v>17</v>
      </c>
      <c r="E121" t="s">
        <v>190</v>
      </c>
      <c r="F121" t="s">
        <v>191</v>
      </c>
      <c r="G121" t="s">
        <v>201</v>
      </c>
      <c r="H121" t="s">
        <v>567</v>
      </c>
      <c r="I121" t="s">
        <v>568</v>
      </c>
      <c r="J121" t="s">
        <v>569</v>
      </c>
      <c r="K121" t="str">
        <f>HYPERLINK("https://www.ebi.ac.uk/ena/browser/view/ERR14660762","ERR14660762")</f>
        <v>ERR14660762</v>
      </c>
      <c r="L121" t="str">
        <f>HYPERLINK("https://www.ebi.ac.uk/ena/browser/view/GCA_965182475","GCA_965182475")</f>
        <v>GCA_965182475</v>
      </c>
      <c r="M121" t="str">
        <f>HYPERLINK("https://www.ncbi.nlm.nih.gov/datasets/genome/GCA_965182475","CBCYKM010000001-CBCYKM010000153")</f>
        <v>CBCYKM010000001-CBCYKM010000153</v>
      </c>
    </row>
    <row r="122" spans="1:13" x14ac:dyDescent="0.35">
      <c r="A122" t="s">
        <v>570</v>
      </c>
      <c r="B122" t="s">
        <v>15</v>
      </c>
      <c r="C122" t="s">
        <v>16</v>
      </c>
      <c r="D122" t="s">
        <v>17</v>
      </c>
      <c r="E122" t="s">
        <v>190</v>
      </c>
      <c r="F122" t="s">
        <v>191</v>
      </c>
      <c r="G122" t="s">
        <v>571</v>
      </c>
      <c r="H122" t="s">
        <v>572</v>
      </c>
      <c r="I122" t="s">
        <v>573</v>
      </c>
      <c r="J122" t="s">
        <v>574</v>
      </c>
      <c r="K122" t="str">
        <f>HYPERLINK("https://www.ebi.ac.uk/ena/browser/view/ERR14660763","ERR14660763")</f>
        <v>ERR14660763</v>
      </c>
      <c r="L122" t="str">
        <f>HYPERLINK("https://www.ebi.ac.uk/ena/browser/view/GCA_965180635","GCA_965180635")</f>
        <v>GCA_965180635</v>
      </c>
      <c r="M122" t="str">
        <f>HYPERLINK("https://www.ncbi.nlm.nih.gov/datasets/genome/GCA_965180635","CBCYDZ010000001-CBCYDZ010000183")</f>
        <v>CBCYDZ010000001-CBCYDZ010000183</v>
      </c>
    </row>
    <row r="123" spans="1:13" x14ac:dyDescent="0.35">
      <c r="A123" t="s">
        <v>575</v>
      </c>
      <c r="B123" t="s">
        <v>15</v>
      </c>
      <c r="C123" t="s">
        <v>16</v>
      </c>
      <c r="D123" t="s">
        <v>32</v>
      </c>
      <c r="E123" t="s">
        <v>190</v>
      </c>
      <c r="F123" t="s">
        <v>191</v>
      </c>
      <c r="G123" t="s">
        <v>571</v>
      </c>
      <c r="H123" t="s">
        <v>576</v>
      </c>
      <c r="I123" t="s">
        <v>577</v>
      </c>
      <c r="J123" t="s">
        <v>578</v>
      </c>
      <c r="K123" t="str">
        <f>HYPERLINK("https://www.ebi.ac.uk/ena/browser/view/ERR2538212","ERR2538212")</f>
        <v>ERR2538212</v>
      </c>
      <c r="L123" t="str">
        <f>HYPERLINK("https://www.ebi.ac.uk/ena/browser/view/GCA_965182465","GCA_965182465")</f>
        <v>GCA_965182465</v>
      </c>
      <c r="M123" t="str">
        <f>HYPERLINK("https://www.ncbi.nlm.nih.gov/datasets/genome/GCA_965182465","CBCYLE010000001-CBCYLE010000201")</f>
        <v>CBCYLE010000001-CBCYLE010000201</v>
      </c>
    </row>
    <row r="124" spans="1:13" x14ac:dyDescent="0.35">
      <c r="A124" t="s">
        <v>579</v>
      </c>
      <c r="B124" t="s">
        <v>15</v>
      </c>
      <c r="C124" t="s">
        <v>16</v>
      </c>
      <c r="D124" t="s">
        <v>17</v>
      </c>
      <c r="E124" t="s">
        <v>190</v>
      </c>
      <c r="F124" t="s">
        <v>191</v>
      </c>
      <c r="G124" t="s">
        <v>580</v>
      </c>
      <c r="H124" t="s">
        <v>581</v>
      </c>
      <c r="I124" t="s">
        <v>582</v>
      </c>
      <c r="J124" t="s">
        <v>583</v>
      </c>
      <c r="K124" t="str">
        <f>HYPERLINK("https://www.ebi.ac.uk/ena/browser/view/ERR14660764","ERR14660764")</f>
        <v>ERR14660764</v>
      </c>
      <c r="L124" t="str">
        <f>HYPERLINK("https://www.ebi.ac.uk/ena/browser/view/GCA_965180625","GCA_965180625")</f>
        <v>GCA_965180625</v>
      </c>
      <c r="M124" t="str">
        <f>HYPERLINK("https://www.ncbi.nlm.nih.gov/datasets/genome/GCA_965180625","CBCYDO010000001-CBCYDO010000071")</f>
        <v>CBCYDO010000001-CBCYDO010000071</v>
      </c>
    </row>
    <row r="125" spans="1:13" x14ac:dyDescent="0.35">
      <c r="A125" t="s">
        <v>584</v>
      </c>
      <c r="B125" t="s">
        <v>15</v>
      </c>
      <c r="C125" t="s">
        <v>16</v>
      </c>
      <c r="D125" t="s">
        <v>32</v>
      </c>
      <c r="E125" t="s">
        <v>190</v>
      </c>
      <c r="F125" t="s">
        <v>191</v>
      </c>
      <c r="G125" t="s">
        <v>585</v>
      </c>
      <c r="H125" t="s">
        <v>586</v>
      </c>
      <c r="I125" t="s">
        <v>587</v>
      </c>
      <c r="J125" t="s">
        <v>588</v>
      </c>
      <c r="K125" t="str">
        <f>HYPERLINK("https://www.ebi.ac.uk/ena/browser/view/ERR14660765","ERR14660765")</f>
        <v>ERR14660765</v>
      </c>
      <c r="L125" t="str">
        <f>HYPERLINK("https://www.ebi.ac.uk/ena/browser/view/GCA_965181535","GCA_965181535")</f>
        <v>GCA_965181535</v>
      </c>
      <c r="M125" t="str">
        <f>HYPERLINK("https://www.ncbi.nlm.nih.gov/datasets/genome/GCA_965181535","CBCYGR010000001-CBCYGR010000142")</f>
        <v>CBCYGR010000001-CBCYGR010000142</v>
      </c>
    </row>
    <row r="126" spans="1:13" x14ac:dyDescent="0.35">
      <c r="A126" t="s">
        <v>589</v>
      </c>
      <c r="B126" t="s">
        <v>25</v>
      </c>
      <c r="C126" t="s">
        <v>26</v>
      </c>
      <c r="D126" t="s">
        <v>17</v>
      </c>
      <c r="E126" t="s">
        <v>190</v>
      </c>
      <c r="F126" t="s">
        <v>191</v>
      </c>
      <c r="G126" t="s">
        <v>483</v>
      </c>
      <c r="H126" t="s">
        <v>590</v>
      </c>
      <c r="I126" t="s">
        <v>591</v>
      </c>
      <c r="J126" t="s">
        <v>592</v>
      </c>
      <c r="K126" t="str">
        <f>HYPERLINK("https://www.ebi.ac.uk/ena/browser/view/ERR14660770","ERR14660770")</f>
        <v>ERR14660770</v>
      </c>
      <c r="L126" t="str">
        <f>HYPERLINK("https://www.ebi.ac.uk/ena/browser/view/GCA_965180595","GCA_965180595")</f>
        <v>GCA_965180595</v>
      </c>
      <c r="M126" t="str">
        <f>HYPERLINK("https://www.ncbi.nlm.nih.gov/datasets/genome/GCA_965180595","CBCYCR010000001-CBCYCR010000163")</f>
        <v>CBCYCR010000001-CBCYCR010000163</v>
      </c>
    </row>
    <row r="127" spans="1:13" x14ac:dyDescent="0.35">
      <c r="A127" t="s">
        <v>593</v>
      </c>
      <c r="B127" t="s">
        <v>25</v>
      </c>
      <c r="C127" t="s">
        <v>26</v>
      </c>
      <c r="D127" t="s">
        <v>32</v>
      </c>
      <c r="E127" t="s">
        <v>190</v>
      </c>
      <c r="F127" t="s">
        <v>191</v>
      </c>
      <c r="G127" t="s">
        <v>594</v>
      </c>
      <c r="H127" t="s">
        <v>595</v>
      </c>
      <c r="I127" t="s">
        <v>596</v>
      </c>
      <c r="J127" t="s">
        <v>597</v>
      </c>
      <c r="K127" t="str">
        <f>HYPERLINK("https://www.ebi.ac.uk/ena/browser/view/ERR14660771","ERR14660771")</f>
        <v>ERR14660771</v>
      </c>
      <c r="L127" t="str">
        <f>HYPERLINK("https://www.ebi.ac.uk/ena/browser/view/GCA_965180585","GCA_965180585")</f>
        <v>GCA_965180585</v>
      </c>
      <c r="M127" t="str">
        <f>HYPERLINK("https://www.ncbi.nlm.nih.gov/datasets/genome/GCA_965180585","CBCYCF010000001-CBCYCF010000071")</f>
        <v>CBCYCF010000001-CBCYCF010000071</v>
      </c>
    </row>
    <row r="128" spans="1:13" x14ac:dyDescent="0.35">
      <c r="A128" t="s">
        <v>598</v>
      </c>
      <c r="B128" t="s">
        <v>25</v>
      </c>
      <c r="C128" t="s">
        <v>26</v>
      </c>
      <c r="D128" t="s">
        <v>17</v>
      </c>
      <c r="E128" t="s">
        <v>190</v>
      </c>
      <c r="F128" t="s">
        <v>191</v>
      </c>
      <c r="G128" t="s">
        <v>221</v>
      </c>
      <c r="H128" t="s">
        <v>599</v>
      </c>
      <c r="I128" t="s">
        <v>600</v>
      </c>
      <c r="J128" t="s">
        <v>601</v>
      </c>
      <c r="K128" t="str">
        <f>HYPERLINK("https://www.ebi.ac.uk/ena/browser/view/ERR14660772","ERR14660772")</f>
        <v>ERR14660772</v>
      </c>
      <c r="L128" t="str">
        <f>HYPERLINK("https://www.ebi.ac.uk/ena/browser/view/GCA_965181625","GCA_965181625")</f>
        <v>GCA_965181625</v>
      </c>
      <c r="M128" t="str">
        <f>HYPERLINK("https://www.ncbi.nlm.nih.gov/datasets/genome/GCA_965181625","CBCYHM010000001-CBCYHM010000099")</f>
        <v>CBCYHM010000001-CBCYHM010000099</v>
      </c>
    </row>
    <row r="129" spans="1:13" x14ac:dyDescent="0.35">
      <c r="A129" t="s">
        <v>602</v>
      </c>
      <c r="B129" t="s">
        <v>25</v>
      </c>
      <c r="C129" t="s">
        <v>26</v>
      </c>
      <c r="D129" t="s">
        <v>32</v>
      </c>
      <c r="E129" t="s">
        <v>190</v>
      </c>
      <c r="F129" t="s">
        <v>191</v>
      </c>
      <c r="G129" t="s">
        <v>221</v>
      </c>
      <c r="H129" t="s">
        <v>603</v>
      </c>
      <c r="I129" t="s">
        <v>604</v>
      </c>
      <c r="J129" t="s">
        <v>605</v>
      </c>
      <c r="K129" t="str">
        <f>HYPERLINK("https://www.ebi.ac.uk/ena/browser/view/ERR14660773","ERR14660773")</f>
        <v>ERR14660773</v>
      </c>
      <c r="L129" t="str">
        <f>HYPERLINK("https://www.ebi.ac.uk/ena/browser/view/GCA_965180575","GCA_965180575")</f>
        <v>GCA_965180575</v>
      </c>
      <c r="M129" t="str">
        <f>HYPERLINK("https://www.ncbi.nlm.nih.gov/datasets/genome/GCA_965180575","CBCYDF010000001-CBCYDF010000152")</f>
        <v>CBCYDF010000001-CBCYDF010000152</v>
      </c>
    </row>
    <row r="130" spans="1:13" x14ac:dyDescent="0.35">
      <c r="A130" t="s">
        <v>606</v>
      </c>
      <c r="B130" t="s">
        <v>25</v>
      </c>
      <c r="C130" t="s">
        <v>26</v>
      </c>
      <c r="D130" t="s">
        <v>32</v>
      </c>
      <c r="E130" t="s">
        <v>190</v>
      </c>
      <c r="F130" t="s">
        <v>191</v>
      </c>
      <c r="G130" t="s">
        <v>221</v>
      </c>
      <c r="H130" t="s">
        <v>607</v>
      </c>
      <c r="I130" t="s">
        <v>608</v>
      </c>
      <c r="J130" t="s">
        <v>609</v>
      </c>
      <c r="K130" t="str">
        <f>HYPERLINK("https://www.ebi.ac.uk/ena/browser/view/ERR14660777","ERR14660777")</f>
        <v>ERR14660777</v>
      </c>
      <c r="L130" t="str">
        <f>HYPERLINK("https://www.ebi.ac.uk/ena/browser/view/GCA_965181475","GCA_965181475")</f>
        <v>GCA_965181475</v>
      </c>
      <c r="M130" t="str">
        <f>HYPERLINK("https://www.ncbi.nlm.nih.gov/datasets/genome/GCA_965181475","CBCYGU010000001-CBCYGU010000149")</f>
        <v>CBCYGU010000001-CBCYGU010000149</v>
      </c>
    </row>
    <row r="131" spans="1:13" x14ac:dyDescent="0.35">
      <c r="A131" t="s">
        <v>610</v>
      </c>
      <c r="B131" t="s">
        <v>25</v>
      </c>
      <c r="C131" t="s">
        <v>26</v>
      </c>
      <c r="D131" t="s">
        <v>32</v>
      </c>
      <c r="E131" t="s">
        <v>190</v>
      </c>
      <c r="F131" t="s">
        <v>191</v>
      </c>
      <c r="G131" t="s">
        <v>611</v>
      </c>
      <c r="H131" t="s">
        <v>612</v>
      </c>
      <c r="I131" t="s">
        <v>613</v>
      </c>
      <c r="J131" t="s">
        <v>614</v>
      </c>
      <c r="K131" t="str">
        <f>HYPERLINK("https://www.ebi.ac.uk/ena/browser/view/ERR14660779","ERR14660779")</f>
        <v>ERR14660779</v>
      </c>
      <c r="L131" t="str">
        <f>HYPERLINK("https://www.ebi.ac.uk/ena/browser/view/GCA_965183595","GCA_965183595")</f>
        <v>GCA_965183595</v>
      </c>
      <c r="M131" t="str">
        <f>HYPERLINK("https://www.ncbi.nlm.nih.gov/datasets/genome/GCA_965183595","CBDACB010000001-CBDACB010000179")</f>
        <v>CBDACB010000001-CBDACB010000179</v>
      </c>
    </row>
    <row r="132" spans="1:13" x14ac:dyDescent="0.35">
      <c r="A132" t="s">
        <v>615</v>
      </c>
      <c r="B132" t="s">
        <v>25</v>
      </c>
      <c r="C132" t="s">
        <v>26</v>
      </c>
      <c r="D132" t="s">
        <v>32</v>
      </c>
      <c r="E132" t="s">
        <v>190</v>
      </c>
      <c r="F132" t="s">
        <v>191</v>
      </c>
      <c r="G132" t="s">
        <v>221</v>
      </c>
      <c r="H132" t="s">
        <v>616</v>
      </c>
      <c r="I132" t="s">
        <v>617</v>
      </c>
      <c r="J132" t="s">
        <v>618</v>
      </c>
      <c r="K132" t="str">
        <f>HYPERLINK("https://www.ebi.ac.uk/ena/browser/view/ERR14660783","ERR14660783")</f>
        <v>ERR14660783</v>
      </c>
      <c r="L132" t="str">
        <f>HYPERLINK("https://www.ebi.ac.uk/ena/browser/view/GCA_965180345","GCA_965180345")</f>
        <v>GCA_965180345</v>
      </c>
      <c r="M132" t="str">
        <f>HYPERLINK("https://www.ncbi.nlm.nih.gov/datasets/genome/GCA_965180345","CBCYCS010000001-CBCYCS010000122")</f>
        <v>CBCYCS010000001-CBCYCS010000122</v>
      </c>
    </row>
    <row r="133" spans="1:13" x14ac:dyDescent="0.35">
      <c r="A133" t="s">
        <v>619</v>
      </c>
      <c r="B133" t="s">
        <v>25</v>
      </c>
      <c r="C133" t="s">
        <v>26</v>
      </c>
      <c r="D133" t="s">
        <v>32</v>
      </c>
      <c r="E133" t="s">
        <v>190</v>
      </c>
      <c r="F133" t="s">
        <v>191</v>
      </c>
      <c r="G133" t="s">
        <v>620</v>
      </c>
      <c r="H133" t="s">
        <v>621</v>
      </c>
      <c r="I133" t="s">
        <v>622</v>
      </c>
      <c r="J133" t="s">
        <v>623</v>
      </c>
      <c r="K133" t="str">
        <f>HYPERLINK("https://www.ebi.ac.uk/ena/browser/view/ERR14660787","ERR14660787")</f>
        <v>ERR14660787</v>
      </c>
      <c r="L133" t="str">
        <f>HYPERLINK("https://www.ebi.ac.uk/ena/browser/view/GCA_965183135","GCA_965183135")</f>
        <v>GCA_965183135</v>
      </c>
      <c r="M133" t="str">
        <f>HYPERLINK("https://www.ncbi.nlm.nih.gov/datasets/genome/GCA_965183135","CBDAAY010000001-CBDAAY010000093")</f>
        <v>CBDAAY010000001-CBDAAY010000093</v>
      </c>
    </row>
    <row r="134" spans="1:13" x14ac:dyDescent="0.35">
      <c r="A134" t="s">
        <v>624</v>
      </c>
      <c r="B134" t="s">
        <v>25</v>
      </c>
      <c r="C134" t="s">
        <v>26</v>
      </c>
      <c r="D134" t="s">
        <v>32</v>
      </c>
      <c r="E134" t="s">
        <v>190</v>
      </c>
      <c r="F134" t="s">
        <v>191</v>
      </c>
      <c r="G134" t="s">
        <v>625</v>
      </c>
      <c r="H134" t="s">
        <v>626</v>
      </c>
      <c r="I134" t="s">
        <v>627</v>
      </c>
      <c r="J134" t="s">
        <v>628</v>
      </c>
      <c r="K134" t="str">
        <f>HYPERLINK("https://www.ebi.ac.uk/ena/browser/view/ERR14660793","ERR14660793")</f>
        <v>ERR14660793</v>
      </c>
      <c r="L134" t="str">
        <f>HYPERLINK("https://www.ebi.ac.uk/ena/browser/view/GCA_965179915","GCA_965179915")</f>
        <v>GCA_965179915</v>
      </c>
      <c r="M134" t="str">
        <f>HYPERLINK("https://www.ncbi.nlm.nih.gov/datasets/genome/GCA_965179915","CBCYBL010000001-CBCYBL010000164")</f>
        <v>CBCYBL010000001-CBCYBL010000164</v>
      </c>
    </row>
    <row r="135" spans="1:13" x14ac:dyDescent="0.35">
      <c r="A135" t="s">
        <v>629</v>
      </c>
      <c r="B135" t="s">
        <v>25</v>
      </c>
      <c r="C135" t="s">
        <v>26</v>
      </c>
      <c r="D135" t="s">
        <v>32</v>
      </c>
      <c r="E135" t="s">
        <v>190</v>
      </c>
      <c r="F135" t="s">
        <v>191</v>
      </c>
      <c r="G135" t="s">
        <v>630</v>
      </c>
      <c r="H135" t="s">
        <v>631</v>
      </c>
      <c r="I135" t="s">
        <v>632</v>
      </c>
      <c r="J135" t="s">
        <v>633</v>
      </c>
      <c r="K135" t="str">
        <f>HYPERLINK("https://www.ebi.ac.uk/ena/browser/view/ERR14660799","ERR14660799")</f>
        <v>ERR14660799</v>
      </c>
      <c r="L135" t="str">
        <f>HYPERLINK("https://www.ebi.ac.uk/ena/browser/view/GCA_965182865","GCA_965182865")</f>
        <v>GCA_965182865</v>
      </c>
      <c r="M135" t="str">
        <f>HYPERLINK("https://www.ncbi.nlm.nih.gov/datasets/genome/GCA_965182865","CBCYMS010000001-CBCYMS010000092")</f>
        <v>CBCYMS010000001-CBCYMS010000092</v>
      </c>
    </row>
    <row r="136" spans="1:13" x14ac:dyDescent="0.35">
      <c r="A136" t="s">
        <v>634</v>
      </c>
      <c r="B136" t="s">
        <v>25</v>
      </c>
      <c r="C136" t="s">
        <v>26</v>
      </c>
      <c r="D136" t="s">
        <v>17</v>
      </c>
      <c r="E136" t="s">
        <v>190</v>
      </c>
      <c r="F136" t="s">
        <v>191</v>
      </c>
      <c r="G136" t="s">
        <v>368</v>
      </c>
      <c r="H136" t="s">
        <v>635</v>
      </c>
      <c r="I136" t="s">
        <v>636</v>
      </c>
      <c r="J136" t="s">
        <v>637</v>
      </c>
      <c r="K136" t="str">
        <f>HYPERLINK("https://www.ebi.ac.uk/ena/browser/view/ERR14660801","ERR14660801")</f>
        <v>ERR14660801</v>
      </c>
      <c r="L136" t="str">
        <f>HYPERLINK("https://www.ebi.ac.uk/ena/browser/view/GCA_965181885","GCA_965181885")</f>
        <v>GCA_965181885</v>
      </c>
      <c r="M136" t="str">
        <f>HYPERLINK("https://www.ncbi.nlm.nih.gov/datasets/genome/GCA_965181885","CBCYIL010000001-CBCYIL010000093")</f>
        <v>CBCYIL010000001-CBCYIL010000093</v>
      </c>
    </row>
    <row r="137" spans="1:13" x14ac:dyDescent="0.35">
      <c r="A137" t="s">
        <v>638</v>
      </c>
      <c r="B137" t="s">
        <v>25</v>
      </c>
      <c r="C137" t="s">
        <v>26</v>
      </c>
      <c r="D137" t="s">
        <v>32</v>
      </c>
      <c r="E137" t="s">
        <v>190</v>
      </c>
      <c r="F137" t="s">
        <v>191</v>
      </c>
      <c r="G137" t="s">
        <v>625</v>
      </c>
      <c r="H137" t="s">
        <v>639</v>
      </c>
      <c r="I137" t="s">
        <v>640</v>
      </c>
      <c r="J137" t="s">
        <v>641</v>
      </c>
      <c r="K137" t="str">
        <f>HYPERLINK("https://www.ebi.ac.uk/ena/browser/view/ERR14660804","ERR14660804")</f>
        <v>ERR14660804</v>
      </c>
      <c r="L137" t="str">
        <f>HYPERLINK("https://www.ebi.ac.uk/ena/browser/view/GCA_965182835","GCA_965182835")</f>
        <v>GCA_965182835</v>
      </c>
      <c r="M137" t="str">
        <f>HYPERLINK("https://www.ncbi.nlm.nih.gov/datasets/genome/GCA_965182835","CBCYMC010000001-CBCYMC010000140")</f>
        <v>CBCYMC010000001-CBCYMC010000140</v>
      </c>
    </row>
    <row r="138" spans="1:13" x14ac:dyDescent="0.35">
      <c r="A138" t="s">
        <v>642</v>
      </c>
      <c r="B138" t="s">
        <v>25</v>
      </c>
      <c r="C138" t="s">
        <v>26</v>
      </c>
      <c r="D138" t="s">
        <v>32</v>
      </c>
      <c r="E138" t="s">
        <v>190</v>
      </c>
      <c r="F138" t="s">
        <v>191</v>
      </c>
      <c r="G138" t="s">
        <v>428</v>
      </c>
      <c r="H138" t="s">
        <v>643</v>
      </c>
      <c r="I138" t="s">
        <v>644</v>
      </c>
      <c r="J138" t="s">
        <v>645</v>
      </c>
      <c r="K138" t="str">
        <f>HYPERLINK("https://www.ebi.ac.uk/ena/browser/view/ERR14660807","ERR14660807")</f>
        <v>ERR14660807</v>
      </c>
      <c r="L138" t="str">
        <f>HYPERLINK("https://www.ebi.ac.uk/ena/browser/view/GCA_965181415","GCA_965181415")</f>
        <v>GCA_965181415</v>
      </c>
      <c r="M138" t="str">
        <f>HYPERLINK("https://www.ncbi.nlm.nih.gov/datasets/genome/GCA_965181415","CBCYGD010000001-CBCYGD010000101")</f>
        <v>CBCYGD010000001-CBCYGD010000101</v>
      </c>
    </row>
    <row r="139" spans="1:13" x14ac:dyDescent="0.35">
      <c r="A139" t="s">
        <v>646</v>
      </c>
      <c r="B139" t="s">
        <v>25</v>
      </c>
      <c r="C139" t="s">
        <v>26</v>
      </c>
      <c r="D139" t="s">
        <v>32</v>
      </c>
      <c r="E139" t="s">
        <v>190</v>
      </c>
      <c r="F139" t="s">
        <v>191</v>
      </c>
      <c r="G139" t="s">
        <v>647</v>
      </c>
      <c r="H139" t="s">
        <v>648</v>
      </c>
      <c r="I139" t="s">
        <v>649</v>
      </c>
      <c r="J139" t="s">
        <v>650</v>
      </c>
      <c r="K139" t="str">
        <f>HYPERLINK("https://www.ebi.ac.uk/ena/browser/view/ERR14660810","ERR14660810")</f>
        <v>ERR14660810</v>
      </c>
      <c r="L139" t="str">
        <f>HYPERLINK("https://www.ebi.ac.uk/ena/browser/view/GCA_965183545","GCA_965183545")</f>
        <v>GCA_965183545</v>
      </c>
      <c r="M139" t="str">
        <f>HYPERLINK("https://www.ncbi.nlm.nih.gov/datasets/genome/GCA_965183545","CBDACZ010000001-CBDACZ010000237")</f>
        <v>CBDACZ010000001-CBDACZ010000237</v>
      </c>
    </row>
    <row r="140" spans="1:13" x14ac:dyDescent="0.35">
      <c r="A140" t="s">
        <v>651</v>
      </c>
      <c r="B140" t="s">
        <v>25</v>
      </c>
      <c r="C140" t="s">
        <v>26</v>
      </c>
      <c r="D140" t="s">
        <v>17</v>
      </c>
      <c r="E140" t="s">
        <v>190</v>
      </c>
      <c r="F140" t="s">
        <v>191</v>
      </c>
      <c r="G140" t="s">
        <v>221</v>
      </c>
      <c r="H140" t="s">
        <v>652</v>
      </c>
      <c r="I140" t="s">
        <v>653</v>
      </c>
      <c r="J140" t="s">
        <v>654</v>
      </c>
      <c r="K140" t="str">
        <f>HYPERLINK("https://www.ebi.ac.uk/ena/browser/view/ERR14660811","ERR14660811")</f>
        <v>ERR14660811</v>
      </c>
      <c r="L140" t="str">
        <f>HYPERLINK("https://www.ebi.ac.uk/ena/browser/view/GCA_965181125","GCA_965181125")</f>
        <v>GCA_965181125</v>
      </c>
      <c r="M140" t="str">
        <f>HYPERLINK("https://www.ncbi.nlm.nih.gov/datasets/genome/GCA_965181125","CBCYGA010000001-CBCYGA010000114")</f>
        <v>CBCYGA010000001-CBCYGA010000114</v>
      </c>
    </row>
    <row r="141" spans="1:13" x14ac:dyDescent="0.35">
      <c r="A141" t="s">
        <v>655</v>
      </c>
      <c r="B141" t="s">
        <v>25</v>
      </c>
      <c r="C141" t="s">
        <v>26</v>
      </c>
      <c r="D141" t="s">
        <v>32</v>
      </c>
      <c r="E141" t="s">
        <v>190</v>
      </c>
      <c r="F141" t="s">
        <v>191</v>
      </c>
      <c r="G141" t="s">
        <v>656</v>
      </c>
      <c r="H141" t="s">
        <v>657</v>
      </c>
      <c r="I141" t="s">
        <v>658</v>
      </c>
      <c r="J141" t="s">
        <v>659</v>
      </c>
      <c r="K141" t="str">
        <f>HYPERLINK("https://www.ebi.ac.uk/ena/browser/view/ERR14660812","ERR14660812")</f>
        <v>ERR14660812</v>
      </c>
      <c r="L141" t="str">
        <f>HYPERLINK("https://www.ebi.ac.uk/ena/browser/view/GCA_965181115","GCA_965181115")</f>
        <v>GCA_965181115</v>
      </c>
      <c r="M141" t="str">
        <f>HYPERLINK("https://www.ncbi.nlm.nih.gov/datasets/genome/GCA_965181115","CBCYEW010000001-CBCYEW010000059")</f>
        <v>CBCYEW010000001-CBCYEW010000059</v>
      </c>
    </row>
    <row r="142" spans="1:13" x14ac:dyDescent="0.35">
      <c r="A142" t="s">
        <v>660</v>
      </c>
      <c r="B142" t="s">
        <v>25</v>
      </c>
      <c r="C142" t="s">
        <v>26</v>
      </c>
      <c r="D142" t="s">
        <v>32</v>
      </c>
      <c r="E142" t="s">
        <v>190</v>
      </c>
      <c r="F142" t="s">
        <v>191</v>
      </c>
      <c r="G142" t="s">
        <v>546</v>
      </c>
      <c r="H142" t="s">
        <v>661</v>
      </c>
      <c r="I142" t="s">
        <v>662</v>
      </c>
      <c r="J142" t="s">
        <v>663</v>
      </c>
      <c r="K142" t="str">
        <f>HYPERLINK("https://www.ebi.ac.uk/ena/browser/view/ERR14660814","ERR14660814")</f>
        <v>ERR14660814</v>
      </c>
      <c r="L142" t="str">
        <f>HYPERLINK("https://www.ebi.ac.uk/ena/browser/view/GCA_965181135","GCA_965181135")</f>
        <v>GCA_965181135</v>
      </c>
      <c r="M142" t="str">
        <f>HYPERLINK("https://www.ncbi.nlm.nih.gov/datasets/genome/GCA_965181135","CBCYFD010000001-CBCYFD010000111")</f>
        <v>CBCYFD010000001-CBCYFD010000111</v>
      </c>
    </row>
    <row r="143" spans="1:13" x14ac:dyDescent="0.35">
      <c r="A143" t="s">
        <v>664</v>
      </c>
      <c r="B143" t="s">
        <v>25</v>
      </c>
      <c r="C143" t="s">
        <v>26</v>
      </c>
      <c r="D143" t="s">
        <v>32</v>
      </c>
      <c r="E143" t="s">
        <v>190</v>
      </c>
      <c r="F143" t="s">
        <v>191</v>
      </c>
      <c r="G143" t="s">
        <v>647</v>
      </c>
      <c r="H143" t="s">
        <v>665</v>
      </c>
      <c r="I143" t="s">
        <v>666</v>
      </c>
      <c r="J143" t="s">
        <v>667</v>
      </c>
      <c r="K143" t="str">
        <f>HYPERLINK("https://www.ebi.ac.uk/ena/browser/view/ERR14660816","ERR14660816")</f>
        <v>ERR14660816</v>
      </c>
      <c r="L143" t="str">
        <f>HYPERLINK("https://www.ebi.ac.uk/ena/browser/view/GCA_965181105","GCA_965181105")</f>
        <v>GCA_965181105</v>
      </c>
      <c r="M143" t="str">
        <f>HYPERLINK("https://www.ncbi.nlm.nih.gov/datasets/genome/GCA_965181105","CBCYFT010000001-CBCYFT010000133")</f>
        <v>CBCYFT010000001-CBCYFT010000133</v>
      </c>
    </row>
    <row r="144" spans="1:13" x14ac:dyDescent="0.35">
      <c r="A144" t="s">
        <v>668</v>
      </c>
      <c r="B144" t="s">
        <v>25</v>
      </c>
      <c r="C144" t="s">
        <v>26</v>
      </c>
      <c r="D144" t="s">
        <v>32</v>
      </c>
      <c r="E144" t="s">
        <v>190</v>
      </c>
      <c r="F144" t="s">
        <v>191</v>
      </c>
      <c r="G144" t="s">
        <v>594</v>
      </c>
      <c r="H144" t="s">
        <v>669</v>
      </c>
      <c r="I144" t="s">
        <v>670</v>
      </c>
      <c r="J144" t="s">
        <v>671</v>
      </c>
      <c r="K144" t="str">
        <f>HYPERLINK("https://www.ebi.ac.uk/ena/browser/view/ERR14660818","ERR14660818")</f>
        <v>ERR14660818</v>
      </c>
      <c r="L144" t="str">
        <f>HYPERLINK("https://www.ebi.ac.uk/ena/browser/view/GCA_965183665","GCA_965183665")</f>
        <v>GCA_965183665</v>
      </c>
      <c r="M144" t="str">
        <f>HYPERLINK("https://www.ncbi.nlm.nih.gov/datasets/genome/GCA_965183665","CBDACY010000001-CBDACY010000067")</f>
        <v>CBDACY010000001-CBDACY010000067</v>
      </c>
    </row>
    <row r="145" spans="1:13" x14ac:dyDescent="0.35">
      <c r="A145" t="s">
        <v>672</v>
      </c>
      <c r="B145" t="s">
        <v>25</v>
      </c>
      <c r="C145" t="s">
        <v>26</v>
      </c>
      <c r="D145" t="s">
        <v>32</v>
      </c>
      <c r="E145" t="s">
        <v>190</v>
      </c>
      <c r="F145" t="s">
        <v>191</v>
      </c>
      <c r="G145" t="s">
        <v>483</v>
      </c>
      <c r="H145" t="s">
        <v>673</v>
      </c>
      <c r="I145" t="s">
        <v>674</v>
      </c>
      <c r="J145" t="s">
        <v>675</v>
      </c>
      <c r="K145" t="str">
        <f>HYPERLINK("https://www.ebi.ac.uk/ena/browser/view/ERR14660822","ERR14660822")</f>
        <v>ERR14660822</v>
      </c>
      <c r="L145" t="str">
        <f>HYPERLINK("https://www.ebi.ac.uk/ena/browser/view/GCA_965180945","GCA_965180945")</f>
        <v>GCA_965180945</v>
      </c>
      <c r="M145" t="str">
        <f>HYPERLINK("https://www.ncbi.nlm.nih.gov/datasets/genome/GCA_965180945","CBCYFA010000001-CBCYFA010000132")</f>
        <v>CBCYFA010000001-CBCYFA010000132</v>
      </c>
    </row>
    <row r="146" spans="1:13" x14ac:dyDescent="0.35">
      <c r="A146" t="s">
        <v>676</v>
      </c>
      <c r="B146" t="s">
        <v>25</v>
      </c>
      <c r="C146" t="s">
        <v>26</v>
      </c>
      <c r="D146" t="s">
        <v>32</v>
      </c>
      <c r="E146" t="s">
        <v>190</v>
      </c>
      <c r="F146" t="s">
        <v>191</v>
      </c>
      <c r="G146" t="s">
        <v>677</v>
      </c>
      <c r="H146" t="s">
        <v>678</v>
      </c>
      <c r="I146" t="s">
        <v>679</v>
      </c>
      <c r="J146" t="s">
        <v>680</v>
      </c>
      <c r="K146" t="str">
        <f>HYPERLINK("https://www.ebi.ac.uk/ena/browser/view/ERR14660823","ERR14660823")</f>
        <v>ERR14660823</v>
      </c>
      <c r="L146" t="str">
        <f>HYPERLINK("https://www.ebi.ac.uk/ena/browser/view/GCA_965183465","GCA_965183465")</f>
        <v>GCA_965183465</v>
      </c>
      <c r="M146" t="str">
        <f>HYPERLINK("https://www.ncbi.nlm.nih.gov/datasets/genome/GCA_965183465","CBDABS010000001-CBDABS010000196")</f>
        <v>CBDABS010000001-CBDABS010000196</v>
      </c>
    </row>
    <row r="147" spans="1:13" x14ac:dyDescent="0.35">
      <c r="A147" t="s">
        <v>681</v>
      </c>
      <c r="B147" t="s">
        <v>25</v>
      </c>
      <c r="C147" t="s">
        <v>26</v>
      </c>
      <c r="D147" t="s">
        <v>17</v>
      </c>
      <c r="E147" t="s">
        <v>190</v>
      </c>
      <c r="F147" t="s">
        <v>191</v>
      </c>
      <c r="G147" t="s">
        <v>647</v>
      </c>
      <c r="H147" t="s">
        <v>682</v>
      </c>
      <c r="I147" t="s">
        <v>683</v>
      </c>
      <c r="J147" t="s">
        <v>684</v>
      </c>
      <c r="K147" t="str">
        <f>HYPERLINK("https://www.ebi.ac.uk/ena/browser/view/ERR14660824","ERR14660824")</f>
        <v>ERR14660824</v>
      </c>
      <c r="L147" t="str">
        <f>HYPERLINK("https://www.ebi.ac.uk/ena/browser/view/GCA_965183445","GCA_965183445")</f>
        <v>GCA_965183445</v>
      </c>
      <c r="M147" t="str">
        <f>HYPERLINK("https://www.ncbi.nlm.nih.gov/datasets/genome/GCA_965183445","CBDACN010000001-CBDACN010000124")</f>
        <v>CBDACN010000001-CBDACN010000124</v>
      </c>
    </row>
    <row r="148" spans="1:13" x14ac:dyDescent="0.35">
      <c r="A148" t="s">
        <v>685</v>
      </c>
      <c r="B148" t="s">
        <v>25</v>
      </c>
      <c r="C148" t="s">
        <v>26</v>
      </c>
      <c r="D148" t="s">
        <v>32</v>
      </c>
      <c r="E148" t="s">
        <v>190</v>
      </c>
      <c r="F148" t="s">
        <v>191</v>
      </c>
      <c r="G148" t="s">
        <v>647</v>
      </c>
      <c r="H148" t="s">
        <v>686</v>
      </c>
      <c r="I148" t="s">
        <v>687</v>
      </c>
      <c r="J148" t="s">
        <v>688</v>
      </c>
      <c r="K148" t="str">
        <f>HYPERLINK("https://www.ebi.ac.uk/ena/browser/view/ERR14660829","ERR14660829")</f>
        <v>ERR14660829</v>
      </c>
      <c r="L148" t="str">
        <f>HYPERLINK("https://www.ebi.ac.uk/ena/browser/view/GCA_965181525","GCA_965181525")</f>
        <v>GCA_965181525</v>
      </c>
      <c r="M148" t="str">
        <f>HYPERLINK("https://www.ncbi.nlm.nih.gov/datasets/genome/GCA_965181525","CBCYHC010000001-CBCYHC010000123")</f>
        <v>CBCYHC010000001-CBCYHC010000123</v>
      </c>
    </row>
    <row r="149" spans="1:13" x14ac:dyDescent="0.35">
      <c r="A149" t="s">
        <v>689</v>
      </c>
      <c r="B149" t="s">
        <v>25</v>
      </c>
      <c r="C149" t="s">
        <v>26</v>
      </c>
      <c r="D149" t="s">
        <v>32</v>
      </c>
      <c r="E149" t="s">
        <v>190</v>
      </c>
      <c r="F149" t="s">
        <v>191</v>
      </c>
      <c r="G149" t="s">
        <v>690</v>
      </c>
      <c r="H149" t="s">
        <v>691</v>
      </c>
      <c r="I149" t="s">
        <v>692</v>
      </c>
      <c r="J149" t="s">
        <v>693</v>
      </c>
      <c r="K149" t="str">
        <f>HYPERLINK("https://www.ebi.ac.uk/ena/browser/view/ERR14660830","ERR14660830")</f>
        <v>ERR14660830</v>
      </c>
      <c r="L149" t="str">
        <f>HYPERLINK("https://www.ebi.ac.uk/ena/browser/view/GCA_965181515","GCA_965181515")</f>
        <v>GCA_965181515</v>
      </c>
      <c r="M149" t="str">
        <f>HYPERLINK("https://www.ncbi.nlm.nih.gov/datasets/genome/GCA_965181515","CBCYGO010000001-CBCYGO010000087")</f>
        <v>CBCYGO010000001-CBCYGO010000087</v>
      </c>
    </row>
    <row r="150" spans="1:13" x14ac:dyDescent="0.35">
      <c r="A150" t="s">
        <v>694</v>
      </c>
      <c r="B150" t="s">
        <v>25</v>
      </c>
      <c r="C150" t="s">
        <v>26</v>
      </c>
      <c r="D150" t="s">
        <v>32</v>
      </c>
      <c r="E150" t="s">
        <v>190</v>
      </c>
      <c r="F150" t="s">
        <v>191</v>
      </c>
      <c r="G150" t="s">
        <v>230</v>
      </c>
      <c r="H150" t="s">
        <v>695</v>
      </c>
      <c r="I150" t="s">
        <v>696</v>
      </c>
      <c r="J150" t="s">
        <v>697</v>
      </c>
      <c r="K150" t="str">
        <f>HYPERLINK("https://www.ebi.ac.uk/ena/browser/view/ERR14660832","ERR14660832")</f>
        <v>ERR14660832</v>
      </c>
      <c r="L150" t="str">
        <f>HYPERLINK("https://www.ebi.ac.uk/ena/browser/view/GCA_965183405","GCA_965183405")</f>
        <v>GCA_965183405</v>
      </c>
      <c r="M150" t="str">
        <f>HYPERLINK("https://www.ncbi.nlm.nih.gov/datasets/genome/GCA_965183405","CBDABW010000001-CBDABW010000113")</f>
        <v>CBDABW010000001-CBDABW010000113</v>
      </c>
    </row>
    <row r="151" spans="1:13" x14ac:dyDescent="0.35">
      <c r="A151" t="s">
        <v>698</v>
      </c>
      <c r="B151" t="s">
        <v>25</v>
      </c>
      <c r="C151" t="s">
        <v>26</v>
      </c>
      <c r="D151" t="s">
        <v>32</v>
      </c>
      <c r="E151" t="s">
        <v>190</v>
      </c>
      <c r="F151" t="s">
        <v>191</v>
      </c>
      <c r="G151" t="s">
        <v>483</v>
      </c>
      <c r="H151" t="s">
        <v>699</v>
      </c>
      <c r="I151" t="s">
        <v>700</v>
      </c>
      <c r="J151" t="s">
        <v>701</v>
      </c>
      <c r="K151" t="str">
        <f>HYPERLINK("https://www.ebi.ac.uk/ena/browser/view/ERR14660840","ERR14660840")</f>
        <v>ERR14660840</v>
      </c>
      <c r="L151" t="str">
        <f>HYPERLINK("https://www.ebi.ac.uk/ena/browser/view/GCA_965179795","GCA_965179795")</f>
        <v>GCA_965179795</v>
      </c>
      <c r="M151" t="str">
        <f>HYPERLINK("https://www.ncbi.nlm.nih.gov/datasets/genome/GCA_965179795","CBCXZV010000001-CBCXZV010000149")</f>
        <v>CBCXZV010000001-CBCXZV010000149</v>
      </c>
    </row>
    <row r="152" spans="1:13" x14ac:dyDescent="0.35">
      <c r="A152" t="s">
        <v>702</v>
      </c>
      <c r="B152" t="s">
        <v>25</v>
      </c>
      <c r="C152" t="s">
        <v>174</v>
      </c>
      <c r="D152" t="s">
        <v>17</v>
      </c>
      <c r="E152" t="s">
        <v>190</v>
      </c>
      <c r="F152" t="s">
        <v>191</v>
      </c>
      <c r="G152" t="s">
        <v>221</v>
      </c>
      <c r="H152" t="s">
        <v>703</v>
      </c>
      <c r="I152" t="s">
        <v>704</v>
      </c>
      <c r="J152" t="s">
        <v>705</v>
      </c>
      <c r="K152" t="str">
        <f>HYPERLINK("https://www.ebi.ac.uk/ena/browser/view/ERR14660842","ERR14660842")</f>
        <v>ERR14660842</v>
      </c>
      <c r="L152" t="str">
        <f>HYPERLINK("https://www.ebi.ac.uk/ena/browser/view/GCA_965179665","GCA_965179665")</f>
        <v>GCA_965179665</v>
      </c>
      <c r="M152" t="str">
        <f>HYPERLINK("https://www.ncbi.nlm.nih.gov/datasets/genome/GCA_965179665","CBCXZZ010000001-CBCXZZ010000145")</f>
        <v>CBCXZZ010000001-CBCXZZ010000145</v>
      </c>
    </row>
    <row r="153" spans="1:13" x14ac:dyDescent="0.35">
      <c r="A153" t="s">
        <v>706</v>
      </c>
      <c r="B153" t="s">
        <v>25</v>
      </c>
      <c r="C153" t="s">
        <v>174</v>
      </c>
      <c r="D153" t="s">
        <v>17</v>
      </c>
      <c r="E153" t="s">
        <v>190</v>
      </c>
      <c r="F153" t="s">
        <v>191</v>
      </c>
      <c r="G153" t="s">
        <v>221</v>
      </c>
      <c r="H153" t="s">
        <v>707</v>
      </c>
      <c r="I153" t="s">
        <v>708</v>
      </c>
      <c r="J153" t="s">
        <v>709</v>
      </c>
      <c r="K153" t="str">
        <f>HYPERLINK("https://www.ebi.ac.uk/ena/browser/view/ERR14660843","ERR14660843")</f>
        <v>ERR14660843</v>
      </c>
      <c r="L153" t="str">
        <f>HYPERLINK("https://www.ebi.ac.uk/ena/browser/view/GCA_965179765","GCA_965179765")</f>
        <v>GCA_965179765</v>
      </c>
      <c r="M153" t="str">
        <f>HYPERLINK("https://www.ncbi.nlm.nih.gov/datasets/genome/GCA_965179765","CBCXZY010000001-CBCXZY010000135")</f>
        <v>CBCXZY010000001-CBCXZY010000135</v>
      </c>
    </row>
    <row r="154" spans="1:13" x14ac:dyDescent="0.35">
      <c r="A154" t="s">
        <v>710</v>
      </c>
      <c r="B154" t="s">
        <v>25</v>
      </c>
      <c r="C154" t="s">
        <v>174</v>
      </c>
      <c r="D154" t="s">
        <v>32</v>
      </c>
      <c r="E154" t="s">
        <v>190</v>
      </c>
      <c r="F154" t="s">
        <v>191</v>
      </c>
      <c r="G154" t="s">
        <v>221</v>
      </c>
      <c r="H154" t="s">
        <v>711</v>
      </c>
      <c r="I154" t="s">
        <v>712</v>
      </c>
      <c r="J154" t="s">
        <v>713</v>
      </c>
      <c r="K154" t="str">
        <f>HYPERLINK("https://www.ebi.ac.uk/ena/browser/view/ERR14660844","ERR14660844")</f>
        <v>ERR14660844</v>
      </c>
      <c r="L154" t="str">
        <f>HYPERLINK("https://www.ebi.ac.uk/ena/browser/view/GCA_965181235","GCA_965181235")</f>
        <v>GCA_965181235</v>
      </c>
      <c r="M154" t="str">
        <f>HYPERLINK("https://www.ncbi.nlm.nih.gov/datasets/genome/GCA_965181235","CBCYGH010000001-CBCYGH010000145")</f>
        <v>CBCYGH010000001-CBCYGH010000145</v>
      </c>
    </row>
    <row r="155" spans="1:13" x14ac:dyDescent="0.35">
      <c r="A155" t="s">
        <v>714</v>
      </c>
      <c r="B155" t="s">
        <v>25</v>
      </c>
      <c r="C155" t="s">
        <v>174</v>
      </c>
      <c r="D155" t="s">
        <v>17</v>
      </c>
      <c r="E155" t="s">
        <v>190</v>
      </c>
      <c r="F155" t="s">
        <v>191</v>
      </c>
      <c r="G155" t="s">
        <v>715</v>
      </c>
      <c r="H155" t="s">
        <v>716</v>
      </c>
      <c r="I155" t="s">
        <v>717</v>
      </c>
      <c r="J155" t="s">
        <v>718</v>
      </c>
      <c r="K155" t="str">
        <f>HYPERLINK("https://www.ebi.ac.uk/ena/browser/view/ERR14660846","ERR14660846")</f>
        <v>ERR14660846</v>
      </c>
      <c r="L155" t="str">
        <f>HYPERLINK("https://www.ebi.ac.uk/ena/browser/view/GCA_965181225","GCA_965181225")</f>
        <v>GCA_965181225</v>
      </c>
      <c r="M155" t="str">
        <f>HYPERLINK("https://www.ncbi.nlm.nih.gov/datasets/genome/GCA_965181225","CBCYFI010000001-CBCYFI010000232")</f>
        <v>CBCYFI010000001-CBCYFI010000232</v>
      </c>
    </row>
    <row r="156" spans="1:13" x14ac:dyDescent="0.35">
      <c r="A156" t="s">
        <v>719</v>
      </c>
      <c r="B156" t="s">
        <v>25</v>
      </c>
      <c r="C156" t="s">
        <v>174</v>
      </c>
      <c r="D156" t="s">
        <v>17</v>
      </c>
      <c r="E156" t="s">
        <v>190</v>
      </c>
      <c r="F156" t="s">
        <v>191</v>
      </c>
      <c r="G156" t="s">
        <v>715</v>
      </c>
      <c r="H156" t="s">
        <v>720</v>
      </c>
      <c r="I156" t="s">
        <v>721</v>
      </c>
      <c r="J156" t="s">
        <v>722</v>
      </c>
      <c r="K156" t="str">
        <f>HYPERLINK("https://www.ebi.ac.uk/ena/browser/view/ERR14660847","ERR14660847")</f>
        <v>ERR14660847</v>
      </c>
      <c r="L156" t="str">
        <f>HYPERLINK("https://www.ebi.ac.uk/ena/browser/view/GCA_965181555","GCA_965181555")</f>
        <v>GCA_965181555</v>
      </c>
      <c r="M156" t="str">
        <f>HYPERLINK("https://www.ncbi.nlm.nih.gov/datasets/genome/GCA_965181555","CBCYGS010000001-CBCYGS010000228")</f>
        <v>CBCYGS010000001-CBCYGS010000228</v>
      </c>
    </row>
    <row r="157" spans="1:13" x14ac:dyDescent="0.35">
      <c r="A157" t="s">
        <v>723</v>
      </c>
      <c r="B157" t="s">
        <v>25</v>
      </c>
      <c r="C157" t="s">
        <v>174</v>
      </c>
      <c r="D157" t="s">
        <v>32</v>
      </c>
      <c r="E157" t="s">
        <v>190</v>
      </c>
      <c r="F157" t="s">
        <v>191</v>
      </c>
      <c r="G157" t="s">
        <v>715</v>
      </c>
      <c r="H157" t="s">
        <v>724</v>
      </c>
      <c r="I157" t="s">
        <v>725</v>
      </c>
      <c r="J157" t="s">
        <v>726</v>
      </c>
      <c r="K157" t="str">
        <f>HYPERLINK("https://www.ebi.ac.uk/ena/browser/view/ERR14660849","ERR14660849")</f>
        <v>ERR14660849</v>
      </c>
      <c r="L157" t="str">
        <f>HYPERLINK("https://www.ebi.ac.uk/ena/browser/view/GCA_965181545","GCA_965181545")</f>
        <v>GCA_965181545</v>
      </c>
      <c r="M157" t="str">
        <f>HYPERLINK("https://www.ncbi.nlm.nih.gov/datasets/genome/GCA_965181545","CBCYGQ010000001-CBCYGQ010000222")</f>
        <v>CBCYGQ010000001-CBCYGQ010000222</v>
      </c>
    </row>
    <row r="158" spans="1:13" x14ac:dyDescent="0.35">
      <c r="A158" t="s">
        <v>727</v>
      </c>
      <c r="B158" t="s">
        <v>25</v>
      </c>
      <c r="C158" t="s">
        <v>174</v>
      </c>
      <c r="D158" t="s">
        <v>17</v>
      </c>
      <c r="E158" t="s">
        <v>190</v>
      </c>
      <c r="F158" t="s">
        <v>191</v>
      </c>
      <c r="G158" t="s">
        <v>483</v>
      </c>
      <c r="H158" t="s">
        <v>728</v>
      </c>
      <c r="I158" t="s">
        <v>729</v>
      </c>
      <c r="J158" t="s">
        <v>730</v>
      </c>
      <c r="K158" t="str">
        <f>HYPERLINK("https://www.ebi.ac.uk/ena/browser/view/ERR14660850","ERR14660850")</f>
        <v>ERR14660850</v>
      </c>
      <c r="L158" t="str">
        <f>HYPERLINK("https://www.ebi.ac.uk/ena/browser/view/GCA_965182165","GCA_965182165")</f>
        <v>GCA_965182165</v>
      </c>
      <c r="M158" t="str">
        <f>HYPERLINK("https://www.ncbi.nlm.nih.gov/datasets/genome/GCA_965182165","CBCYJN010000001-CBCYJN010000181")</f>
        <v>CBCYJN010000001-CBCYJN010000181</v>
      </c>
    </row>
    <row r="159" spans="1:13" x14ac:dyDescent="0.35">
      <c r="A159" t="s">
        <v>731</v>
      </c>
      <c r="B159" t="s">
        <v>25</v>
      </c>
      <c r="C159" t="s">
        <v>174</v>
      </c>
      <c r="D159" t="s">
        <v>17</v>
      </c>
      <c r="E159" t="s">
        <v>190</v>
      </c>
      <c r="F159" t="s">
        <v>191</v>
      </c>
      <c r="G159" t="s">
        <v>630</v>
      </c>
      <c r="H159" t="s">
        <v>732</v>
      </c>
      <c r="I159" t="s">
        <v>733</v>
      </c>
      <c r="J159" t="s">
        <v>734</v>
      </c>
      <c r="K159" t="str">
        <f>HYPERLINK("https://www.ebi.ac.uk/ena/browser/view/ERR14660851","ERR14660851")</f>
        <v>ERR14660851</v>
      </c>
      <c r="L159" t="str">
        <f>HYPERLINK("https://www.ebi.ac.uk/ena/browser/view/GCA_965183115","GCA_965183115")</f>
        <v>GCA_965183115</v>
      </c>
      <c r="M159" t="str">
        <f>HYPERLINK("https://www.ncbi.nlm.nih.gov/datasets/genome/GCA_965183115","CBCZTW010000001-CBCZTW010000079")</f>
        <v>CBCZTW010000001-CBCZTW010000079</v>
      </c>
    </row>
    <row r="160" spans="1:13" x14ac:dyDescent="0.35">
      <c r="A160" t="s">
        <v>735</v>
      </c>
      <c r="B160" t="s">
        <v>25</v>
      </c>
      <c r="C160" t="s">
        <v>174</v>
      </c>
      <c r="D160" t="s">
        <v>32</v>
      </c>
      <c r="E160" t="s">
        <v>190</v>
      </c>
      <c r="F160" t="s">
        <v>191</v>
      </c>
      <c r="G160" t="s">
        <v>656</v>
      </c>
      <c r="H160" t="s">
        <v>736</v>
      </c>
      <c r="I160" t="s">
        <v>737</v>
      </c>
      <c r="J160" t="s">
        <v>738</v>
      </c>
      <c r="K160" t="str">
        <f>HYPERLINK("https://www.ebi.ac.uk/ena/browser/view/ERR14660854","ERR14660854")</f>
        <v>ERR14660854</v>
      </c>
      <c r="L160" t="str">
        <f>HYPERLINK("https://www.ebi.ac.uk/ena/browser/view/GCA_965182225","GCA_965182225")</f>
        <v>GCA_965182225</v>
      </c>
      <c r="M160" t="str">
        <f>HYPERLINK("https://www.ncbi.nlm.nih.gov/datasets/genome/GCA_965182225","CBCYJG010000001-CBCYJG010000051")</f>
        <v>CBCYJG010000001-CBCYJG010000051</v>
      </c>
    </row>
    <row r="161" spans="1:13" x14ac:dyDescent="0.35">
      <c r="A161" t="s">
        <v>739</v>
      </c>
      <c r="B161" t="s">
        <v>25</v>
      </c>
      <c r="C161" t="s">
        <v>174</v>
      </c>
      <c r="D161" t="s">
        <v>32</v>
      </c>
      <c r="E161" t="s">
        <v>190</v>
      </c>
      <c r="F161" t="s">
        <v>191</v>
      </c>
      <c r="G161" t="s">
        <v>580</v>
      </c>
      <c r="H161" t="s">
        <v>740</v>
      </c>
      <c r="I161" t="s">
        <v>741</v>
      </c>
      <c r="J161" t="s">
        <v>742</v>
      </c>
      <c r="K161" t="str">
        <f>HYPERLINK("https://www.ebi.ac.uk/ena/browser/view/ERR14660857","ERR14660857")</f>
        <v>ERR14660857</v>
      </c>
      <c r="L161" t="str">
        <f>HYPERLINK("https://www.ebi.ac.uk/ena/browser/view/GCA_965181185","GCA_965181185")</f>
        <v>GCA_965181185</v>
      </c>
      <c r="M161" t="str">
        <f>HYPERLINK("https://www.ncbi.nlm.nih.gov/datasets/genome/GCA_965181185","CBCYFN010000001-CBCYFN010000063")</f>
        <v>CBCYFN010000001-CBCYFN010000063</v>
      </c>
    </row>
    <row r="162" spans="1:13" x14ac:dyDescent="0.35">
      <c r="A162" t="s">
        <v>743</v>
      </c>
      <c r="B162" t="s">
        <v>25</v>
      </c>
      <c r="C162" t="s">
        <v>174</v>
      </c>
      <c r="D162" t="s">
        <v>17</v>
      </c>
      <c r="E162" t="s">
        <v>190</v>
      </c>
      <c r="F162" t="s">
        <v>191</v>
      </c>
      <c r="G162" t="s">
        <v>630</v>
      </c>
      <c r="H162" t="s">
        <v>744</v>
      </c>
      <c r="I162" t="s">
        <v>745</v>
      </c>
      <c r="J162" t="s">
        <v>746</v>
      </c>
      <c r="K162" t="str">
        <f>HYPERLINK("https://www.ebi.ac.uk/ena/browser/view/ERR14660858","ERR14660858")</f>
        <v>ERR14660858</v>
      </c>
      <c r="L162" t="str">
        <f>HYPERLINK("https://www.ebi.ac.uk/ena/browser/view/GCA_965179575","GCA_965179575")</f>
        <v>GCA_965179575</v>
      </c>
      <c r="M162" t="str">
        <f>HYPERLINK("https://www.ncbi.nlm.nih.gov/datasets/genome/GCA_965179575","CBCYAA010000001-CBCYAA010000074")</f>
        <v>CBCYAA010000001-CBCYAA010000074</v>
      </c>
    </row>
    <row r="163" spans="1:13" x14ac:dyDescent="0.35">
      <c r="A163" t="s">
        <v>747</v>
      </c>
      <c r="B163" t="s">
        <v>25</v>
      </c>
      <c r="C163" t="s">
        <v>174</v>
      </c>
      <c r="D163" t="s">
        <v>32</v>
      </c>
      <c r="E163" t="s">
        <v>190</v>
      </c>
      <c r="F163" t="s">
        <v>191</v>
      </c>
      <c r="G163" t="s">
        <v>630</v>
      </c>
      <c r="H163" t="s">
        <v>748</v>
      </c>
      <c r="I163" t="s">
        <v>749</v>
      </c>
      <c r="J163" t="s">
        <v>750</v>
      </c>
      <c r="K163" t="str">
        <f>HYPERLINK("https://www.ebi.ac.uk/ena/browser/view/ERR14660859","ERR14660859")</f>
        <v>ERR14660859</v>
      </c>
      <c r="L163" t="str">
        <f>HYPERLINK("https://www.ebi.ac.uk/ena/browser/view/GCA_965179705","GCA_965179705")</f>
        <v>GCA_965179705</v>
      </c>
      <c r="M163" t="str">
        <f>HYPERLINK("https://www.ncbi.nlm.nih.gov/datasets/genome/GCA_965179705","CBCXZS010000001-CBCXZS010000100")</f>
        <v>CBCXZS010000001-CBCXZS010000100</v>
      </c>
    </row>
    <row r="164" spans="1:13" x14ac:dyDescent="0.35">
      <c r="A164" t="s">
        <v>751</v>
      </c>
      <c r="B164" t="s">
        <v>25</v>
      </c>
      <c r="C164" t="s">
        <v>174</v>
      </c>
      <c r="D164" t="s">
        <v>17</v>
      </c>
      <c r="E164" t="s">
        <v>190</v>
      </c>
      <c r="F164" t="s">
        <v>191</v>
      </c>
      <c r="G164" t="s">
        <v>752</v>
      </c>
      <c r="H164" t="s">
        <v>753</v>
      </c>
      <c r="I164" t="s">
        <v>754</v>
      </c>
      <c r="J164" t="s">
        <v>755</v>
      </c>
      <c r="K164" t="str">
        <f>HYPERLINK("https://www.ebi.ac.uk/ena/browser/view/ERR14660860","ERR14660860")</f>
        <v>ERR14660860</v>
      </c>
      <c r="L164" t="str">
        <f>HYPERLINK("https://www.ebi.ac.uk/ena/browser/view/GCA_965183585","GCA_965183585")</f>
        <v>GCA_965183585</v>
      </c>
      <c r="M164" t="str">
        <f>HYPERLINK("https://www.ncbi.nlm.nih.gov/datasets/genome/GCA_965183585","CBDACD010000001-CBDACD010000060")</f>
        <v>CBDACD010000001-CBDACD010000060</v>
      </c>
    </row>
    <row r="165" spans="1:13" x14ac:dyDescent="0.35">
      <c r="A165" t="s">
        <v>756</v>
      </c>
      <c r="B165" t="s">
        <v>25</v>
      </c>
      <c r="C165" t="s">
        <v>174</v>
      </c>
      <c r="D165" t="s">
        <v>17</v>
      </c>
      <c r="E165" t="s">
        <v>190</v>
      </c>
      <c r="F165" t="s">
        <v>191</v>
      </c>
      <c r="G165" t="s">
        <v>752</v>
      </c>
      <c r="H165" t="s">
        <v>757</v>
      </c>
      <c r="I165" t="s">
        <v>758</v>
      </c>
      <c r="J165" t="s">
        <v>759</v>
      </c>
      <c r="K165" t="str">
        <f>HYPERLINK("https://www.ebi.ac.uk/ena/browser/view/ERR14660861","ERR14660861")</f>
        <v>ERR14660861</v>
      </c>
      <c r="L165" t="str">
        <f>HYPERLINK("https://www.ebi.ac.uk/ena/browser/view/GCA_965183565","GCA_965183565")</f>
        <v>GCA_965183565</v>
      </c>
      <c r="M165" t="str">
        <f>HYPERLINK("https://www.ncbi.nlm.nih.gov/datasets/genome/GCA_965183565","CBDACK010000001-CBDACK010000061")</f>
        <v>CBDACK010000001-CBDACK010000061</v>
      </c>
    </row>
    <row r="166" spans="1:13" x14ac:dyDescent="0.35">
      <c r="A166" t="s">
        <v>760</v>
      </c>
      <c r="B166" t="s">
        <v>25</v>
      </c>
      <c r="C166" t="s">
        <v>174</v>
      </c>
      <c r="D166" t="s">
        <v>32</v>
      </c>
      <c r="E166" t="s">
        <v>190</v>
      </c>
      <c r="F166" t="s">
        <v>191</v>
      </c>
      <c r="G166" t="s">
        <v>752</v>
      </c>
      <c r="H166" t="s">
        <v>761</v>
      </c>
      <c r="I166" t="s">
        <v>762</v>
      </c>
      <c r="J166" t="s">
        <v>763</v>
      </c>
      <c r="K166" t="str">
        <f>HYPERLINK("https://www.ebi.ac.uk/ena/browser/view/ERR14660863","ERR14660863")</f>
        <v>ERR14660863</v>
      </c>
      <c r="L166" t="str">
        <f>HYPERLINK("https://www.ebi.ac.uk/ena/browser/view/GCA_965183055","GCA_965183055")</f>
        <v>GCA_965183055</v>
      </c>
      <c r="M166" t="str">
        <f>HYPERLINK("https://www.ncbi.nlm.nih.gov/datasets/genome/GCA_965183055","CBCZYL010000001-CBCZYL010000054")</f>
        <v>CBCZYL010000001-CBCZYL010000054</v>
      </c>
    </row>
    <row r="167" spans="1:13" x14ac:dyDescent="0.35">
      <c r="A167" t="s">
        <v>764</v>
      </c>
      <c r="B167" t="s">
        <v>25</v>
      </c>
      <c r="C167" t="s">
        <v>174</v>
      </c>
      <c r="D167" t="s">
        <v>17</v>
      </c>
      <c r="E167" t="s">
        <v>190</v>
      </c>
      <c r="F167" t="s">
        <v>191</v>
      </c>
      <c r="G167" t="s">
        <v>765</v>
      </c>
      <c r="H167" t="s">
        <v>766</v>
      </c>
      <c r="I167" t="s">
        <v>767</v>
      </c>
      <c r="J167" t="s">
        <v>768</v>
      </c>
      <c r="K167" t="str">
        <f>HYPERLINK("https://www.ebi.ac.uk/ena/browser/view/ERR14660865","ERR14660865")</f>
        <v>ERR14660865</v>
      </c>
      <c r="L167" t="str">
        <f>HYPERLINK("https://www.ebi.ac.uk/ena/browser/view/GCA_965179905","GCA_965179905")</f>
        <v>GCA_965179905</v>
      </c>
      <c r="M167" t="str">
        <f>HYPERLINK("https://www.ncbi.nlm.nih.gov/datasets/genome/GCA_965179905","CBCYAN010000001-CBCYAN010000194")</f>
        <v>CBCYAN010000001-CBCYAN010000194</v>
      </c>
    </row>
    <row r="168" spans="1:13" x14ac:dyDescent="0.35">
      <c r="A168" t="s">
        <v>769</v>
      </c>
      <c r="B168" t="s">
        <v>25</v>
      </c>
      <c r="C168" t="s">
        <v>174</v>
      </c>
      <c r="D168" t="s">
        <v>17</v>
      </c>
      <c r="E168" t="s">
        <v>190</v>
      </c>
      <c r="F168" t="s">
        <v>191</v>
      </c>
      <c r="G168" t="s">
        <v>765</v>
      </c>
      <c r="H168" t="s">
        <v>770</v>
      </c>
      <c r="I168" t="s">
        <v>771</v>
      </c>
      <c r="J168" t="s">
        <v>772</v>
      </c>
      <c r="K168" t="str">
        <f>HYPERLINK("https://www.ebi.ac.uk/ena/browser/view/ERR14660866","ERR14660866")</f>
        <v>ERR14660866</v>
      </c>
      <c r="L168" t="str">
        <f>HYPERLINK("https://www.ebi.ac.uk/ena/browser/view/GCA_965182205","GCA_965182205")</f>
        <v>GCA_965182205</v>
      </c>
      <c r="M168" t="str">
        <f>HYPERLINK("https://www.ncbi.nlm.nih.gov/datasets/genome/GCA_965182205","CBCYJF010000001-CBCYJF010000169")</f>
        <v>CBCYJF010000001-CBCYJF010000169</v>
      </c>
    </row>
    <row r="169" spans="1:13" x14ac:dyDescent="0.35">
      <c r="A169" t="s">
        <v>773</v>
      </c>
      <c r="B169" t="s">
        <v>25</v>
      </c>
      <c r="C169" t="s">
        <v>174</v>
      </c>
      <c r="D169" t="s">
        <v>32</v>
      </c>
      <c r="E169" t="s">
        <v>190</v>
      </c>
      <c r="F169" t="s">
        <v>191</v>
      </c>
      <c r="G169" t="s">
        <v>765</v>
      </c>
      <c r="H169" t="s">
        <v>774</v>
      </c>
      <c r="I169" t="s">
        <v>775</v>
      </c>
      <c r="J169" t="s">
        <v>776</v>
      </c>
      <c r="K169" t="str">
        <f>HYPERLINK("https://www.ebi.ac.uk/ena/browser/view/ERR14660869","ERR14660869")</f>
        <v>ERR14660869</v>
      </c>
      <c r="L169" t="str">
        <f>HYPERLINK("https://www.ebi.ac.uk/ena/browser/view/GCA_965180305","GCA_965180305")</f>
        <v>GCA_965180305</v>
      </c>
      <c r="M169" t="str">
        <f>HYPERLINK("https://www.ncbi.nlm.nih.gov/datasets/genome/GCA_965180305","CBCYBP010000001-CBCYBP010000161")</f>
        <v>CBCYBP010000001-CBCYBP010000161</v>
      </c>
    </row>
    <row r="170" spans="1:13" x14ac:dyDescent="0.35">
      <c r="A170" t="s">
        <v>777</v>
      </c>
      <c r="B170" t="s">
        <v>25</v>
      </c>
      <c r="C170" t="s">
        <v>174</v>
      </c>
      <c r="D170" t="s">
        <v>17</v>
      </c>
      <c r="E170" t="s">
        <v>190</v>
      </c>
      <c r="F170" t="s">
        <v>191</v>
      </c>
      <c r="G170" t="s">
        <v>778</v>
      </c>
      <c r="H170" t="s">
        <v>779</v>
      </c>
      <c r="I170" t="s">
        <v>780</v>
      </c>
      <c r="J170" t="s">
        <v>781</v>
      </c>
      <c r="K170" t="str">
        <f>HYPERLINK("https://www.ebi.ac.uk/ena/browser/view/ERR14660870","ERR14660870")</f>
        <v>ERR14660870</v>
      </c>
      <c r="L170" t="str">
        <f>HYPERLINK("https://www.ebi.ac.uk/ena/browser/view/GCA_965180295","GCA_965180295")</f>
        <v>GCA_965180295</v>
      </c>
      <c r="M170" t="str">
        <f>HYPERLINK("https://www.ncbi.nlm.nih.gov/datasets/genome/GCA_965180295","CBCYCA010000001-CBCYCA010000147")</f>
        <v>CBCYCA010000001-CBCYCA010000147</v>
      </c>
    </row>
    <row r="171" spans="1:13" x14ac:dyDescent="0.35">
      <c r="A171" t="s">
        <v>782</v>
      </c>
      <c r="B171" t="s">
        <v>25</v>
      </c>
      <c r="C171" t="s">
        <v>174</v>
      </c>
      <c r="D171" t="s">
        <v>17</v>
      </c>
      <c r="E171" t="s">
        <v>190</v>
      </c>
      <c r="F171" t="s">
        <v>191</v>
      </c>
      <c r="G171" t="s">
        <v>778</v>
      </c>
      <c r="H171" t="s">
        <v>783</v>
      </c>
      <c r="I171" t="s">
        <v>784</v>
      </c>
      <c r="J171" t="s">
        <v>785</v>
      </c>
      <c r="K171" t="str">
        <f>HYPERLINK("https://www.ebi.ac.uk/ena/browser/view/ERR14660871","ERR14660871")</f>
        <v>ERR14660871</v>
      </c>
      <c r="L171" t="str">
        <f>HYPERLINK("https://www.ebi.ac.uk/ena/browser/view/GCA_965182185","GCA_965182185")</f>
        <v>GCA_965182185</v>
      </c>
      <c r="M171" t="str">
        <f>HYPERLINK("https://www.ncbi.nlm.nih.gov/datasets/genome/GCA_965182185","CBCYJO010000001-CBCYJO010000156")</f>
        <v>CBCYJO010000001-CBCYJO010000156</v>
      </c>
    </row>
    <row r="172" spans="1:13" x14ac:dyDescent="0.35">
      <c r="A172" t="s">
        <v>786</v>
      </c>
      <c r="B172" t="s">
        <v>25</v>
      </c>
      <c r="C172" t="s">
        <v>174</v>
      </c>
      <c r="D172" t="s">
        <v>32</v>
      </c>
      <c r="E172" t="s">
        <v>190</v>
      </c>
      <c r="F172" t="s">
        <v>191</v>
      </c>
      <c r="G172" t="s">
        <v>778</v>
      </c>
      <c r="H172" t="s">
        <v>787</v>
      </c>
      <c r="I172" t="s">
        <v>788</v>
      </c>
      <c r="J172" t="s">
        <v>789</v>
      </c>
      <c r="K172" t="str">
        <f>HYPERLINK("https://www.ebi.ac.uk/ena/browser/view/ERR14660872","ERR14660872")</f>
        <v>ERR14660872</v>
      </c>
      <c r="L172" t="str">
        <f>HYPERLINK("https://www.ebi.ac.uk/ena/browser/view/GCA_965182045","GCA_965182045")</f>
        <v>GCA_965182045</v>
      </c>
      <c r="M172" t="str">
        <f>HYPERLINK("https://www.ncbi.nlm.nih.gov/datasets/genome/GCA_965182045","CBCYIY010000001-CBCYIY010000164")</f>
        <v>CBCYIY010000001-CBCYIY010000164</v>
      </c>
    </row>
    <row r="173" spans="1:13" x14ac:dyDescent="0.35">
      <c r="A173" t="s">
        <v>790</v>
      </c>
      <c r="B173" t="s">
        <v>25</v>
      </c>
      <c r="C173" t="s">
        <v>174</v>
      </c>
      <c r="D173" t="s">
        <v>32</v>
      </c>
      <c r="E173" t="s">
        <v>190</v>
      </c>
      <c r="F173" t="s">
        <v>191</v>
      </c>
      <c r="G173" t="s">
        <v>546</v>
      </c>
      <c r="H173" t="s">
        <v>791</v>
      </c>
      <c r="I173" t="s">
        <v>792</v>
      </c>
      <c r="J173" t="s">
        <v>793</v>
      </c>
      <c r="K173" t="str">
        <f>HYPERLINK("https://www.ebi.ac.uk/ena/browser/view/ERR14660874","ERR14660874")</f>
        <v>ERR14660874</v>
      </c>
      <c r="L173" t="str">
        <f>HYPERLINK("https://www.ebi.ac.uk/ena/browser/view/GCA_965182025","GCA_965182025")</f>
        <v>GCA_965182025</v>
      </c>
      <c r="M173" t="str">
        <f>HYPERLINK("https://www.ncbi.nlm.nih.gov/datasets/genome/GCA_965182025","CBCYIU010000001-CBCYIU010000108")</f>
        <v>CBCYIU010000001-CBCYIU010000108</v>
      </c>
    </row>
    <row r="174" spans="1:13" x14ac:dyDescent="0.35">
      <c r="A174" t="s">
        <v>794</v>
      </c>
      <c r="B174" t="s">
        <v>25</v>
      </c>
      <c r="C174" t="s">
        <v>174</v>
      </c>
      <c r="D174" t="s">
        <v>17</v>
      </c>
      <c r="E174" t="s">
        <v>190</v>
      </c>
      <c r="F174" t="s">
        <v>191</v>
      </c>
      <c r="G174" t="s">
        <v>795</v>
      </c>
      <c r="H174" t="s">
        <v>796</v>
      </c>
      <c r="I174" t="s">
        <v>797</v>
      </c>
      <c r="J174" t="s">
        <v>798</v>
      </c>
      <c r="K174" t="str">
        <f>HYPERLINK("https://www.ebi.ac.uk/ena/browser/view/ERR14660875","ERR14660875")</f>
        <v>ERR14660875</v>
      </c>
      <c r="L174" t="str">
        <f>HYPERLINK("https://www.ebi.ac.uk/ena/browser/view/GCA_965183485","GCA_965183485")</f>
        <v>GCA_965183485</v>
      </c>
      <c r="M174" t="str">
        <f>HYPERLINK("https://www.ncbi.nlm.nih.gov/datasets/genome/GCA_965183485","CBDABT010000001-CBDABT010000087")</f>
        <v>CBDABT010000001-CBDABT010000087</v>
      </c>
    </row>
    <row r="175" spans="1:13" x14ac:dyDescent="0.35">
      <c r="A175" t="s">
        <v>799</v>
      </c>
      <c r="B175" t="s">
        <v>25</v>
      </c>
      <c r="C175" t="s">
        <v>174</v>
      </c>
      <c r="D175" t="s">
        <v>17</v>
      </c>
      <c r="E175" t="s">
        <v>190</v>
      </c>
      <c r="F175" t="s">
        <v>191</v>
      </c>
      <c r="G175" t="s">
        <v>795</v>
      </c>
      <c r="H175" t="s">
        <v>800</v>
      </c>
      <c r="I175" t="s">
        <v>801</v>
      </c>
      <c r="J175" t="s">
        <v>802</v>
      </c>
      <c r="K175" t="str">
        <f>HYPERLINK("https://www.ebi.ac.uk/ena/browser/view/ERR14660876","ERR14660876")</f>
        <v>ERR14660876</v>
      </c>
      <c r="L175" t="str">
        <f>HYPERLINK("https://www.ebi.ac.uk/ena/browser/view/GCA_965182015","GCA_965182015")</f>
        <v>GCA_965182015</v>
      </c>
      <c r="M175" t="str">
        <f>HYPERLINK("https://www.ncbi.nlm.nih.gov/datasets/genome/GCA_965182015","CBCYIT010000001-CBCYIT010000093")</f>
        <v>CBCYIT010000001-CBCYIT010000093</v>
      </c>
    </row>
    <row r="176" spans="1:13" x14ac:dyDescent="0.35">
      <c r="A176" t="s">
        <v>803</v>
      </c>
      <c r="B176" t="s">
        <v>25</v>
      </c>
      <c r="C176" t="s">
        <v>174</v>
      </c>
      <c r="D176" t="s">
        <v>32</v>
      </c>
      <c r="E176" t="s">
        <v>190</v>
      </c>
      <c r="F176" t="s">
        <v>191</v>
      </c>
      <c r="G176" t="s">
        <v>804</v>
      </c>
      <c r="H176" t="s">
        <v>805</v>
      </c>
      <c r="I176" t="s">
        <v>806</v>
      </c>
      <c r="J176" t="s">
        <v>807</v>
      </c>
      <c r="K176" t="str">
        <f>HYPERLINK("https://www.ebi.ac.uk/ena/browser/view/ERR14660878","ERR14660878")</f>
        <v>ERR14660878</v>
      </c>
      <c r="L176" t="str">
        <f>HYPERLINK("https://www.ebi.ac.uk/ena/browser/view/GCA_965183535","GCA_965183535")</f>
        <v>GCA_965183535</v>
      </c>
      <c r="M176" t="str">
        <f>HYPERLINK("https://www.ncbi.nlm.nih.gov/datasets/genome/GCA_965183535","CBDACJ010000001-CBDACJ010000140")</f>
        <v>CBDACJ010000001-CBDACJ010000140</v>
      </c>
    </row>
    <row r="177" spans="1:13" x14ac:dyDescent="0.35">
      <c r="A177" t="s">
        <v>808</v>
      </c>
      <c r="B177" t="s">
        <v>25</v>
      </c>
      <c r="C177" t="s">
        <v>174</v>
      </c>
      <c r="D177" t="s">
        <v>17</v>
      </c>
      <c r="E177" t="s">
        <v>190</v>
      </c>
      <c r="F177" t="s">
        <v>191</v>
      </c>
      <c r="G177" t="s">
        <v>206</v>
      </c>
      <c r="H177" t="s">
        <v>809</v>
      </c>
      <c r="I177" t="s">
        <v>810</v>
      </c>
      <c r="J177" t="s">
        <v>811</v>
      </c>
      <c r="K177" t="str">
        <f>HYPERLINK("https://www.ebi.ac.uk/ena/browser/view/ERR14660879","ERR14660879")</f>
        <v>ERR14660879</v>
      </c>
      <c r="L177" t="str">
        <f>HYPERLINK("https://www.ebi.ac.uk/ena/browser/view/GCA_965181995","GCA_965181995")</f>
        <v>GCA_965181995</v>
      </c>
      <c r="M177" t="str">
        <f>HYPERLINK("https://www.ncbi.nlm.nih.gov/datasets/genome/GCA_965181995","CBCYIS010000001-CBCYIS010000083")</f>
        <v>CBCYIS010000001-CBCYIS010000083</v>
      </c>
    </row>
    <row r="178" spans="1:13" x14ac:dyDescent="0.35">
      <c r="A178" t="s">
        <v>812</v>
      </c>
      <c r="B178" t="s">
        <v>25</v>
      </c>
      <c r="C178" t="s">
        <v>174</v>
      </c>
      <c r="D178" t="s">
        <v>32</v>
      </c>
      <c r="E178" t="s">
        <v>190</v>
      </c>
      <c r="F178" t="s">
        <v>191</v>
      </c>
      <c r="G178" t="s">
        <v>206</v>
      </c>
      <c r="H178" t="s">
        <v>813</v>
      </c>
      <c r="I178" t="s">
        <v>814</v>
      </c>
      <c r="J178" t="s">
        <v>815</v>
      </c>
      <c r="K178" t="str">
        <f>HYPERLINK("https://www.ebi.ac.uk/ena/browser/view/ERR14660880","ERR14660880")</f>
        <v>ERR14660880</v>
      </c>
      <c r="L178" t="str">
        <f>HYPERLINK("https://www.ebi.ac.uk/ena/browser/view/GCA_965182495","GCA_965182495")</f>
        <v>GCA_965182495</v>
      </c>
      <c r="M178" t="str">
        <f>HYPERLINK("https://www.ncbi.nlm.nih.gov/datasets/genome/GCA_965182495","CBCYJY010000001-CBCYJY010000109")</f>
        <v>CBCYJY010000001-CBCYJY010000109</v>
      </c>
    </row>
    <row r="179" spans="1:13" x14ac:dyDescent="0.35">
      <c r="A179" t="s">
        <v>816</v>
      </c>
      <c r="B179" t="s">
        <v>25</v>
      </c>
      <c r="C179" t="s">
        <v>174</v>
      </c>
      <c r="D179" t="s">
        <v>17</v>
      </c>
      <c r="E179" t="s">
        <v>190</v>
      </c>
      <c r="F179" t="s">
        <v>191</v>
      </c>
      <c r="G179" t="s">
        <v>221</v>
      </c>
      <c r="H179" t="s">
        <v>817</v>
      </c>
      <c r="I179" t="s">
        <v>818</v>
      </c>
      <c r="J179" t="s">
        <v>819</v>
      </c>
      <c r="K179" t="str">
        <f>HYPERLINK("https://www.ebi.ac.uk/ena/browser/view/ERR14660881","ERR14660881")</f>
        <v>ERR14660881</v>
      </c>
      <c r="L179" t="str">
        <f>HYPERLINK("https://www.ebi.ac.uk/ena/browser/view/GCA_965181985","GCA_965181985")</f>
        <v>GCA_965181985</v>
      </c>
      <c r="M179" t="str">
        <f>HYPERLINK("https://www.ncbi.nlm.nih.gov/datasets/genome/GCA_965181985","CBCYJJ010000001-CBCYJJ010000130")</f>
        <v>CBCYJJ010000001-CBCYJJ010000130</v>
      </c>
    </row>
    <row r="180" spans="1:13" x14ac:dyDescent="0.35">
      <c r="A180" t="s">
        <v>820</v>
      </c>
      <c r="B180" t="s">
        <v>25</v>
      </c>
      <c r="C180" t="s">
        <v>174</v>
      </c>
      <c r="D180" t="s">
        <v>32</v>
      </c>
      <c r="E180" t="s">
        <v>190</v>
      </c>
      <c r="F180" t="s">
        <v>191</v>
      </c>
      <c r="G180" t="s">
        <v>221</v>
      </c>
      <c r="H180" t="s">
        <v>821</v>
      </c>
      <c r="I180" t="s">
        <v>822</v>
      </c>
      <c r="J180" t="s">
        <v>823</v>
      </c>
      <c r="K180" t="str">
        <f>HYPERLINK("https://www.ebi.ac.uk/ena/browser/view/ERR14660884","ERR14660884")</f>
        <v>ERR14660884</v>
      </c>
      <c r="L180" t="str">
        <f>HYPERLINK("https://www.ebi.ac.uk/ena/browser/view/GCA_965183375","GCA_965183375")</f>
        <v>GCA_965183375</v>
      </c>
      <c r="M180" t="str">
        <f>HYPERLINK("https://www.ncbi.nlm.nih.gov/datasets/genome/GCA_965183375","CBDACM010000001-CBDACM010000131")</f>
        <v>CBDACM010000001-CBDACM010000131</v>
      </c>
    </row>
    <row r="181" spans="1:13" x14ac:dyDescent="0.35">
      <c r="A181" t="s">
        <v>824</v>
      </c>
      <c r="B181" t="s">
        <v>15</v>
      </c>
      <c r="C181" t="s">
        <v>16</v>
      </c>
      <c r="D181" t="s">
        <v>17</v>
      </c>
      <c r="E181" t="s">
        <v>190</v>
      </c>
      <c r="F181" t="s">
        <v>191</v>
      </c>
      <c r="G181" t="s">
        <v>825</v>
      </c>
      <c r="H181" t="s">
        <v>826</v>
      </c>
      <c r="I181" t="s">
        <v>827</v>
      </c>
      <c r="J181" t="s">
        <v>828</v>
      </c>
      <c r="K181" t="str">
        <f>HYPERLINK("https://www.ebi.ac.uk/ena/browser/view/ERR14660694","ERR14660694")</f>
        <v>ERR14660694</v>
      </c>
      <c r="L181" t="str">
        <f>HYPERLINK("https://www.ebi.ac.uk/ena/browser/view/GCA_965178915","GCA_965178915")</f>
        <v>GCA_965178915</v>
      </c>
      <c r="M181" t="str">
        <f>HYPERLINK("https://www.ncbi.nlm.nih.gov/datasets/genome/GCA_965178915","CBCXYM010000001-CBCXYM010000089")</f>
        <v>CBCXYM010000001-CBCXYM010000089</v>
      </c>
    </row>
    <row r="182" spans="1:13" x14ac:dyDescent="0.35">
      <c r="A182" t="s">
        <v>829</v>
      </c>
      <c r="B182" t="s">
        <v>15</v>
      </c>
      <c r="C182" t="s">
        <v>16</v>
      </c>
      <c r="D182" t="s">
        <v>32</v>
      </c>
      <c r="E182" t="s">
        <v>190</v>
      </c>
      <c r="F182" t="s">
        <v>191</v>
      </c>
      <c r="G182" t="s">
        <v>825</v>
      </c>
      <c r="H182" t="s">
        <v>830</v>
      </c>
      <c r="I182" t="s">
        <v>831</v>
      </c>
      <c r="J182" t="s">
        <v>832</v>
      </c>
      <c r="K182" t="str">
        <f>HYPERLINK("https://www.ebi.ac.uk/ena/browser/view/ERR14660695","ERR14660695")</f>
        <v>ERR14660695</v>
      </c>
      <c r="L182" t="str">
        <f>HYPERLINK("https://www.ebi.ac.uk/ena/browser/view/GCA_965179085","GCA_965179085")</f>
        <v>GCA_965179085</v>
      </c>
      <c r="M182" t="str">
        <f>HYPERLINK("https://www.ncbi.nlm.nih.gov/datasets/genome/GCA_965179085","CBCXYR010000001-CBCXYR010000067")</f>
        <v>CBCXYR010000001-CBCXYR010000067</v>
      </c>
    </row>
    <row r="183" spans="1:13" x14ac:dyDescent="0.35">
      <c r="A183" t="s">
        <v>833</v>
      </c>
      <c r="B183" t="s">
        <v>15</v>
      </c>
      <c r="C183" t="s">
        <v>16</v>
      </c>
      <c r="D183" t="s">
        <v>17</v>
      </c>
      <c r="E183" t="s">
        <v>834</v>
      </c>
      <c r="F183" t="s">
        <v>191</v>
      </c>
      <c r="G183" t="s">
        <v>133</v>
      </c>
      <c r="H183" t="s">
        <v>835</v>
      </c>
      <c r="I183" t="s">
        <v>836</v>
      </c>
      <c r="J183" t="s">
        <v>837</v>
      </c>
      <c r="K183" t="str">
        <f>HYPERLINK("https://www.ebi.ac.uk/ena/browser/view/ERR14660680","ERR14660680")</f>
        <v>ERR14660680</v>
      </c>
      <c r="L183" t="str">
        <f>HYPERLINK("https://www.ebi.ac.uk/ena/browser/view/GCA_965179035","GCA_965179035")</f>
        <v>GCA_965179035</v>
      </c>
      <c r="M183" t="str">
        <f>HYPERLINK("https://www.ncbi.nlm.nih.gov/datasets/genome/GCA_965179035","CBCXWO010000001-CBCXWO010000079")</f>
        <v>CBCXWO010000001-CBCXWO010000079</v>
      </c>
    </row>
    <row r="184" spans="1:13" x14ac:dyDescent="0.35">
      <c r="A184" t="s">
        <v>838</v>
      </c>
      <c r="B184" t="s">
        <v>25</v>
      </c>
      <c r="C184" t="s">
        <v>26</v>
      </c>
      <c r="D184" t="s">
        <v>17</v>
      </c>
      <c r="E184" t="s">
        <v>839</v>
      </c>
      <c r="F184" t="s">
        <v>840</v>
      </c>
      <c r="G184" t="s">
        <v>841</v>
      </c>
      <c r="H184" t="s">
        <v>842</v>
      </c>
      <c r="I184" t="s">
        <v>843</v>
      </c>
      <c r="J184" t="s">
        <v>844</v>
      </c>
      <c r="K184" t="str">
        <f>HYPERLINK("https://www.ebi.ac.uk/ena/browser/view/ERR14660778","ERR14660778")</f>
        <v>ERR14660778</v>
      </c>
      <c r="L184" t="str">
        <f>HYPERLINK("https://www.ebi.ac.uk/ena/browser/view/GCA_965181465","GCA_965181465")</f>
        <v>GCA_965181465</v>
      </c>
      <c r="M184" t="str">
        <f>HYPERLINK("https://www.ncbi.nlm.nih.gov/datasets/genome/GCA_965181465","CBCYIF010000001-CBCYIF010000159")</f>
        <v>CBCYIF010000001-CBCYIF010000159</v>
      </c>
    </row>
    <row r="185" spans="1:13" x14ac:dyDescent="0.35">
      <c r="A185" t="s">
        <v>845</v>
      </c>
      <c r="B185" t="s">
        <v>25</v>
      </c>
      <c r="C185" t="s">
        <v>26</v>
      </c>
      <c r="D185" t="s">
        <v>17</v>
      </c>
      <c r="E185" t="s">
        <v>839</v>
      </c>
      <c r="F185" t="s">
        <v>840</v>
      </c>
      <c r="G185" t="s">
        <v>133</v>
      </c>
      <c r="H185" t="s">
        <v>846</v>
      </c>
      <c r="I185" t="s">
        <v>847</v>
      </c>
      <c r="J185" t="s">
        <v>848</v>
      </c>
      <c r="K185" t="str">
        <f>HYPERLINK("https://www.ebi.ac.uk/ena/browser/view/ERR14660806","ERR14660806")</f>
        <v>ERR14660806</v>
      </c>
      <c r="L185" t="str">
        <f>HYPERLINK("https://www.ebi.ac.uk/ena/browser/view/GCA_965182795","GCA_965182795")</f>
        <v>GCA_965182795</v>
      </c>
      <c r="M185" t="str">
        <f>HYPERLINK("https://www.ncbi.nlm.nih.gov/datasets/genome/GCA_965182795","CBCYNB010000001-CBCYNB010000075")</f>
        <v>CBCYNB010000001-CBCYNB010000075</v>
      </c>
    </row>
    <row r="186" spans="1:13" x14ac:dyDescent="0.35">
      <c r="A186" t="s">
        <v>849</v>
      </c>
      <c r="B186" t="s">
        <v>25</v>
      </c>
      <c r="C186" t="s">
        <v>26</v>
      </c>
      <c r="D186" t="s">
        <v>17</v>
      </c>
      <c r="E186" t="s">
        <v>839</v>
      </c>
      <c r="F186" t="s">
        <v>840</v>
      </c>
      <c r="G186" t="s">
        <v>841</v>
      </c>
      <c r="H186" t="s">
        <v>850</v>
      </c>
      <c r="I186" t="s">
        <v>851</v>
      </c>
      <c r="J186" t="s">
        <v>852</v>
      </c>
      <c r="K186" t="str">
        <f>HYPERLINK("https://www.ebi.ac.uk/ena/browser/view/ERR14660831","ERR14660831")</f>
        <v>ERR14660831</v>
      </c>
      <c r="L186" t="str">
        <f>HYPERLINK("https://www.ebi.ac.uk/ena/browser/view/GCA_965183415","GCA_965183415")</f>
        <v>GCA_965183415</v>
      </c>
      <c r="M186" t="str">
        <f>HYPERLINK("https://www.ncbi.nlm.nih.gov/datasets/genome/GCA_965183415","CBDADI010000001-CBDADI010000177")</f>
        <v>CBDADI010000001-CBDADI010000177</v>
      </c>
    </row>
    <row r="187" spans="1:13" x14ac:dyDescent="0.35">
      <c r="A187" t="s">
        <v>853</v>
      </c>
      <c r="B187" t="s">
        <v>25</v>
      </c>
      <c r="C187" t="s">
        <v>174</v>
      </c>
      <c r="D187" t="s">
        <v>17</v>
      </c>
      <c r="E187" t="s">
        <v>839</v>
      </c>
      <c r="F187" t="s">
        <v>840</v>
      </c>
      <c r="G187" t="s">
        <v>854</v>
      </c>
      <c r="H187" t="s">
        <v>855</v>
      </c>
      <c r="I187" t="s">
        <v>856</v>
      </c>
      <c r="J187" t="s">
        <v>857</v>
      </c>
      <c r="K187" t="str">
        <f>HYPERLINK("https://www.ebi.ac.uk/ena/browser/view/ERR14660852","ERR14660852")</f>
        <v>ERR14660852</v>
      </c>
      <c r="L187" t="str">
        <f>HYPERLINK("https://www.ebi.ac.uk/ena/browser/view/GCA_965182235","GCA_965182235")</f>
        <v>GCA_965182235</v>
      </c>
      <c r="M187" t="str">
        <f>HYPERLINK("https://www.ncbi.nlm.nih.gov/datasets/genome/GCA_965182235","CBCYLK010000001-CBCYLK010000101")</f>
        <v>CBCYLK010000001-CBCYLK010000101</v>
      </c>
    </row>
    <row r="188" spans="1:13" x14ac:dyDescent="0.35">
      <c r="A188" t="s">
        <v>858</v>
      </c>
      <c r="B188" t="s">
        <v>25</v>
      </c>
      <c r="C188" t="s">
        <v>174</v>
      </c>
      <c r="D188" t="s">
        <v>17</v>
      </c>
      <c r="E188" t="s">
        <v>839</v>
      </c>
      <c r="F188" t="s">
        <v>840</v>
      </c>
      <c r="G188" t="s">
        <v>854</v>
      </c>
      <c r="H188" t="s">
        <v>859</v>
      </c>
      <c r="I188" t="s">
        <v>860</v>
      </c>
      <c r="J188" t="s">
        <v>861</v>
      </c>
      <c r="K188" t="str">
        <f>HYPERLINK("https://www.ebi.ac.uk/ena/browser/view/ERR14660853","ERR14660853")</f>
        <v>ERR14660853</v>
      </c>
      <c r="L188" t="str">
        <f>HYPERLINK("https://www.ebi.ac.uk/ena/browser/view/GCA_965179655","GCA_965179655")</f>
        <v>GCA_965179655</v>
      </c>
      <c r="M188" t="str">
        <f>HYPERLINK("https://www.ncbi.nlm.nih.gov/datasets/genome/GCA_965179655","CBCYAL010000001-CBCYAL010000117")</f>
        <v>CBCYAL010000001-CBCYAL010000117</v>
      </c>
    </row>
    <row r="189" spans="1:13" x14ac:dyDescent="0.35">
      <c r="A189" t="s">
        <v>862</v>
      </c>
      <c r="B189" t="s">
        <v>15</v>
      </c>
      <c r="C189" t="s">
        <v>16</v>
      </c>
      <c r="D189" t="s">
        <v>32</v>
      </c>
      <c r="E189" t="s">
        <v>863</v>
      </c>
      <c r="F189" t="s">
        <v>864</v>
      </c>
      <c r="G189" t="s">
        <v>865</v>
      </c>
      <c r="H189" t="s">
        <v>866</v>
      </c>
      <c r="I189" t="s">
        <v>867</v>
      </c>
      <c r="J189" t="s">
        <v>868</v>
      </c>
      <c r="K189" t="str">
        <f>HYPERLINK("https://www.ebi.ac.uk/ena/browser/view/ERR14660668","ERR14660668")</f>
        <v>ERR14660668</v>
      </c>
      <c r="L189" t="str">
        <f>HYPERLINK("https://www.ebi.ac.uk/ena/browser/view/GCA_965178995","GCA_965178995")</f>
        <v>GCA_965178995</v>
      </c>
      <c r="M189" t="str">
        <f>HYPERLINK("https://www.ncbi.nlm.nih.gov/datasets/genome/GCA_965178995","CBCXYT010000001-CBCXYT010000158")</f>
        <v>CBCXYT010000001-CBCXYT010000158</v>
      </c>
    </row>
    <row r="190" spans="1:13" x14ac:dyDescent="0.35">
      <c r="A190" t="s">
        <v>869</v>
      </c>
      <c r="B190" t="s">
        <v>15</v>
      </c>
      <c r="C190" t="s">
        <v>16</v>
      </c>
      <c r="D190" t="s">
        <v>17</v>
      </c>
      <c r="E190" t="s">
        <v>863</v>
      </c>
      <c r="F190" t="s">
        <v>864</v>
      </c>
      <c r="G190" t="s">
        <v>870</v>
      </c>
      <c r="H190" t="s">
        <v>871</v>
      </c>
      <c r="I190" t="s">
        <v>872</v>
      </c>
      <c r="J190" t="s">
        <v>873</v>
      </c>
      <c r="K190" t="str">
        <f>HYPERLINK("https://www.ebi.ac.uk/ena/browser/view/ERR14660678","ERR14660678")</f>
        <v>ERR14660678</v>
      </c>
      <c r="L190" t="str">
        <f>HYPERLINK("https://www.ebi.ac.uk/ena/browser/view/GCA_965179045","GCA_965179045")</f>
        <v>GCA_965179045</v>
      </c>
      <c r="M190" t="str">
        <f>HYPERLINK("https://www.ncbi.nlm.nih.gov/datasets/genome/GCA_965179045","CBCXZG010000001-CBCXZG010000116")</f>
        <v>CBCXZG010000001-CBCXZG010000116</v>
      </c>
    </row>
    <row r="191" spans="1:13" x14ac:dyDescent="0.35">
      <c r="A191" t="s">
        <v>874</v>
      </c>
      <c r="B191" t="s">
        <v>15</v>
      </c>
      <c r="C191" t="s">
        <v>16</v>
      </c>
      <c r="D191" t="s">
        <v>17</v>
      </c>
      <c r="E191" t="s">
        <v>863</v>
      </c>
      <c r="F191" t="s">
        <v>864</v>
      </c>
      <c r="G191" t="s">
        <v>875</v>
      </c>
      <c r="H191" t="s">
        <v>876</v>
      </c>
      <c r="I191" t="s">
        <v>877</v>
      </c>
      <c r="J191" t="s">
        <v>878</v>
      </c>
      <c r="K191" t="str">
        <f>HYPERLINK("https://www.ebi.ac.uk/ena/browser/view/ERR14660725","ERR14660725")</f>
        <v>ERR14660725</v>
      </c>
      <c r="L191" t="str">
        <f>HYPERLINK("https://www.ebi.ac.uk/ena/browser/view/GCA_965179015","GCA_965179015")</f>
        <v>GCA_965179015</v>
      </c>
      <c r="M191" t="str">
        <f>HYPERLINK("https://www.ncbi.nlm.nih.gov/datasets/genome/GCA_965179015","CBCXZN010000001-CBCXZN010000095")</f>
        <v>CBCXZN010000001-CBCXZN010000095</v>
      </c>
    </row>
    <row r="192" spans="1:13" x14ac:dyDescent="0.35">
      <c r="A192" t="s">
        <v>879</v>
      </c>
      <c r="B192" t="s">
        <v>15</v>
      </c>
      <c r="C192" t="s">
        <v>16</v>
      </c>
      <c r="D192" t="s">
        <v>17</v>
      </c>
      <c r="E192" t="s">
        <v>863</v>
      </c>
      <c r="F192" t="s">
        <v>864</v>
      </c>
      <c r="G192" t="s">
        <v>880</v>
      </c>
      <c r="H192" t="s">
        <v>881</v>
      </c>
      <c r="I192" t="s">
        <v>882</v>
      </c>
      <c r="J192" t="s">
        <v>883</v>
      </c>
      <c r="K192" t="str">
        <f>HYPERLINK("https://www.ebi.ac.uk/ena/browser/view/ERR14660731","ERR14660731")</f>
        <v>ERR14660731</v>
      </c>
      <c r="L192" t="str">
        <f>HYPERLINK("https://www.ebi.ac.uk/ena/browser/view/GCA_965180815","GCA_965180815")</f>
        <v>GCA_965180815</v>
      </c>
      <c r="M192" t="str">
        <f>HYPERLINK("https://www.ncbi.nlm.nih.gov/datasets/genome/GCA_965180815","CBCYEI010000001-CBCYEI010000101")</f>
        <v>CBCYEI010000001-CBCYEI010000101</v>
      </c>
    </row>
    <row r="193" spans="1:13" x14ac:dyDescent="0.35">
      <c r="A193" t="s">
        <v>884</v>
      </c>
      <c r="B193" t="s">
        <v>15</v>
      </c>
      <c r="C193" t="s">
        <v>16</v>
      </c>
      <c r="D193" t="s">
        <v>32</v>
      </c>
      <c r="E193" t="s">
        <v>863</v>
      </c>
      <c r="F193" t="s">
        <v>864</v>
      </c>
      <c r="G193" t="s">
        <v>885</v>
      </c>
      <c r="H193" t="s">
        <v>886</v>
      </c>
      <c r="I193" t="s">
        <v>887</v>
      </c>
      <c r="J193" t="s">
        <v>888</v>
      </c>
      <c r="K193" t="str">
        <f>HYPERLINK("https://www.ebi.ac.uk/ena/browser/view/ERR14660743","ERR14660743")</f>
        <v>ERR14660743</v>
      </c>
      <c r="L193" t="str">
        <f>HYPERLINK("https://www.ebi.ac.uk/ena/browser/view/GCA_965182905","GCA_965182905")</f>
        <v>GCA_965182905</v>
      </c>
      <c r="M193" t="str">
        <f>HYPERLINK("https://www.ncbi.nlm.nih.gov/datasets/genome/GCA_965182905","CBCYND010000001-CBCYND010000128")</f>
        <v>CBCYND010000001-CBCYND010000128</v>
      </c>
    </row>
    <row r="194" spans="1:13" x14ac:dyDescent="0.35">
      <c r="A194" t="s">
        <v>889</v>
      </c>
      <c r="B194" t="s">
        <v>15</v>
      </c>
      <c r="C194" t="s">
        <v>16</v>
      </c>
      <c r="D194" t="s">
        <v>32</v>
      </c>
      <c r="E194" t="s">
        <v>863</v>
      </c>
      <c r="F194" t="s">
        <v>864</v>
      </c>
      <c r="G194" t="s">
        <v>890</v>
      </c>
      <c r="H194" t="s">
        <v>891</v>
      </c>
      <c r="I194" t="s">
        <v>892</v>
      </c>
      <c r="J194" t="s">
        <v>893</v>
      </c>
      <c r="K194" t="str">
        <f>HYPERLINK("https://www.ebi.ac.uk/ena/browser/view/ERR14660753","ERR14660753")</f>
        <v>ERR14660753</v>
      </c>
      <c r="L194" t="str">
        <f>HYPERLINK("https://www.ebi.ac.uk/ena/browser/view/GCA_965180395","GCA_965180395")</f>
        <v>GCA_965180395</v>
      </c>
      <c r="M194" t="str">
        <f>HYPERLINK("https://www.ncbi.nlm.nih.gov/datasets/genome/GCA_965180395","CBCYDS010000001-CBCYDS010000174")</f>
        <v>CBCYDS010000001-CBCYDS010000174</v>
      </c>
    </row>
    <row r="195" spans="1:13" x14ac:dyDescent="0.35">
      <c r="A195" t="s">
        <v>894</v>
      </c>
      <c r="B195" t="s">
        <v>25</v>
      </c>
      <c r="C195" t="s">
        <v>26</v>
      </c>
      <c r="D195" t="s">
        <v>32</v>
      </c>
      <c r="E195" t="s">
        <v>863</v>
      </c>
      <c r="F195" t="s">
        <v>864</v>
      </c>
      <c r="G195" t="s">
        <v>895</v>
      </c>
      <c r="H195" t="s">
        <v>896</v>
      </c>
      <c r="I195" t="s">
        <v>897</v>
      </c>
      <c r="J195" t="s">
        <v>898</v>
      </c>
      <c r="K195" t="str">
        <f>HYPERLINK("https://www.ebi.ac.uk/ena/browser/view/ERR14660767","ERR14660767")</f>
        <v>ERR14660767</v>
      </c>
      <c r="L195" t="str">
        <f>HYPERLINK("https://www.ebi.ac.uk/ena/browser/view/GCA_965181605","GCA_965181605")</f>
        <v>GCA_965181605</v>
      </c>
      <c r="M195" t="str">
        <f>HYPERLINK("https://www.ncbi.nlm.nih.gov/datasets/genome/GCA_965181605","CBCYHY010000001-CBCYHY010000093")</f>
        <v>CBCYHY010000001-CBCYHY010000093</v>
      </c>
    </row>
    <row r="196" spans="1:13" x14ac:dyDescent="0.35">
      <c r="A196" t="s">
        <v>899</v>
      </c>
      <c r="B196" t="s">
        <v>25</v>
      </c>
      <c r="C196" t="s">
        <v>26</v>
      </c>
      <c r="D196" t="s">
        <v>17</v>
      </c>
      <c r="E196" t="s">
        <v>863</v>
      </c>
      <c r="F196" t="s">
        <v>864</v>
      </c>
      <c r="G196" t="s">
        <v>133</v>
      </c>
      <c r="H196" t="s">
        <v>900</v>
      </c>
      <c r="I196" t="s">
        <v>901</v>
      </c>
      <c r="J196" t="s">
        <v>902</v>
      </c>
      <c r="K196" t="str">
        <f>HYPERLINK("https://www.ebi.ac.uk/ena/browser/view/ERR14660774","ERR14660774")</f>
        <v>ERR14660774</v>
      </c>
      <c r="L196" t="str">
        <f>HYPERLINK("https://www.ebi.ac.uk/ena/browser/view/GCA_965181505","GCA_965181505")</f>
        <v>GCA_965181505</v>
      </c>
      <c r="M196" t="str">
        <f>HYPERLINK("https://www.ncbi.nlm.nih.gov/datasets/genome/GCA_965181505","CBCYHS010000001-CBCYHS010000067")</f>
        <v>CBCYHS010000001-CBCYHS010000067</v>
      </c>
    </row>
    <row r="197" spans="1:13" x14ac:dyDescent="0.35">
      <c r="A197" t="s">
        <v>903</v>
      </c>
      <c r="B197" t="s">
        <v>25</v>
      </c>
      <c r="C197" t="s">
        <v>26</v>
      </c>
      <c r="D197" t="s">
        <v>32</v>
      </c>
      <c r="E197" t="s">
        <v>863</v>
      </c>
      <c r="F197" t="s">
        <v>864</v>
      </c>
      <c r="G197" t="s">
        <v>904</v>
      </c>
      <c r="H197" t="s">
        <v>905</v>
      </c>
      <c r="I197" t="s">
        <v>906</v>
      </c>
      <c r="J197" t="s">
        <v>907</v>
      </c>
      <c r="K197" t="str">
        <f>HYPERLINK("https://www.ebi.ac.uk/ena/browser/view/ERR14660794","ERR14660794")</f>
        <v>ERR14660794</v>
      </c>
      <c r="L197" t="str">
        <f>HYPERLINK("https://www.ebi.ac.uk/ena/browser/view/GCA_965181875","GCA_965181875")</f>
        <v>GCA_965181875</v>
      </c>
      <c r="M197" t="str">
        <f>HYPERLINK("https://www.ncbi.nlm.nih.gov/datasets/genome/GCA_965181875","CBCYIM010000001-CBCYIM010000096")</f>
        <v>CBCYIM010000001-CBCYIM010000096</v>
      </c>
    </row>
    <row r="198" spans="1:13" x14ac:dyDescent="0.35">
      <c r="A198" t="s">
        <v>908</v>
      </c>
      <c r="B198" t="s">
        <v>25</v>
      </c>
      <c r="C198" t="s">
        <v>26</v>
      </c>
      <c r="D198" t="s">
        <v>17</v>
      </c>
      <c r="E198" t="s">
        <v>863</v>
      </c>
      <c r="F198" t="s">
        <v>864</v>
      </c>
      <c r="G198" t="s">
        <v>909</v>
      </c>
      <c r="H198" t="s">
        <v>910</v>
      </c>
      <c r="I198" t="s">
        <v>911</v>
      </c>
      <c r="J198" t="s">
        <v>912</v>
      </c>
      <c r="K198" t="str">
        <f>HYPERLINK("https://www.ebi.ac.uk/ena/browser/view/ERR14660798","ERR14660798")</f>
        <v>ERR14660798</v>
      </c>
      <c r="L198" t="str">
        <f>HYPERLINK("https://www.ebi.ac.uk/ena/browser/view/GCA_965181905","GCA_965181905")</f>
        <v>GCA_965181905</v>
      </c>
      <c r="M198" t="str">
        <f>HYPERLINK("https://www.ncbi.nlm.nih.gov/datasets/genome/GCA_965181905","CBCYJE010000001-CBCYJE010000070")</f>
        <v>CBCYJE010000001-CBCYJE010000070</v>
      </c>
    </row>
    <row r="199" spans="1:13" x14ac:dyDescent="0.35">
      <c r="A199" t="s">
        <v>913</v>
      </c>
      <c r="B199" t="s">
        <v>25</v>
      </c>
      <c r="C199" t="s">
        <v>26</v>
      </c>
      <c r="D199" t="s">
        <v>32</v>
      </c>
      <c r="E199" t="s">
        <v>863</v>
      </c>
      <c r="F199" t="s">
        <v>864</v>
      </c>
      <c r="G199" t="s">
        <v>904</v>
      </c>
      <c r="H199" t="s">
        <v>914</v>
      </c>
      <c r="I199" t="s">
        <v>915</v>
      </c>
      <c r="J199" t="s">
        <v>916</v>
      </c>
      <c r="K199" t="str">
        <f>HYPERLINK("https://www.ebi.ac.uk/ena/browser/view/ERR14660800","ERR14660800")</f>
        <v>ERR14660800</v>
      </c>
      <c r="L199" t="str">
        <f>HYPERLINK("https://www.ebi.ac.uk/ena/browser/view/GCA_965181895","GCA_965181895")</f>
        <v>GCA_965181895</v>
      </c>
      <c r="M199" t="str">
        <f>HYPERLINK("https://www.ncbi.nlm.nih.gov/datasets/genome/GCA_965181895","CBCYIN010000001-CBCYIN010000095")</f>
        <v>CBCYIN010000001-CBCYIN010000095</v>
      </c>
    </row>
    <row r="200" spans="1:13" x14ac:dyDescent="0.35">
      <c r="A200" t="s">
        <v>917</v>
      </c>
      <c r="B200" t="s">
        <v>25</v>
      </c>
      <c r="C200" t="s">
        <v>26</v>
      </c>
      <c r="D200" t="s">
        <v>32</v>
      </c>
      <c r="E200" t="s">
        <v>863</v>
      </c>
      <c r="F200" t="s">
        <v>864</v>
      </c>
      <c r="G200" t="s">
        <v>918</v>
      </c>
      <c r="H200" t="s">
        <v>919</v>
      </c>
      <c r="I200" t="s">
        <v>920</v>
      </c>
      <c r="J200" t="s">
        <v>921</v>
      </c>
      <c r="K200" t="str">
        <f>HYPERLINK("https://www.ebi.ac.uk/ena/browser/view/ERR14660808","ERR14660808")</f>
        <v>ERR14660808</v>
      </c>
      <c r="L200" t="str">
        <f>HYPERLINK("https://www.ebi.ac.uk/ena/browser/view/GCA_965182785","GCA_965182785")</f>
        <v>GCA_965182785</v>
      </c>
      <c r="M200" t="str">
        <f>HYPERLINK("https://www.ncbi.nlm.nih.gov/datasets/genome/GCA_965182785","CBCYMW010000001-CBCYMW010000050")</f>
        <v>CBCYMW010000001-CBCYMW010000050</v>
      </c>
    </row>
    <row r="201" spans="1:13" x14ac:dyDescent="0.35">
      <c r="A201" t="s">
        <v>922</v>
      </c>
      <c r="B201" t="s">
        <v>25</v>
      </c>
      <c r="C201" t="s">
        <v>26</v>
      </c>
      <c r="D201" t="s">
        <v>17</v>
      </c>
      <c r="E201" t="s">
        <v>863</v>
      </c>
      <c r="F201" t="s">
        <v>864</v>
      </c>
      <c r="G201" t="s">
        <v>923</v>
      </c>
      <c r="H201" t="s">
        <v>924</v>
      </c>
      <c r="I201" t="s">
        <v>925</v>
      </c>
      <c r="J201" t="s">
        <v>926</v>
      </c>
      <c r="K201" t="str">
        <f>HYPERLINK("https://www.ebi.ac.uk/ena/browser/view/ERR14660817","ERR14660817")</f>
        <v>ERR14660817</v>
      </c>
      <c r="L201" t="str">
        <f>HYPERLINK("https://www.ebi.ac.uk/ena/browser/view/GCA_965181095","GCA_965181095")</f>
        <v>GCA_965181095</v>
      </c>
      <c r="M201" t="str">
        <f>HYPERLINK("https://www.ncbi.nlm.nih.gov/datasets/genome/GCA_965181095","CBCYGF010000001-CBCYGF010000059")</f>
        <v>CBCYGF010000001-CBCYGF010000059</v>
      </c>
    </row>
    <row r="202" spans="1:13" x14ac:dyDescent="0.35">
      <c r="A202" t="s">
        <v>927</v>
      </c>
      <c r="B202" t="s">
        <v>25</v>
      </c>
      <c r="C202" t="s">
        <v>26</v>
      </c>
      <c r="D202" t="s">
        <v>32</v>
      </c>
      <c r="E202" t="s">
        <v>863</v>
      </c>
      <c r="F202" t="s">
        <v>864</v>
      </c>
      <c r="G202" t="s">
        <v>890</v>
      </c>
      <c r="H202" t="s">
        <v>928</v>
      </c>
      <c r="I202" t="s">
        <v>929</v>
      </c>
      <c r="J202" t="s">
        <v>930</v>
      </c>
      <c r="K202" t="str">
        <f>HYPERLINK("https://www.ebi.ac.uk/ena/browser/view/ERR14660819","ERR14660819")</f>
        <v>ERR14660819</v>
      </c>
      <c r="L202" t="str">
        <f>HYPERLINK("https://www.ebi.ac.uk/ena/browser/view/GCA_965183435","GCA_965183435")</f>
        <v>GCA_965183435</v>
      </c>
      <c r="M202" t="str">
        <f>HYPERLINK("https://www.ncbi.nlm.nih.gov/datasets/genome/GCA_965183435","CBDACV010000001-CBDACV010000045")</f>
        <v>CBDACV010000001-CBDACV010000045</v>
      </c>
    </row>
    <row r="203" spans="1:13" x14ac:dyDescent="0.35">
      <c r="A203" t="s">
        <v>931</v>
      </c>
      <c r="B203" t="s">
        <v>25</v>
      </c>
      <c r="C203" t="s">
        <v>26</v>
      </c>
      <c r="D203" t="s">
        <v>17</v>
      </c>
      <c r="E203" t="s">
        <v>863</v>
      </c>
      <c r="F203" t="s">
        <v>864</v>
      </c>
      <c r="G203" t="s">
        <v>932</v>
      </c>
      <c r="H203" t="s">
        <v>933</v>
      </c>
      <c r="I203" t="s">
        <v>934</v>
      </c>
      <c r="J203" t="s">
        <v>935</v>
      </c>
      <c r="K203" t="str">
        <f>HYPERLINK("https://www.ebi.ac.uk/ena/browser/view/ERR14660825","ERR14660825")</f>
        <v>ERR14660825</v>
      </c>
      <c r="L203" t="str">
        <f>HYPERLINK("https://www.ebi.ac.uk/ena/browser/view/GCA_965181355","GCA_965181355")</f>
        <v>GCA_965181355</v>
      </c>
      <c r="M203" t="str">
        <f>HYPERLINK("https://www.ncbi.nlm.nih.gov/datasets/genome/GCA_965181355","CBCYGX010000001-CBCYGX010000081")</f>
        <v>CBCYGX010000001-CBCYGX010000081</v>
      </c>
    </row>
    <row r="204" spans="1:13" x14ac:dyDescent="0.35">
      <c r="A204" t="s">
        <v>936</v>
      </c>
      <c r="B204" t="s">
        <v>25</v>
      </c>
      <c r="C204" t="s">
        <v>26</v>
      </c>
      <c r="D204" t="s">
        <v>17</v>
      </c>
      <c r="E204" t="s">
        <v>863</v>
      </c>
      <c r="F204" t="s">
        <v>864</v>
      </c>
      <c r="G204" t="s">
        <v>932</v>
      </c>
      <c r="H204" t="s">
        <v>937</v>
      </c>
      <c r="I204" t="s">
        <v>938</v>
      </c>
      <c r="J204" t="s">
        <v>939</v>
      </c>
      <c r="K204" t="str">
        <f>HYPERLINK("https://www.ebi.ac.uk/ena/browser/view/ERR14660826","ERR14660826")</f>
        <v>ERR14660826</v>
      </c>
      <c r="L204" t="str">
        <f>HYPERLINK("https://www.ebi.ac.uk/ena/browser/view/GCA_965183395","GCA_965183395")</f>
        <v>GCA_965183395</v>
      </c>
      <c r="M204" t="str">
        <f>HYPERLINK("https://www.ncbi.nlm.nih.gov/datasets/genome/GCA_965183395","CBDACS010000001-CBDACS010000085")</f>
        <v>CBDACS010000001-CBDACS010000085</v>
      </c>
    </row>
    <row r="205" spans="1:13" x14ac:dyDescent="0.35">
      <c r="A205" t="s">
        <v>940</v>
      </c>
      <c r="B205" t="s">
        <v>25</v>
      </c>
      <c r="C205" t="s">
        <v>26</v>
      </c>
      <c r="D205" t="s">
        <v>17</v>
      </c>
      <c r="E205" t="s">
        <v>863</v>
      </c>
      <c r="F205" t="s">
        <v>864</v>
      </c>
      <c r="G205" t="s">
        <v>932</v>
      </c>
      <c r="H205" t="s">
        <v>941</v>
      </c>
      <c r="I205" t="s">
        <v>942</v>
      </c>
      <c r="J205" t="s">
        <v>943</v>
      </c>
      <c r="K205" t="str">
        <f>HYPERLINK("https://www.ebi.ac.uk/ena/browser/view/ERR14660827","ERR14660827")</f>
        <v>ERR14660827</v>
      </c>
      <c r="L205" t="str">
        <f>HYPERLINK("https://www.ebi.ac.uk/ena/browser/view/GCA_965181345","GCA_965181345")</f>
        <v>GCA_965181345</v>
      </c>
      <c r="M205" t="str">
        <f>HYPERLINK("https://www.ncbi.nlm.nih.gov/datasets/genome/GCA_965181345","CBCYGW010000001-CBCYGW010000073")</f>
        <v>CBCYGW010000001-CBCYGW010000073</v>
      </c>
    </row>
    <row r="206" spans="1:13" x14ac:dyDescent="0.35">
      <c r="A206" t="s">
        <v>944</v>
      </c>
      <c r="B206" t="s">
        <v>25</v>
      </c>
      <c r="C206" t="s">
        <v>26</v>
      </c>
      <c r="D206" t="s">
        <v>17</v>
      </c>
      <c r="E206" t="s">
        <v>863</v>
      </c>
      <c r="F206" t="s">
        <v>864</v>
      </c>
      <c r="G206" t="s">
        <v>932</v>
      </c>
      <c r="H206" t="s">
        <v>945</v>
      </c>
      <c r="I206" t="s">
        <v>946</v>
      </c>
      <c r="J206" t="s">
        <v>947</v>
      </c>
      <c r="K206" t="str">
        <f>HYPERLINK("https://www.ebi.ac.uk/ena/browser/view/ERR14660828","ERR14660828")</f>
        <v>ERR14660828</v>
      </c>
      <c r="L206" t="str">
        <f>HYPERLINK("https://www.ebi.ac.uk/ena/browser/view/GCA_965183385","GCA_965183385")</f>
        <v>GCA_965183385</v>
      </c>
      <c r="M206" t="str">
        <f>HYPERLINK("https://www.ncbi.nlm.nih.gov/datasets/genome/GCA_965183385","CBDACR010000001-CBDACR010000087")</f>
        <v>CBDACR010000001-CBDACR010000087</v>
      </c>
    </row>
    <row r="207" spans="1:13" x14ac:dyDescent="0.35">
      <c r="A207" t="s">
        <v>948</v>
      </c>
      <c r="B207" t="s">
        <v>25</v>
      </c>
      <c r="C207" t="s">
        <v>26</v>
      </c>
      <c r="D207" t="s">
        <v>32</v>
      </c>
      <c r="E207" t="s">
        <v>863</v>
      </c>
      <c r="F207" t="s">
        <v>864</v>
      </c>
      <c r="G207" t="s">
        <v>923</v>
      </c>
      <c r="H207" t="s">
        <v>949</v>
      </c>
      <c r="I207" t="s">
        <v>950</v>
      </c>
      <c r="J207" t="s">
        <v>951</v>
      </c>
      <c r="K207" t="str">
        <f>HYPERLINK("https://www.ebi.ac.uk/ena/browser/view/ERR14660833","ERR14660833")</f>
        <v>ERR14660833</v>
      </c>
      <c r="L207" t="str">
        <f>HYPERLINK("https://www.ebi.ac.uk/ena/browser/view/GCA_965181155","GCA_965181155")</f>
        <v>GCA_965181155</v>
      </c>
      <c r="M207" t="str">
        <f>HYPERLINK("https://www.ncbi.nlm.nih.gov/datasets/genome/GCA_965181155","CBCYGK010000001-CBCYGK010000063")</f>
        <v>CBCYGK010000001-CBCYGK010000063</v>
      </c>
    </row>
    <row r="208" spans="1:13" x14ac:dyDescent="0.35">
      <c r="A208" t="s">
        <v>952</v>
      </c>
      <c r="B208" t="s">
        <v>25</v>
      </c>
      <c r="C208" t="s">
        <v>26</v>
      </c>
      <c r="D208" t="s">
        <v>32</v>
      </c>
      <c r="E208" t="s">
        <v>863</v>
      </c>
      <c r="F208" t="s">
        <v>864</v>
      </c>
      <c r="G208" t="s">
        <v>953</v>
      </c>
      <c r="H208" t="s">
        <v>954</v>
      </c>
      <c r="I208" t="s">
        <v>955</v>
      </c>
      <c r="J208" t="s">
        <v>956</v>
      </c>
      <c r="K208" t="str">
        <f>HYPERLINK("https://www.ebi.ac.uk/ena/browser/view/ERR14660841","ERR14660841")</f>
        <v>ERR14660841</v>
      </c>
      <c r="L208" t="str">
        <f>HYPERLINK("https://www.ebi.ac.uk/ena/browser/view/GCA_965180155","GCA_965180155")</f>
        <v>GCA_965180155</v>
      </c>
      <c r="M208" t="str">
        <f>HYPERLINK("https://www.ncbi.nlm.nih.gov/datasets/genome/GCA_965180155","CBCYCL010000001-CBCYCL010000065")</f>
        <v>CBCYCL010000001-CBCYCL010000065</v>
      </c>
    </row>
    <row r="209" spans="1:13" x14ac:dyDescent="0.35">
      <c r="A209" t="s">
        <v>957</v>
      </c>
      <c r="B209" t="s">
        <v>25</v>
      </c>
      <c r="C209" t="s">
        <v>174</v>
      </c>
      <c r="D209" t="s">
        <v>17</v>
      </c>
      <c r="E209" t="s">
        <v>863</v>
      </c>
      <c r="F209" t="s">
        <v>864</v>
      </c>
      <c r="G209" t="s">
        <v>953</v>
      </c>
      <c r="H209" t="s">
        <v>958</v>
      </c>
      <c r="I209" t="s">
        <v>959</v>
      </c>
      <c r="J209" t="s">
        <v>960</v>
      </c>
      <c r="K209" t="str">
        <f>HYPERLINK("https://www.ebi.ac.uk/ena/browser/view/ERR14660845","ERR14660845")</f>
        <v>ERR14660845</v>
      </c>
      <c r="L209" t="str">
        <f>HYPERLINK("https://www.ebi.ac.uk/ena/browser/view/GCA_965181655","GCA_965181655")</f>
        <v>GCA_965181655</v>
      </c>
      <c r="M209" t="str">
        <f>HYPERLINK("https://www.ncbi.nlm.nih.gov/datasets/genome/GCA_965181655","CBCYHX010000001-CBCYHX010000098")</f>
        <v>CBCYHX010000001-CBCYHX010000098</v>
      </c>
    </row>
    <row r="210" spans="1:13" x14ac:dyDescent="0.35">
      <c r="A210" t="s">
        <v>961</v>
      </c>
      <c r="B210" t="s">
        <v>25</v>
      </c>
      <c r="C210" t="s">
        <v>174</v>
      </c>
      <c r="D210" t="s">
        <v>17</v>
      </c>
      <c r="E210" t="s">
        <v>863</v>
      </c>
      <c r="F210" t="s">
        <v>864</v>
      </c>
      <c r="G210" t="s">
        <v>953</v>
      </c>
      <c r="H210" t="s">
        <v>962</v>
      </c>
      <c r="I210" t="s">
        <v>963</v>
      </c>
      <c r="J210" t="s">
        <v>964</v>
      </c>
      <c r="K210" t="str">
        <f>HYPERLINK("https://www.ebi.ac.uk/ena/browser/view/ERR14660848","ERR14660848")</f>
        <v>ERR14660848</v>
      </c>
      <c r="L210" t="str">
        <f>HYPERLINK("https://www.ebi.ac.uk/ena/browser/view/GCA_965181645","GCA_965181645")</f>
        <v>GCA_965181645</v>
      </c>
      <c r="M210" t="str">
        <f>HYPERLINK("https://www.ncbi.nlm.nih.gov/datasets/genome/GCA_965181645","CBCYHV010000001-CBCYHV010000106")</f>
        <v>CBCYHV010000001-CBCYHV010000106</v>
      </c>
    </row>
    <row r="211" spans="1:13" x14ac:dyDescent="0.35">
      <c r="A211" t="s">
        <v>965</v>
      </c>
      <c r="B211" t="s">
        <v>25</v>
      </c>
      <c r="C211" t="s">
        <v>174</v>
      </c>
      <c r="D211" t="s">
        <v>32</v>
      </c>
      <c r="E211" t="s">
        <v>863</v>
      </c>
      <c r="F211" t="s">
        <v>864</v>
      </c>
      <c r="G211" t="s">
        <v>966</v>
      </c>
      <c r="H211" t="s">
        <v>967</v>
      </c>
      <c r="I211" t="s">
        <v>968</v>
      </c>
      <c r="J211" t="s">
        <v>969</v>
      </c>
      <c r="K211" t="str">
        <f>HYPERLINK("https://www.ebi.ac.uk/ena/browser/view/ERR14660855","ERR14660855")</f>
        <v>ERR14660855</v>
      </c>
      <c r="L211" t="str">
        <f>HYPERLINK("https://www.ebi.ac.uk/ena/browser/view/GCA_965182215","GCA_965182215")</f>
        <v>GCA_965182215</v>
      </c>
      <c r="M211" t="str">
        <f>HYPERLINK("https://www.ncbi.nlm.nih.gov/datasets/genome/GCA_965182215","CBCYKN010000001-CBCYKN010000117")</f>
        <v>CBCYKN010000001-CBCYKN010000117</v>
      </c>
    </row>
    <row r="212" spans="1:13" x14ac:dyDescent="0.35">
      <c r="A212" t="s">
        <v>970</v>
      </c>
      <c r="B212" t="s">
        <v>25</v>
      </c>
      <c r="C212" t="s">
        <v>174</v>
      </c>
      <c r="D212" t="s">
        <v>17</v>
      </c>
      <c r="E212" t="s">
        <v>863</v>
      </c>
      <c r="F212" t="s">
        <v>864</v>
      </c>
      <c r="G212" t="s">
        <v>932</v>
      </c>
      <c r="H212" t="s">
        <v>971</v>
      </c>
      <c r="I212" t="s">
        <v>972</v>
      </c>
      <c r="J212" t="s">
        <v>973</v>
      </c>
      <c r="K212" t="str">
        <f>HYPERLINK("https://www.ebi.ac.uk/ena/browser/view/ERR14660856","ERR14660856")</f>
        <v>ERR14660856</v>
      </c>
      <c r="L212" t="str">
        <f>HYPERLINK("https://www.ebi.ac.uk/ena/browser/view/GCA_965179625","GCA_965179625")</f>
        <v>GCA_965179625</v>
      </c>
      <c r="M212" t="str">
        <f>HYPERLINK("https://www.ncbi.nlm.nih.gov/datasets/genome/GCA_965179625","CBCYAH010000001-CBCYAH010000085")</f>
        <v>CBCYAH010000001-CBCYAH010000085</v>
      </c>
    </row>
    <row r="213" spans="1:13" x14ac:dyDescent="0.35">
      <c r="A213" t="s">
        <v>974</v>
      </c>
      <c r="B213" t="s">
        <v>25</v>
      </c>
      <c r="C213" t="s">
        <v>174</v>
      </c>
      <c r="D213" t="s">
        <v>32</v>
      </c>
      <c r="E213" t="s">
        <v>863</v>
      </c>
      <c r="F213" t="s">
        <v>864</v>
      </c>
      <c r="G213" t="s">
        <v>975</v>
      </c>
      <c r="H213" t="s">
        <v>976</v>
      </c>
      <c r="I213" t="s">
        <v>977</v>
      </c>
      <c r="J213" t="s">
        <v>978</v>
      </c>
      <c r="K213" t="str">
        <f>HYPERLINK("https://www.ebi.ac.uk/ena/browser/view/ERR14660862","ERR14660862")</f>
        <v>ERR14660862</v>
      </c>
      <c r="L213" t="str">
        <f>HYPERLINK("https://www.ebi.ac.uk/ena/browser/view/GCA_965182285","GCA_965182285")</f>
        <v>GCA_965182285</v>
      </c>
      <c r="M213" t="str">
        <f>HYPERLINK("https://www.ncbi.nlm.nih.gov/datasets/genome/GCA_965182285","CBCYKD010000001-CBCYKD010000091")</f>
        <v>CBCYKD010000001-CBCYKD010000091</v>
      </c>
    </row>
    <row r="214" spans="1:13" x14ac:dyDescent="0.35">
      <c r="A214" t="s">
        <v>979</v>
      </c>
      <c r="B214" t="s">
        <v>25</v>
      </c>
      <c r="C214" t="s">
        <v>174</v>
      </c>
      <c r="D214" t="s">
        <v>17</v>
      </c>
      <c r="E214" t="s">
        <v>863</v>
      </c>
      <c r="F214" t="s">
        <v>864</v>
      </c>
      <c r="G214" t="s">
        <v>953</v>
      </c>
      <c r="H214" t="s">
        <v>980</v>
      </c>
      <c r="I214" t="s">
        <v>981</v>
      </c>
      <c r="J214" t="s">
        <v>982</v>
      </c>
      <c r="K214" t="str">
        <f>HYPERLINK("https://www.ebi.ac.uk/ena/browser/view/ERR14660867","ERR14660867")</f>
        <v>ERR14660867</v>
      </c>
      <c r="L214" t="str">
        <f>HYPERLINK("https://www.ebi.ac.uk/ena/browser/view/GCA_965182265","GCA_965182265")</f>
        <v>GCA_965182265</v>
      </c>
      <c r="M214" t="str">
        <f>HYPERLINK("https://www.ncbi.nlm.nih.gov/datasets/genome/GCA_965182265","CBCYKE010000001-CBCYKE010000068")</f>
        <v>CBCYKE010000001-CBCYKE010000068</v>
      </c>
    </row>
    <row r="215" spans="1:13" x14ac:dyDescent="0.35">
      <c r="A215" t="s">
        <v>983</v>
      </c>
      <c r="B215" t="s">
        <v>25</v>
      </c>
      <c r="C215" t="s">
        <v>174</v>
      </c>
      <c r="D215" t="s">
        <v>17</v>
      </c>
      <c r="E215" t="s">
        <v>863</v>
      </c>
      <c r="F215" t="s">
        <v>864</v>
      </c>
      <c r="G215" t="s">
        <v>953</v>
      </c>
      <c r="H215" t="s">
        <v>984</v>
      </c>
      <c r="I215" t="s">
        <v>985</v>
      </c>
      <c r="J215" t="s">
        <v>986</v>
      </c>
      <c r="K215" t="str">
        <f>HYPERLINK("https://www.ebi.ac.uk/ena/browser/view/ERR14660868","ERR14660868")</f>
        <v>ERR14660868</v>
      </c>
      <c r="L215" t="str">
        <f>HYPERLINK("https://www.ebi.ac.uk/ena/browser/view/GCA_965182195","GCA_965182195")</f>
        <v>GCA_965182195</v>
      </c>
      <c r="M215" t="str">
        <f>HYPERLINK("https://www.ncbi.nlm.nih.gov/datasets/genome/GCA_965182195","CBCYKB010000001-CBCYKB010000078")</f>
        <v>CBCYKB010000001-CBCYKB010000078</v>
      </c>
    </row>
    <row r="216" spans="1:13" x14ac:dyDescent="0.35">
      <c r="A216" t="s">
        <v>987</v>
      </c>
      <c r="B216" t="s">
        <v>25</v>
      </c>
      <c r="C216" t="s">
        <v>174</v>
      </c>
      <c r="D216" t="s">
        <v>32</v>
      </c>
      <c r="E216" t="s">
        <v>863</v>
      </c>
      <c r="F216" t="s">
        <v>864</v>
      </c>
      <c r="G216" t="s">
        <v>988</v>
      </c>
      <c r="H216" t="s">
        <v>989</v>
      </c>
      <c r="I216" t="s">
        <v>990</v>
      </c>
      <c r="J216" t="s">
        <v>991</v>
      </c>
      <c r="K216" t="str">
        <f>HYPERLINK("https://www.ebi.ac.uk/ena/browser/view/ERR14660877","ERR14660877")</f>
        <v>ERR14660877</v>
      </c>
      <c r="L216" t="str">
        <f>HYPERLINK("https://www.ebi.ac.uk/ena/browser/view/GCA_965183555","GCA_965183555")</f>
        <v>GCA_965183555</v>
      </c>
      <c r="M216" t="str">
        <f>HYPERLINK("https://www.ncbi.nlm.nih.gov/datasets/genome/GCA_965183555","CBDADF010000001-CBDADF010000084")</f>
        <v>CBDADF010000001-CBDADF010000084</v>
      </c>
    </row>
    <row r="217" spans="1:13" x14ac:dyDescent="0.35">
      <c r="A217" t="s">
        <v>992</v>
      </c>
      <c r="B217" t="s">
        <v>25</v>
      </c>
      <c r="C217" t="s">
        <v>174</v>
      </c>
      <c r="D217" t="s">
        <v>17</v>
      </c>
      <c r="E217" t="s">
        <v>863</v>
      </c>
      <c r="F217" t="s">
        <v>864</v>
      </c>
      <c r="G217" t="s">
        <v>865</v>
      </c>
      <c r="H217" t="s">
        <v>993</v>
      </c>
      <c r="I217" t="s">
        <v>994</v>
      </c>
      <c r="J217" t="s">
        <v>995</v>
      </c>
      <c r="K217" t="str">
        <f>HYPERLINK("https://www.ebi.ac.uk/ena/browser/view/ERR14660882","ERR14660882")</f>
        <v>ERR14660882</v>
      </c>
      <c r="L217" t="str">
        <f>HYPERLINK("https://www.ebi.ac.uk/ena/browser/view/GCA_965181565","GCA_965181565")</f>
        <v>GCA_965181565</v>
      </c>
      <c r="M217" t="str">
        <f>HYPERLINK("https://www.ncbi.nlm.nih.gov/datasets/genome/GCA_965181565","CBCYHP010000001-CBCYHP010000217")</f>
        <v>CBCYHP010000001-CBCYHP010000217</v>
      </c>
    </row>
    <row r="218" spans="1:13" x14ac:dyDescent="0.35">
      <c r="A218" t="s">
        <v>996</v>
      </c>
      <c r="B218" t="s">
        <v>15</v>
      </c>
      <c r="C218" t="s">
        <v>16</v>
      </c>
      <c r="D218" t="s">
        <v>17</v>
      </c>
      <c r="E218" t="s">
        <v>997</v>
      </c>
      <c r="F218" t="s">
        <v>864</v>
      </c>
      <c r="G218" t="s">
        <v>998</v>
      </c>
      <c r="H218" t="s">
        <v>999</v>
      </c>
      <c r="I218" t="s">
        <v>1000</v>
      </c>
      <c r="J218" t="s">
        <v>1001</v>
      </c>
      <c r="K218" t="str">
        <f>HYPERLINK("https://www.ebi.ac.uk/ena/browser/view/ERR14660653","ERR14660653")</f>
        <v>ERR14660653</v>
      </c>
      <c r="L218" t="str">
        <f>HYPERLINK("https://www.ebi.ac.uk/ena/browser/view/GCA_965179485","GCA_965179485")</f>
        <v>GCA_965179485</v>
      </c>
      <c r="M218" t="str">
        <f>HYPERLINK("https://www.ncbi.nlm.nih.gov/datasets/genome/GCA_965179485","CBCXYP010000001-CBCXYP010000107")</f>
        <v>CBCXYP010000001-CBCXYP010000107</v>
      </c>
    </row>
    <row r="219" spans="1:13" x14ac:dyDescent="0.35">
      <c r="A219" t="s">
        <v>1002</v>
      </c>
      <c r="B219" t="s">
        <v>15</v>
      </c>
      <c r="C219" t="s">
        <v>16</v>
      </c>
      <c r="D219" t="s">
        <v>32</v>
      </c>
      <c r="E219" t="s">
        <v>997</v>
      </c>
      <c r="F219" t="s">
        <v>864</v>
      </c>
      <c r="G219" t="s">
        <v>1003</v>
      </c>
      <c r="H219" t="s">
        <v>1004</v>
      </c>
      <c r="I219" t="s">
        <v>1005</v>
      </c>
      <c r="J219" t="s">
        <v>1006</v>
      </c>
      <c r="K219" t="str">
        <f>HYPERLINK("https://www.ebi.ac.uk/ena/browser/view/ERR14660701","ERR14660701")</f>
        <v>ERR14660701</v>
      </c>
      <c r="L219" t="str">
        <f>HYPERLINK("https://www.ebi.ac.uk/ena/browser/view/GCA_965179285","GCA_965179285")</f>
        <v>GCA_965179285</v>
      </c>
      <c r="M219" t="str">
        <f>HYPERLINK("https://www.ncbi.nlm.nih.gov/datasets/genome/GCA_965179285","CBCXZE010000001-CBCXZE010000115")</f>
        <v>CBCXZE010000001-CBCXZE010000115</v>
      </c>
    </row>
    <row r="220" spans="1:13" x14ac:dyDescent="0.35">
      <c r="A220" t="s">
        <v>1007</v>
      </c>
      <c r="B220" t="s">
        <v>15</v>
      </c>
      <c r="C220" t="s">
        <v>16</v>
      </c>
      <c r="D220" t="s">
        <v>32</v>
      </c>
      <c r="E220" t="s">
        <v>997</v>
      </c>
      <c r="F220" t="s">
        <v>864</v>
      </c>
      <c r="G220" t="s">
        <v>1003</v>
      </c>
      <c r="H220" t="s">
        <v>1008</v>
      </c>
      <c r="I220" t="s">
        <v>1009</v>
      </c>
      <c r="J220" t="s">
        <v>1010</v>
      </c>
      <c r="K220" t="str">
        <f>HYPERLINK("https://www.ebi.ac.uk/ena/browser/view/ERR14660702","ERR14660702")</f>
        <v>ERR14660702</v>
      </c>
      <c r="L220" t="str">
        <f>HYPERLINK("https://www.ebi.ac.uk/ena/browser/view/GCA_965178965","GCA_965178965")</f>
        <v>GCA_965178965</v>
      </c>
      <c r="M220" t="str">
        <f>HYPERLINK("https://www.ncbi.nlm.nih.gov/datasets/genome/GCA_965178965","CBCXZD010000001-CBCXZD010000125")</f>
        <v>CBCXZD010000001-CBCXZD010000125</v>
      </c>
    </row>
    <row r="221" spans="1:13" x14ac:dyDescent="0.35">
      <c r="A221" t="s">
        <v>1011</v>
      </c>
      <c r="B221" t="s">
        <v>15</v>
      </c>
      <c r="C221" t="s">
        <v>16</v>
      </c>
      <c r="D221" t="s">
        <v>17</v>
      </c>
      <c r="E221" t="s">
        <v>997</v>
      </c>
      <c r="F221" t="s">
        <v>864</v>
      </c>
      <c r="G221" t="s">
        <v>1012</v>
      </c>
      <c r="H221" t="s">
        <v>1013</v>
      </c>
      <c r="I221" t="s">
        <v>1014</v>
      </c>
      <c r="J221" t="s">
        <v>1015</v>
      </c>
      <c r="K221" t="str">
        <f>HYPERLINK("https://www.ebi.ac.uk/ena/browser/view/ERR14660707","ERR14660707")</f>
        <v>ERR14660707</v>
      </c>
      <c r="L221" t="str">
        <f>HYPERLINK("https://www.ebi.ac.uk/ena/browser/view/GCA_965179495","GCA_965179495")</f>
        <v>GCA_965179495</v>
      </c>
      <c r="M221" t="str">
        <f>HYPERLINK("https://www.ncbi.nlm.nih.gov/datasets/genome/GCA_965179495","CBCXZH010000001-CBCXZH010000105")</f>
        <v>CBCXZH010000001-CBCXZH010000105</v>
      </c>
    </row>
    <row r="222" spans="1:13" x14ac:dyDescent="0.35">
      <c r="A222" t="s">
        <v>1016</v>
      </c>
      <c r="B222" t="s">
        <v>15</v>
      </c>
      <c r="C222" t="s">
        <v>16</v>
      </c>
      <c r="D222" t="s">
        <v>17</v>
      </c>
      <c r="E222" t="s">
        <v>997</v>
      </c>
      <c r="F222" t="s">
        <v>864</v>
      </c>
      <c r="G222" t="s">
        <v>1017</v>
      </c>
      <c r="H222" t="s">
        <v>1018</v>
      </c>
      <c r="I222" t="s">
        <v>1019</v>
      </c>
      <c r="J222" t="s">
        <v>1020</v>
      </c>
      <c r="K222" t="str">
        <f>HYPERLINK("https://www.ebi.ac.uk/ena/browser/view/ERR14660742","ERR14660742")</f>
        <v>ERR14660742</v>
      </c>
      <c r="L222" t="str">
        <f>HYPERLINK("https://www.ebi.ac.uk/ena/browser/view/GCA_965180915","GCA_965180915")</f>
        <v>GCA_965180915</v>
      </c>
      <c r="M222" t="str">
        <f>HYPERLINK("https://www.ncbi.nlm.nih.gov/datasets/genome/GCA_965180915","CBCYFH010000001-CBCYFH010000088")</f>
        <v>CBCYFH010000001-CBCYFH010000088</v>
      </c>
    </row>
    <row r="223" spans="1:13" x14ac:dyDescent="0.35">
      <c r="A223" t="s">
        <v>1021</v>
      </c>
      <c r="B223" t="s">
        <v>25</v>
      </c>
      <c r="C223" t="s">
        <v>26</v>
      </c>
      <c r="D223" t="s">
        <v>17</v>
      </c>
      <c r="E223" t="s">
        <v>997</v>
      </c>
      <c r="F223" t="s">
        <v>864</v>
      </c>
      <c r="G223" t="s">
        <v>1022</v>
      </c>
      <c r="H223" t="s">
        <v>1023</v>
      </c>
      <c r="I223" t="s">
        <v>1024</v>
      </c>
      <c r="J223" t="s">
        <v>1025</v>
      </c>
      <c r="K223" t="str">
        <f>HYPERLINK("https://www.ebi.ac.uk/ena/browser/view/ERR14660784","ERR14660784")</f>
        <v>ERR14660784</v>
      </c>
      <c r="L223" t="str">
        <f>HYPERLINK("https://www.ebi.ac.uk/ena/browser/view/GCA_965182925","GCA_965182925")</f>
        <v>GCA_965182925</v>
      </c>
      <c r="M223" t="str">
        <f>HYPERLINK("https://www.ncbi.nlm.nih.gov/datasets/genome/GCA_965182925","CBCYNG010000001-CBCYNG010000093")</f>
        <v>CBCYNG010000001-CBCYNG010000093</v>
      </c>
    </row>
    <row r="224" spans="1:13" x14ac:dyDescent="0.35">
      <c r="A224" t="s">
        <v>1026</v>
      </c>
      <c r="B224" t="s">
        <v>25</v>
      </c>
      <c r="C224" t="s">
        <v>26</v>
      </c>
      <c r="D224" t="s">
        <v>17</v>
      </c>
      <c r="E224" t="s">
        <v>997</v>
      </c>
      <c r="F224" t="s">
        <v>864</v>
      </c>
      <c r="G224" t="s">
        <v>1022</v>
      </c>
      <c r="H224" t="s">
        <v>1027</v>
      </c>
      <c r="I224" t="s">
        <v>1028</v>
      </c>
      <c r="J224" t="s">
        <v>1029</v>
      </c>
      <c r="K224" t="str">
        <f>HYPERLINK("https://www.ebi.ac.uk/ena/browser/view/ERR14660785","ERR14660785")</f>
        <v>ERR14660785</v>
      </c>
      <c r="L224" t="str">
        <f>HYPERLINK("https://www.ebi.ac.uk/ena/browser/view/GCA_965182325","GCA_965182325")</f>
        <v>GCA_965182325</v>
      </c>
      <c r="M224" t="str">
        <f>HYPERLINK("https://www.ncbi.nlm.nih.gov/datasets/genome/GCA_965182325","CBCYKZ010000001-CBCYKZ010000085")</f>
        <v>CBCYKZ010000001-CBCYKZ010000085</v>
      </c>
    </row>
    <row r="225" spans="1:13" x14ac:dyDescent="0.35">
      <c r="A225" t="s">
        <v>1030</v>
      </c>
      <c r="B225" t="s">
        <v>25</v>
      </c>
      <c r="C225" t="s">
        <v>26</v>
      </c>
      <c r="D225" t="s">
        <v>32</v>
      </c>
      <c r="E225" t="s">
        <v>997</v>
      </c>
      <c r="F225" t="s">
        <v>864</v>
      </c>
      <c r="G225" t="s">
        <v>1022</v>
      </c>
      <c r="H225" t="s">
        <v>1031</v>
      </c>
      <c r="I225" t="s">
        <v>1032</v>
      </c>
      <c r="J225" t="s">
        <v>1033</v>
      </c>
      <c r="K225" t="str">
        <f>HYPERLINK("https://www.ebi.ac.uk/ena/browser/view/ERR14660786","ERR14660786")</f>
        <v>ERR14660786</v>
      </c>
      <c r="L225" t="str">
        <f>HYPERLINK("https://www.ebi.ac.uk/ena/browser/view/GCA_965182315","GCA_965182315")</f>
        <v>GCA_965182315</v>
      </c>
      <c r="M225" t="str">
        <f>HYPERLINK("https://www.ncbi.nlm.nih.gov/datasets/genome/GCA_965182315","CBCYKX010000001-CBCYKX010000084")</f>
        <v>CBCYKX010000001-CBCYKX010000084</v>
      </c>
    </row>
    <row r="226" spans="1:13" x14ac:dyDescent="0.35">
      <c r="A226" t="s">
        <v>1034</v>
      </c>
      <c r="B226" t="s">
        <v>25</v>
      </c>
      <c r="C226" t="s">
        <v>174</v>
      </c>
      <c r="D226" t="s">
        <v>32</v>
      </c>
      <c r="E226" t="s">
        <v>1035</v>
      </c>
      <c r="F226" t="s">
        <v>864</v>
      </c>
      <c r="G226" t="s">
        <v>1036</v>
      </c>
      <c r="H226" t="s">
        <v>1037</v>
      </c>
      <c r="I226" t="s">
        <v>1038</v>
      </c>
      <c r="J226" t="s">
        <v>1039</v>
      </c>
      <c r="K226" t="str">
        <f>HYPERLINK("https://www.ebi.ac.uk/ena/browser/view/ERR14660883","ERR14660883")</f>
        <v>ERR14660883</v>
      </c>
      <c r="L226" t="str">
        <f>HYPERLINK("https://www.ebi.ac.uk/ena/browser/view/GCA_965181975","GCA_965181975")</f>
        <v>GCA_965181975</v>
      </c>
      <c r="M226" t="str">
        <f>HYPERLINK("https://www.ncbi.nlm.nih.gov/datasets/genome/GCA_965181975","CBCYJL010000001-CBCYJL010000055")</f>
        <v>CBCYJL010000001-CBCYJL010000055</v>
      </c>
    </row>
    <row r="227" spans="1:13" x14ac:dyDescent="0.35">
      <c r="A227" t="s">
        <v>1040</v>
      </c>
      <c r="B227" t="s">
        <v>25</v>
      </c>
      <c r="C227" t="s">
        <v>174</v>
      </c>
      <c r="D227" t="s">
        <v>32</v>
      </c>
      <c r="E227" t="s">
        <v>1041</v>
      </c>
      <c r="F227" t="s">
        <v>864</v>
      </c>
      <c r="G227" t="s">
        <v>1042</v>
      </c>
      <c r="H227" t="s">
        <v>1043</v>
      </c>
      <c r="I227" t="s">
        <v>1044</v>
      </c>
      <c r="J227" t="s">
        <v>1045</v>
      </c>
      <c r="K227" t="str">
        <f>HYPERLINK("https://www.ebi.ac.uk/ena/browser/view/ERR14660864","ERR14660864")</f>
        <v>ERR14660864</v>
      </c>
      <c r="L227" t="str">
        <f>HYPERLINK("https://www.ebi.ac.uk/ena/browser/view/GCA_965182275","GCA_965182275")</f>
        <v>GCA_965182275</v>
      </c>
      <c r="M227" t="str">
        <f>HYPERLINK("https://www.ncbi.nlm.nih.gov/datasets/genome/GCA_965182275","CBCYKU010000001-CBCYKU010000080")</f>
        <v>CBCYKU010000001-CBCYKU010000080</v>
      </c>
    </row>
    <row r="228" spans="1:13" x14ac:dyDescent="0.35">
      <c r="A228" t="s">
        <v>1046</v>
      </c>
      <c r="B228" t="s">
        <v>25</v>
      </c>
      <c r="C228" t="s">
        <v>26</v>
      </c>
      <c r="D228" t="s">
        <v>32</v>
      </c>
      <c r="E228" t="s">
        <v>18</v>
      </c>
      <c r="F228" t="s">
        <v>19</v>
      </c>
      <c r="G228" t="s">
        <v>1047</v>
      </c>
      <c r="H228" t="s">
        <v>1048</v>
      </c>
      <c r="I228" t="s">
        <v>1049</v>
      </c>
      <c r="J228" t="s">
        <v>1050</v>
      </c>
      <c r="K228" t="str">
        <f>HYPERLINK("https://www.ebi.ac.uk/ena/browser/view/ERR14660943","ERR14660943")</f>
        <v>ERR14660943</v>
      </c>
      <c r="L228" t="str">
        <f>HYPERLINK("https://www.ebi.ac.uk/ena/browser/view/GCA_965182405","GCA_965182405")</f>
        <v>GCA_965182405</v>
      </c>
      <c r="M228" t="str">
        <f>HYPERLINK("https://www.ncbi.nlm.nih.gov/datasets/genome/GCA_965182405","CBCYKO010000001-CBCYKO010000123")</f>
        <v>CBCYKO010000001-CBCYKO010000123</v>
      </c>
    </row>
    <row r="229" spans="1:13" x14ac:dyDescent="0.35">
      <c r="A229" t="s">
        <v>1051</v>
      </c>
      <c r="B229" t="s">
        <v>25</v>
      </c>
      <c r="C229" t="s">
        <v>26</v>
      </c>
      <c r="D229" t="s">
        <v>32</v>
      </c>
      <c r="E229" t="s">
        <v>18</v>
      </c>
      <c r="F229" t="s">
        <v>19</v>
      </c>
      <c r="G229" t="s">
        <v>1047</v>
      </c>
      <c r="H229" t="s">
        <v>1052</v>
      </c>
      <c r="I229" t="s">
        <v>1053</v>
      </c>
      <c r="J229" t="s">
        <v>1054</v>
      </c>
      <c r="K229" t="str">
        <f>HYPERLINK("https://www.ebi.ac.uk/ena/browser/view/ERR14660929","ERR14660929")</f>
        <v>ERR14660929</v>
      </c>
      <c r="L229" t="str">
        <f>HYPERLINK("https://www.ebi.ac.uk/ena/browser/view/GCA_965182075","GCA_965182075")</f>
        <v>GCA_965182075</v>
      </c>
      <c r="M229" t="str">
        <f>HYPERLINK("https://www.ncbi.nlm.nih.gov/datasets/genome/GCA_965182075","CBCYJR010000001-CBCYJR010000103")</f>
        <v>CBCYJR010000001-CBCYJR010000103</v>
      </c>
    </row>
    <row r="230" spans="1:13" x14ac:dyDescent="0.35">
      <c r="A230" t="s">
        <v>1055</v>
      </c>
      <c r="B230" t="s">
        <v>25</v>
      </c>
      <c r="C230" t="s">
        <v>26</v>
      </c>
      <c r="D230" t="s">
        <v>32</v>
      </c>
      <c r="E230" t="s">
        <v>18</v>
      </c>
      <c r="F230" t="s">
        <v>19</v>
      </c>
      <c r="G230" t="s">
        <v>1047</v>
      </c>
      <c r="H230" t="s">
        <v>1056</v>
      </c>
      <c r="I230" t="s">
        <v>1057</v>
      </c>
      <c r="J230" t="s">
        <v>1058</v>
      </c>
      <c r="K230" t="str">
        <f>HYPERLINK("https://www.ebi.ac.uk/ena/browser/view/ERR14661005","ERR14661005")</f>
        <v>ERR14661005</v>
      </c>
      <c r="L230" t="str">
        <f>HYPERLINK("https://www.ebi.ac.uk/ena/browser/view/GCA_965183145","GCA_965183145")</f>
        <v>GCA_965183145</v>
      </c>
      <c r="M230" t="str">
        <f>HYPERLINK("https://www.ncbi.nlm.nih.gov/datasets/genome/GCA_965183145","CBDABI010000001-CBDABI010000103")</f>
        <v>CBDABI010000001-CBDABI010000103</v>
      </c>
    </row>
    <row r="231" spans="1:13" x14ac:dyDescent="0.35">
      <c r="A231" t="s">
        <v>1059</v>
      </c>
      <c r="B231" t="s">
        <v>25</v>
      </c>
      <c r="C231" t="s">
        <v>26</v>
      </c>
      <c r="D231" t="s">
        <v>32</v>
      </c>
      <c r="E231" t="s">
        <v>18</v>
      </c>
      <c r="F231" t="s">
        <v>19</v>
      </c>
      <c r="G231" t="s">
        <v>133</v>
      </c>
      <c r="H231" t="s">
        <v>1060</v>
      </c>
      <c r="I231" t="s">
        <v>1061</v>
      </c>
      <c r="J231" t="s">
        <v>1062</v>
      </c>
      <c r="K231" t="str">
        <f>HYPERLINK("https://www.ebi.ac.uk/ena/browser/view/ERR14660990","ERR14660990")</f>
        <v>ERR14660990</v>
      </c>
      <c r="L231" t="str">
        <f>HYPERLINK("https://www.ebi.ac.uk/ena/browser/view/GCA_965181455","GCA_965181455")</f>
        <v>GCA_965181455</v>
      </c>
      <c r="M231" t="str">
        <f>HYPERLINK("https://www.ncbi.nlm.nih.gov/datasets/genome/GCA_965181455","CBCYHK010000001-CBCYHK010000105")</f>
        <v>CBCYHK010000001-CBCYHK010000105</v>
      </c>
    </row>
    <row r="232" spans="1:13" x14ac:dyDescent="0.35">
      <c r="A232" t="s">
        <v>1063</v>
      </c>
      <c r="B232" t="s">
        <v>25</v>
      </c>
      <c r="C232" t="s">
        <v>26</v>
      </c>
      <c r="D232" t="s">
        <v>32</v>
      </c>
      <c r="E232" t="s">
        <v>54</v>
      </c>
      <c r="F232" t="s">
        <v>19</v>
      </c>
      <c r="G232" t="s">
        <v>1064</v>
      </c>
      <c r="H232" t="s">
        <v>1065</v>
      </c>
      <c r="I232" t="s">
        <v>1066</v>
      </c>
      <c r="J232" t="s">
        <v>1067</v>
      </c>
      <c r="K232" t="str">
        <f>HYPERLINK("https://www.ebi.ac.uk/ena/browser/view/ERR14660958","ERR14660958")</f>
        <v>ERR14660958</v>
      </c>
      <c r="L232" t="str">
        <f>HYPERLINK("https://www.ebi.ac.uk/ena/browser/view/GCA_965180495","GCA_965180495")</f>
        <v>GCA_965180495</v>
      </c>
      <c r="M232" t="str">
        <f>HYPERLINK("https://www.ncbi.nlm.nih.gov/datasets/genome/GCA_965180495","CBCYDL010000001-CBCYDL010000111")</f>
        <v>CBCYDL010000001-CBCYDL010000111</v>
      </c>
    </row>
    <row r="233" spans="1:13" x14ac:dyDescent="0.35">
      <c r="A233" t="s">
        <v>1068</v>
      </c>
      <c r="B233" t="s">
        <v>25</v>
      </c>
      <c r="C233" t="s">
        <v>26</v>
      </c>
      <c r="D233" t="s">
        <v>32</v>
      </c>
      <c r="E233" t="s">
        <v>54</v>
      </c>
      <c r="F233" t="s">
        <v>19</v>
      </c>
      <c r="G233" t="s">
        <v>1069</v>
      </c>
      <c r="H233" t="s">
        <v>1070</v>
      </c>
      <c r="I233" t="s">
        <v>1071</v>
      </c>
      <c r="J233" t="s">
        <v>1072</v>
      </c>
      <c r="K233" t="str">
        <f>HYPERLINK("https://www.ebi.ac.uk/ena/browser/view/ERR14660981","ERR14660981")</f>
        <v>ERR14660981</v>
      </c>
      <c r="L233" t="str">
        <f>HYPERLINK("https://www.ebi.ac.uk/ena/browser/view/GCA_965181745","GCA_965181745")</f>
        <v>GCA_965181745</v>
      </c>
      <c r="M233" t="str">
        <f>HYPERLINK("https://www.ncbi.nlm.nih.gov/datasets/genome/GCA_965181745","CBCYIE010000001-CBCYIE010000146")</f>
        <v>CBCYIE010000001-CBCYIE010000146</v>
      </c>
    </row>
    <row r="234" spans="1:13" x14ac:dyDescent="0.35">
      <c r="A234" t="s">
        <v>1073</v>
      </c>
      <c r="B234" t="s">
        <v>25</v>
      </c>
      <c r="C234" t="s">
        <v>26</v>
      </c>
      <c r="D234" t="s">
        <v>32</v>
      </c>
      <c r="E234" t="s">
        <v>94</v>
      </c>
      <c r="F234" t="s">
        <v>77</v>
      </c>
      <c r="G234" t="s">
        <v>1074</v>
      </c>
      <c r="H234" t="s">
        <v>1075</v>
      </c>
      <c r="I234" t="s">
        <v>1076</v>
      </c>
      <c r="J234" t="s">
        <v>1077</v>
      </c>
      <c r="K234" t="str">
        <f>HYPERLINK("https://www.ebi.ac.uk/ena/browser/view/ERR14660942","ERR14660942")</f>
        <v>ERR14660942</v>
      </c>
      <c r="L234" t="str">
        <f>HYPERLINK("https://www.ebi.ac.uk/ena/browser/view/GCA_965180695","GCA_965180695")</f>
        <v>GCA_965180695</v>
      </c>
      <c r="M234" t="str">
        <f>HYPERLINK("https://www.ncbi.nlm.nih.gov/datasets/genome/GCA_965180695","CBCYDQ010000001-CBCYDQ010000072")</f>
        <v>CBCYDQ010000001-CBCYDQ010000072</v>
      </c>
    </row>
    <row r="235" spans="1:13" x14ac:dyDescent="0.35">
      <c r="A235" t="s">
        <v>1078</v>
      </c>
      <c r="B235" t="s">
        <v>25</v>
      </c>
      <c r="C235" t="s">
        <v>26</v>
      </c>
      <c r="D235" t="s">
        <v>32</v>
      </c>
      <c r="E235" t="s">
        <v>94</v>
      </c>
      <c r="F235" t="s">
        <v>77</v>
      </c>
      <c r="G235" t="s">
        <v>1079</v>
      </c>
      <c r="H235" t="s">
        <v>1080</v>
      </c>
      <c r="I235" t="s">
        <v>1081</v>
      </c>
      <c r="J235" t="s">
        <v>1082</v>
      </c>
      <c r="K235" t="str">
        <f>HYPERLINK("https://www.ebi.ac.uk/ena/browser/view/ERR14660928","ERR14660928")</f>
        <v>ERR14660928</v>
      </c>
      <c r="L235" t="str">
        <f>HYPERLINK("https://www.ebi.ac.uk/ena/browser/view/GCA_965180225","GCA_965180225")</f>
        <v>GCA_965180225</v>
      </c>
      <c r="M235" t="str">
        <f>HYPERLINK("https://www.ncbi.nlm.nih.gov/datasets/genome/GCA_965180225","CBCYAY010000001-CBCYAY010000042")</f>
        <v>CBCYAY010000001-CBCYAY010000042</v>
      </c>
    </row>
    <row r="236" spans="1:13" x14ac:dyDescent="0.35">
      <c r="A236" t="s">
        <v>1083</v>
      </c>
      <c r="B236" t="s">
        <v>25</v>
      </c>
      <c r="C236" t="s">
        <v>26</v>
      </c>
      <c r="D236" t="s">
        <v>32</v>
      </c>
      <c r="E236" t="s">
        <v>94</v>
      </c>
      <c r="F236" t="s">
        <v>77</v>
      </c>
      <c r="G236" t="s">
        <v>123</v>
      </c>
      <c r="H236" t="s">
        <v>1084</v>
      </c>
      <c r="I236" t="s">
        <v>1085</v>
      </c>
      <c r="J236" t="s">
        <v>1086</v>
      </c>
      <c r="K236" t="str">
        <f>HYPERLINK("https://www.ebi.ac.uk/ena/browser/view/ERR14660963","ERR14660963")</f>
        <v>ERR14660963</v>
      </c>
      <c r="L236" t="str">
        <f>HYPERLINK("https://www.ebi.ac.uk/ena/browser/view/GCA_965181045","GCA_965181045")</f>
        <v>GCA_965181045</v>
      </c>
      <c r="M236" t="str">
        <f>HYPERLINK("https://www.ncbi.nlm.nih.gov/datasets/genome/GCA_965181045","CBCYFC010000001-CBCYFC010000081")</f>
        <v>CBCYFC010000001-CBCYFC010000081</v>
      </c>
    </row>
    <row r="237" spans="1:13" x14ac:dyDescent="0.35">
      <c r="A237" t="s">
        <v>1087</v>
      </c>
      <c r="B237" t="s">
        <v>25</v>
      </c>
      <c r="C237" t="s">
        <v>26</v>
      </c>
      <c r="D237" t="s">
        <v>32</v>
      </c>
      <c r="E237" t="s">
        <v>94</v>
      </c>
      <c r="F237" t="s">
        <v>77</v>
      </c>
      <c r="G237" t="s">
        <v>1074</v>
      </c>
      <c r="H237" t="s">
        <v>1088</v>
      </c>
      <c r="I237" t="s">
        <v>1089</v>
      </c>
      <c r="J237" t="s">
        <v>1090</v>
      </c>
      <c r="K237" t="str">
        <f>HYPERLINK("https://www.ebi.ac.uk/ena/browser/view/ERR14660994","ERR14660994")</f>
        <v>ERR14660994</v>
      </c>
      <c r="L237" t="str">
        <f>HYPERLINK("https://www.ebi.ac.uk/ena/browser/view/GCA_965181435","GCA_965181435")</f>
        <v>GCA_965181435</v>
      </c>
      <c r="M237" t="str">
        <f>HYPERLINK("https://www.ncbi.nlm.nih.gov/datasets/genome/GCA_965181435","CBCYGE010000001-CBCYGE010000081")</f>
        <v>CBCYGE010000001-CBCYGE010000081</v>
      </c>
    </row>
    <row r="238" spans="1:13" x14ac:dyDescent="0.35">
      <c r="A238" t="s">
        <v>1091</v>
      </c>
      <c r="B238" t="s">
        <v>25</v>
      </c>
      <c r="C238" t="s">
        <v>26</v>
      </c>
      <c r="D238" t="s">
        <v>32</v>
      </c>
      <c r="E238" t="s">
        <v>180</v>
      </c>
      <c r="F238" t="s">
        <v>77</v>
      </c>
      <c r="G238" t="s">
        <v>181</v>
      </c>
      <c r="H238" t="s">
        <v>1092</v>
      </c>
      <c r="I238" t="s">
        <v>1093</v>
      </c>
      <c r="J238" t="s">
        <v>1094</v>
      </c>
      <c r="K238" t="str">
        <f>HYPERLINK("https://www.ebi.ac.uk/ena/browser/view/ERR14660987","ERR14660987")</f>
        <v>ERR14660987</v>
      </c>
      <c r="L238" t="str">
        <f>HYPERLINK("https://www.ebi.ac.uk/ena/browser/view/GCA_965182525","GCA_965182525")</f>
        <v>GCA_965182525</v>
      </c>
      <c r="M238" t="str">
        <f>HYPERLINK("https://www.ncbi.nlm.nih.gov/datasets/genome/GCA_965182525","CBCYLH010000001-CBCYLH010000090")</f>
        <v>CBCYLH010000001-CBCYLH010000090</v>
      </c>
    </row>
    <row r="239" spans="1:13" x14ac:dyDescent="0.35">
      <c r="A239" t="s">
        <v>1095</v>
      </c>
      <c r="B239" t="s">
        <v>25</v>
      </c>
      <c r="C239" t="s">
        <v>26</v>
      </c>
      <c r="D239" t="s">
        <v>32</v>
      </c>
      <c r="E239" t="s">
        <v>180</v>
      </c>
      <c r="F239" t="s">
        <v>77</v>
      </c>
      <c r="G239" t="s">
        <v>181</v>
      </c>
      <c r="H239" t="s">
        <v>1096</v>
      </c>
      <c r="I239" t="s">
        <v>1097</v>
      </c>
      <c r="J239" t="s">
        <v>1098</v>
      </c>
      <c r="K239" t="str">
        <f>HYPERLINK("https://www.ebi.ac.uk/ena/browser/view/ERR14660986","ERR14660986")</f>
        <v>ERR14660986</v>
      </c>
      <c r="L239" t="str">
        <f>HYPERLINK("https://www.ebi.ac.uk/ena/browser/view/GCA_965180845","GCA_965180845")</f>
        <v>GCA_965180845</v>
      </c>
      <c r="M239" t="str">
        <f>HYPERLINK("https://www.ncbi.nlm.nih.gov/datasets/genome/GCA_965180845","CBCYEM010000001-CBCYEM010000089")</f>
        <v>CBCYEM010000001-CBCYEM010000089</v>
      </c>
    </row>
    <row r="240" spans="1:13" x14ac:dyDescent="0.35">
      <c r="A240" t="s">
        <v>1099</v>
      </c>
      <c r="B240" t="s">
        <v>15</v>
      </c>
      <c r="C240" t="s">
        <v>16</v>
      </c>
      <c r="D240" t="s">
        <v>32</v>
      </c>
      <c r="E240" t="s">
        <v>190</v>
      </c>
      <c r="F240" t="s">
        <v>191</v>
      </c>
      <c r="G240" t="s">
        <v>1100</v>
      </c>
      <c r="H240" t="s">
        <v>1101</v>
      </c>
      <c r="I240" t="s">
        <v>1102</v>
      </c>
      <c r="J240" t="s">
        <v>1103</v>
      </c>
      <c r="K240" t="str">
        <f>HYPERLINK("https://www.ebi.ac.uk/ena/browser/view/ERR2538210","ERR2538210")</f>
        <v>ERR2538210</v>
      </c>
      <c r="L240" t="str">
        <f>HYPERLINK("https://www.ebi.ac.uk/ena/browser/view/GCA_965183475","GCA_965183475")</f>
        <v>GCA_965183475</v>
      </c>
      <c r="M240" t="str">
        <f>HYPERLINK("https://www.ncbi.nlm.nih.gov/datasets/genome/GCA_965183475","CBDACF010000001-CBDACF010000132")</f>
        <v>CBDACF010000001-CBDACF010000132</v>
      </c>
    </row>
    <row r="241" spans="1:13" x14ac:dyDescent="0.35">
      <c r="A241" t="s">
        <v>1104</v>
      </c>
      <c r="B241" t="s">
        <v>15</v>
      </c>
      <c r="C241" t="s">
        <v>16</v>
      </c>
      <c r="D241" t="s">
        <v>32</v>
      </c>
      <c r="E241" t="s">
        <v>190</v>
      </c>
      <c r="F241" t="s">
        <v>191</v>
      </c>
      <c r="G241" t="s">
        <v>221</v>
      </c>
      <c r="H241" t="s">
        <v>1105</v>
      </c>
      <c r="I241" t="s">
        <v>1106</v>
      </c>
      <c r="J241" t="s">
        <v>1107</v>
      </c>
      <c r="K241" t="str">
        <f>HYPERLINK("https://www.ebi.ac.uk/ena/browser/view/ERR2538197","ERR2538197")</f>
        <v>ERR2538197</v>
      </c>
      <c r="L241" t="str">
        <f>HYPERLINK("https://www.ebi.ac.uk/ena/browser/view/GCA_965180095","GCA_965180095")</f>
        <v>GCA_965180095</v>
      </c>
      <c r="M241" t="str">
        <f>HYPERLINK("https://www.ncbi.nlm.nih.gov/datasets/genome/GCA_965180095","CBCYBY010000001-CBCYBY010000184")</f>
        <v>CBCYBY010000001-CBCYBY010000184</v>
      </c>
    </row>
    <row r="242" spans="1:13" x14ac:dyDescent="0.35">
      <c r="A242" t="s">
        <v>1108</v>
      </c>
      <c r="B242" t="s">
        <v>25</v>
      </c>
      <c r="C242" t="s">
        <v>26</v>
      </c>
      <c r="D242" t="s">
        <v>32</v>
      </c>
      <c r="E242" t="s">
        <v>190</v>
      </c>
      <c r="F242" t="s">
        <v>191</v>
      </c>
      <c r="G242" t="s">
        <v>1109</v>
      </c>
      <c r="H242" t="s">
        <v>1110</v>
      </c>
      <c r="I242" t="s">
        <v>1111</v>
      </c>
      <c r="J242" t="s">
        <v>1112</v>
      </c>
      <c r="K242" t="str">
        <f>HYPERLINK("https://www.ebi.ac.uk/ena/browser/view/ERR14660921","ERR14660921")</f>
        <v>ERR14660921</v>
      </c>
      <c r="L242" t="str">
        <f>HYPERLINK("https://www.ebi.ac.uk/ena/browser/view/GCA_965180255","GCA_965180255")</f>
        <v>GCA_965180255</v>
      </c>
      <c r="M242" t="str">
        <f>HYPERLINK("https://www.ncbi.nlm.nih.gov/datasets/genome/GCA_965180255","CBCYBX010000001-CBCYBX010000117")</f>
        <v>CBCYBX010000001-CBCYBX010000117</v>
      </c>
    </row>
    <row r="243" spans="1:13" x14ac:dyDescent="0.35">
      <c r="A243" t="s">
        <v>1113</v>
      </c>
      <c r="B243" t="s">
        <v>15</v>
      </c>
      <c r="C243" t="s">
        <v>16</v>
      </c>
      <c r="D243" t="s">
        <v>32</v>
      </c>
      <c r="E243" t="s">
        <v>190</v>
      </c>
      <c r="F243" t="s">
        <v>191</v>
      </c>
      <c r="G243" t="s">
        <v>354</v>
      </c>
      <c r="H243" t="s">
        <v>1114</v>
      </c>
      <c r="I243" t="s">
        <v>1115</v>
      </c>
      <c r="J243" t="s">
        <v>1116</v>
      </c>
      <c r="K243" t="str">
        <f>HYPERLINK("https://www.ebi.ac.uk/ena/browser/view/ERR2538201","ERR2538201")</f>
        <v>ERR2538201</v>
      </c>
      <c r="L243" t="str">
        <f>HYPERLINK("https://www.ebi.ac.uk/ena/browser/view/GCA_965183515","GCA_965183515")</f>
        <v>GCA_965183515</v>
      </c>
      <c r="M243" t="str">
        <f>HYPERLINK("https://www.ncbi.nlm.nih.gov/datasets/genome/GCA_965183515","CBDADD010000001-CBDADD010000226")</f>
        <v>CBDADD010000001-CBDADD010000226</v>
      </c>
    </row>
    <row r="244" spans="1:13" x14ac:dyDescent="0.35">
      <c r="A244" t="s">
        <v>1117</v>
      </c>
      <c r="B244" t="s">
        <v>25</v>
      </c>
      <c r="C244" t="s">
        <v>26</v>
      </c>
      <c r="D244" t="s">
        <v>32</v>
      </c>
      <c r="E244" t="s">
        <v>190</v>
      </c>
      <c r="F244" t="s">
        <v>191</v>
      </c>
      <c r="G244" t="s">
        <v>765</v>
      </c>
      <c r="H244" t="s">
        <v>1118</v>
      </c>
      <c r="I244" t="s">
        <v>1119</v>
      </c>
      <c r="J244" t="s">
        <v>1120</v>
      </c>
      <c r="K244" t="str">
        <f>HYPERLINK("https://www.ebi.ac.uk/ena/browser/view/ERR14660917","ERR14660917")</f>
        <v>ERR14660917</v>
      </c>
      <c r="L244" t="str">
        <f>HYPERLINK("https://www.ebi.ac.uk/ena/browser/view/GCA_965183345","GCA_965183345")</f>
        <v>GCA_965183345</v>
      </c>
      <c r="M244" t="str">
        <f>HYPERLINK("https://www.ncbi.nlm.nih.gov/datasets/genome/GCA_965183345","CBDABN010000001-CBDABN010000141")</f>
        <v>CBDABN010000001-CBDABN010000141</v>
      </c>
    </row>
    <row r="245" spans="1:13" x14ac:dyDescent="0.35">
      <c r="A245" t="s">
        <v>1121</v>
      </c>
      <c r="B245" t="s">
        <v>25</v>
      </c>
      <c r="C245" t="s">
        <v>174</v>
      </c>
      <c r="D245" t="s">
        <v>32</v>
      </c>
      <c r="E245" t="s">
        <v>190</v>
      </c>
      <c r="F245" t="s">
        <v>191</v>
      </c>
      <c r="G245" t="s">
        <v>1122</v>
      </c>
      <c r="H245" t="s">
        <v>1123</v>
      </c>
      <c r="I245" t="s">
        <v>1124</v>
      </c>
      <c r="J245" t="s">
        <v>1125</v>
      </c>
      <c r="K245" t="str">
        <f>HYPERLINK("https://www.ebi.ac.uk/ena/browser/view/ERR14661038","ERR14661038")</f>
        <v>ERR14661038</v>
      </c>
      <c r="L245" t="str">
        <f>HYPERLINK("https://www.ebi.ac.uk/ena/browser/view/GCA_965179675","GCA_965179675")</f>
        <v>GCA_965179675</v>
      </c>
      <c r="M245" t="str">
        <f>HYPERLINK("https://www.ncbi.nlm.nih.gov/datasets/genome/GCA_965179675","CBCXZQ010000001-CBCXZQ010000115")</f>
        <v>CBCXZQ010000001-CBCXZQ010000115</v>
      </c>
    </row>
    <row r="246" spans="1:13" x14ac:dyDescent="0.35">
      <c r="A246" t="s">
        <v>1126</v>
      </c>
      <c r="B246" t="s">
        <v>25</v>
      </c>
      <c r="C246" t="s">
        <v>26</v>
      </c>
      <c r="D246" t="s">
        <v>32</v>
      </c>
      <c r="E246" t="s">
        <v>190</v>
      </c>
      <c r="F246" t="s">
        <v>191</v>
      </c>
      <c r="G246" t="s">
        <v>625</v>
      </c>
      <c r="H246" t="s">
        <v>1127</v>
      </c>
      <c r="I246" t="s">
        <v>1128</v>
      </c>
      <c r="J246" t="s">
        <v>1129</v>
      </c>
      <c r="K246" t="str">
        <f>HYPERLINK("https://www.ebi.ac.uk/ena/browser/view/ERR14660969","ERR14660969")</f>
        <v>ERR14660969</v>
      </c>
      <c r="L246" t="str">
        <f>HYPERLINK("https://www.ebi.ac.uk/ena/browser/view/GCA_965180515","GCA_965180515")</f>
        <v>GCA_965180515</v>
      </c>
      <c r="M246" t="str">
        <f>HYPERLINK("https://www.ncbi.nlm.nih.gov/datasets/genome/GCA_965180515","CBCYCO010000001-CBCYCO010000205")</f>
        <v>CBCYCO010000001-CBCYCO010000205</v>
      </c>
    </row>
    <row r="247" spans="1:13" x14ac:dyDescent="0.35">
      <c r="A247" t="s">
        <v>1130</v>
      </c>
      <c r="B247" t="s">
        <v>15</v>
      </c>
      <c r="C247" t="s">
        <v>16</v>
      </c>
      <c r="D247" t="s">
        <v>32</v>
      </c>
      <c r="E247" t="s">
        <v>190</v>
      </c>
      <c r="F247" t="s">
        <v>191</v>
      </c>
      <c r="G247" t="s">
        <v>216</v>
      </c>
      <c r="H247" t="s">
        <v>1131</v>
      </c>
      <c r="I247" t="s">
        <v>1132</v>
      </c>
      <c r="J247" t="s">
        <v>1133</v>
      </c>
      <c r="K247" t="str">
        <f>HYPERLINK("https://www.ebi.ac.uk/ena/browser/view/ERR2538206","ERR2538206")</f>
        <v>ERR2538206</v>
      </c>
      <c r="L247" t="str">
        <f>HYPERLINK("https://www.ebi.ac.uk/ena/browser/view/GCA_965183165","GCA_965183165")</f>
        <v>GCA_965183165</v>
      </c>
      <c r="M247" t="str">
        <f>HYPERLINK("https://www.ncbi.nlm.nih.gov/datasets/genome/GCA_965183165","CBDABK010000001-CBDABK010000230")</f>
        <v>CBDABK010000001-CBDABK010000230</v>
      </c>
    </row>
    <row r="248" spans="1:13" x14ac:dyDescent="0.35">
      <c r="A248" t="s">
        <v>1134</v>
      </c>
      <c r="B248" t="s">
        <v>15</v>
      </c>
      <c r="C248" t="s">
        <v>16</v>
      </c>
      <c r="D248" t="s">
        <v>32</v>
      </c>
      <c r="E248" t="s">
        <v>190</v>
      </c>
      <c r="F248" t="s">
        <v>191</v>
      </c>
      <c r="G248" t="s">
        <v>1135</v>
      </c>
      <c r="H248" t="s">
        <v>1136</v>
      </c>
      <c r="I248" t="s">
        <v>1137</v>
      </c>
      <c r="J248" t="s">
        <v>1138</v>
      </c>
      <c r="K248" t="str">
        <f>HYPERLINK("https://www.ebi.ac.uk/ena/browser/view/ERR2538194","ERR2538194")</f>
        <v>ERR2538194</v>
      </c>
      <c r="L248" t="str">
        <f>HYPERLINK("https://www.ebi.ac.uk/ena/browser/view/GCA_965180105","GCA_965180105")</f>
        <v>GCA_965180105</v>
      </c>
      <c r="M248" t="str">
        <f>HYPERLINK("https://www.ncbi.nlm.nih.gov/datasets/genome/GCA_965180105","CBCYCK010000001-CBCYCK010000227")</f>
        <v>CBCYCK010000001-CBCYCK010000227</v>
      </c>
    </row>
    <row r="249" spans="1:13" x14ac:dyDescent="0.35">
      <c r="A249" t="s">
        <v>1139</v>
      </c>
      <c r="B249" t="s">
        <v>25</v>
      </c>
      <c r="C249" t="s">
        <v>26</v>
      </c>
      <c r="D249" t="s">
        <v>32</v>
      </c>
      <c r="E249" t="s">
        <v>190</v>
      </c>
      <c r="F249" t="s">
        <v>191</v>
      </c>
      <c r="G249" t="s">
        <v>1140</v>
      </c>
      <c r="H249" t="s">
        <v>1141</v>
      </c>
      <c r="I249" t="s">
        <v>1142</v>
      </c>
      <c r="J249" t="s">
        <v>1143</v>
      </c>
      <c r="K249" t="str">
        <f>HYPERLINK("https://www.ebi.ac.uk/ena/browser/view/ERR14660961","ERR14660961")</f>
        <v>ERR14660961</v>
      </c>
      <c r="L249" t="str">
        <f>HYPERLINK("https://www.ebi.ac.uk/ena/browser/view/GCA_965181055","GCA_965181055")</f>
        <v>GCA_965181055</v>
      </c>
      <c r="M249" t="str">
        <f>HYPERLINK("https://www.ncbi.nlm.nih.gov/datasets/genome/GCA_965181055","CBCYEV010000001-CBCYEV010000043")</f>
        <v>CBCYEV010000001-CBCYEV010000043</v>
      </c>
    </row>
    <row r="250" spans="1:13" x14ac:dyDescent="0.35">
      <c r="A250" t="s">
        <v>1144</v>
      </c>
      <c r="B250" t="s">
        <v>15</v>
      </c>
      <c r="C250" t="s">
        <v>16</v>
      </c>
      <c r="D250" t="s">
        <v>32</v>
      </c>
      <c r="E250" t="s">
        <v>190</v>
      </c>
      <c r="F250" t="s">
        <v>191</v>
      </c>
      <c r="G250" t="s">
        <v>206</v>
      </c>
      <c r="H250" t="s">
        <v>1145</v>
      </c>
      <c r="I250" t="s">
        <v>1146</v>
      </c>
      <c r="J250" t="s">
        <v>1147</v>
      </c>
      <c r="K250" t="str">
        <f>HYPERLINK("https://www.ebi.ac.uk/ena/browser/view/ERR2538199","ERR2538199")</f>
        <v>ERR2538199</v>
      </c>
      <c r="L250" t="str">
        <f>HYPERLINK("https://www.ebi.ac.uk/ena/browser/view/GCA_965179815","GCA_965179815")</f>
        <v>GCA_965179815</v>
      </c>
      <c r="M250" t="str">
        <f>HYPERLINK("https://www.ncbi.nlm.nih.gov/datasets/genome/GCA_965179815","CBCYAM010000001-CBCYAM010000139")</f>
        <v>CBCYAM010000001-CBCYAM010000139</v>
      </c>
    </row>
    <row r="251" spans="1:13" x14ac:dyDescent="0.35">
      <c r="A251" t="s">
        <v>1148</v>
      </c>
      <c r="B251" t="s">
        <v>15</v>
      </c>
      <c r="C251" t="s">
        <v>16</v>
      </c>
      <c r="D251" t="s">
        <v>32</v>
      </c>
      <c r="E251" t="s">
        <v>190</v>
      </c>
      <c r="F251" t="s">
        <v>191</v>
      </c>
      <c r="G251" t="s">
        <v>1149</v>
      </c>
      <c r="H251" t="s">
        <v>1150</v>
      </c>
      <c r="I251" t="s">
        <v>1151</v>
      </c>
      <c r="J251" t="s">
        <v>1152</v>
      </c>
      <c r="K251" t="str">
        <f>HYPERLINK("https://www.ebi.ac.uk/ena/browser/view/ERR14660902","ERR14660902")</f>
        <v>ERR14660902</v>
      </c>
      <c r="L251" t="str">
        <f>HYPERLINK("https://www.ebi.ac.uk/ena/browser/view/GCA_965181575","GCA_965181575")</f>
        <v>GCA_965181575</v>
      </c>
      <c r="M251" t="str">
        <f>HYPERLINK("https://www.ncbi.nlm.nih.gov/datasets/genome/GCA_965181575","CBCYHH010000001-CBCYHH010000104")</f>
        <v>CBCYHH010000001-CBCYHH010000104</v>
      </c>
    </row>
    <row r="252" spans="1:13" x14ac:dyDescent="0.35">
      <c r="A252" t="s">
        <v>1153</v>
      </c>
      <c r="B252" t="s">
        <v>25</v>
      </c>
      <c r="C252" t="s">
        <v>26</v>
      </c>
      <c r="D252" t="s">
        <v>32</v>
      </c>
      <c r="E252" t="s">
        <v>190</v>
      </c>
      <c r="F252" t="s">
        <v>191</v>
      </c>
      <c r="G252" t="s">
        <v>1154</v>
      </c>
      <c r="H252" t="s">
        <v>1155</v>
      </c>
      <c r="I252" t="s">
        <v>1156</v>
      </c>
      <c r="J252" t="s">
        <v>1157</v>
      </c>
      <c r="K252" t="str">
        <f>HYPERLINK("https://www.ebi.ac.uk/ena/browser/view/ERR14660975","ERR14660975")</f>
        <v>ERR14660975</v>
      </c>
      <c r="L252" t="str">
        <f>HYPERLINK("https://www.ebi.ac.uk/ena/browser/view/GCA_965182615","GCA_965182615")</f>
        <v>GCA_965182615</v>
      </c>
      <c r="M252" t="str">
        <f>HYPERLINK("https://www.ncbi.nlm.nih.gov/datasets/genome/GCA_965182615","CBCYKJ010000001-CBCYKJ010000064")</f>
        <v>CBCYKJ010000001-CBCYKJ010000064</v>
      </c>
    </row>
    <row r="253" spans="1:13" x14ac:dyDescent="0.35">
      <c r="A253" t="s">
        <v>1158</v>
      </c>
      <c r="B253" t="s">
        <v>25</v>
      </c>
      <c r="C253" t="s">
        <v>26</v>
      </c>
      <c r="D253" t="s">
        <v>32</v>
      </c>
      <c r="E253" t="s">
        <v>190</v>
      </c>
      <c r="F253" t="s">
        <v>191</v>
      </c>
      <c r="G253" t="s">
        <v>483</v>
      </c>
      <c r="H253" t="s">
        <v>1159</v>
      </c>
      <c r="I253" t="s">
        <v>1160</v>
      </c>
      <c r="J253" t="s">
        <v>1161</v>
      </c>
      <c r="K253" t="str">
        <f>HYPERLINK("https://www.ebi.ac.uk/ena/browser/view/ERR14661006","ERR14661006")</f>
        <v>ERR14661006</v>
      </c>
      <c r="L253" t="str">
        <f>HYPERLINK("https://www.ebi.ac.uk/ena/browser/view/GCA_965181845","GCA_965181845")</f>
        <v>GCA_965181845</v>
      </c>
      <c r="M253" t="str">
        <f>HYPERLINK("https://www.ncbi.nlm.nih.gov/datasets/genome/GCA_965181845","CBCYID010000001-CBCYID010000122")</f>
        <v>CBCYID010000001-CBCYID010000122</v>
      </c>
    </row>
    <row r="254" spans="1:13" x14ac:dyDescent="0.35">
      <c r="A254" t="s">
        <v>1162</v>
      </c>
      <c r="B254" t="s">
        <v>15</v>
      </c>
      <c r="C254" t="s">
        <v>16</v>
      </c>
      <c r="D254" t="s">
        <v>32</v>
      </c>
      <c r="E254" t="s">
        <v>190</v>
      </c>
      <c r="F254" t="s">
        <v>191</v>
      </c>
      <c r="G254" t="s">
        <v>206</v>
      </c>
      <c r="H254" t="s">
        <v>1163</v>
      </c>
      <c r="I254" t="s">
        <v>1164</v>
      </c>
      <c r="J254" t="s">
        <v>1165</v>
      </c>
      <c r="K254" t="str">
        <f>HYPERLINK("https://www.ebi.ac.uk/ena/browser/view/ERR14660915","ERR14660915")</f>
        <v>ERR14660915</v>
      </c>
      <c r="L254" t="str">
        <f>HYPERLINK("https://www.ebi.ac.uk/ena/browser/view/GCA_965180285","GCA_965180285")</f>
        <v>GCA_965180285</v>
      </c>
      <c r="M254" t="str">
        <f>HYPERLINK("https://www.ncbi.nlm.nih.gov/datasets/genome/GCA_965180285","CBCYBR010000001-CBCYBR010000118")</f>
        <v>CBCYBR010000001-CBCYBR010000118</v>
      </c>
    </row>
    <row r="255" spans="1:13" x14ac:dyDescent="0.35">
      <c r="A255" t="s">
        <v>1166</v>
      </c>
      <c r="B255" t="s">
        <v>15</v>
      </c>
      <c r="C255" t="s">
        <v>16</v>
      </c>
      <c r="D255" t="s">
        <v>32</v>
      </c>
      <c r="E255" t="s">
        <v>190</v>
      </c>
      <c r="F255" t="s">
        <v>191</v>
      </c>
      <c r="G255" t="s">
        <v>206</v>
      </c>
      <c r="H255" t="s">
        <v>1167</v>
      </c>
      <c r="I255" t="s">
        <v>1168</v>
      </c>
      <c r="J255" t="s">
        <v>1169</v>
      </c>
      <c r="K255" t="str">
        <f>HYPERLINK("https://www.ebi.ac.uk/ena/browser/view/ERR14660896","ERR14660896")</f>
        <v>ERR14660896</v>
      </c>
      <c r="L255" t="str">
        <f>HYPERLINK("https://www.ebi.ac.uk/ena/browser/view/GCA_965179985","GCA_965179985")</f>
        <v>GCA_965179985</v>
      </c>
      <c r="M255" t="str">
        <f>HYPERLINK("https://www.ncbi.nlm.nih.gov/datasets/genome/GCA_965179985","CBCYBF010000001-CBCYBF010000115")</f>
        <v>CBCYBF010000001-CBCYBF010000115</v>
      </c>
    </row>
    <row r="256" spans="1:13" x14ac:dyDescent="0.35">
      <c r="A256" t="s">
        <v>1170</v>
      </c>
      <c r="B256" t="s">
        <v>25</v>
      </c>
      <c r="C256" t="s">
        <v>174</v>
      </c>
      <c r="D256" t="s">
        <v>32</v>
      </c>
      <c r="E256" t="s">
        <v>190</v>
      </c>
      <c r="F256" t="s">
        <v>191</v>
      </c>
      <c r="G256" t="s">
        <v>630</v>
      </c>
      <c r="H256" t="s">
        <v>1171</v>
      </c>
      <c r="I256" t="s">
        <v>1172</v>
      </c>
      <c r="J256" t="s">
        <v>1173</v>
      </c>
      <c r="K256" t="str">
        <f>HYPERLINK("https://www.ebi.ac.uk/ena/browser/view/ERR14661010","ERR14661010")</f>
        <v>ERR14661010</v>
      </c>
      <c r="L256" t="str">
        <f>HYPERLINK("https://www.ebi.ac.uk/ena/browser/view/GCA_965181815","GCA_965181815")</f>
        <v>GCA_965181815</v>
      </c>
      <c r="M256" t="str">
        <f>HYPERLINK("https://www.ncbi.nlm.nih.gov/datasets/genome/GCA_965181815","CBCYIB010000001-CBCYIB010000082")</f>
        <v>CBCYIB010000001-CBCYIB010000082</v>
      </c>
    </row>
    <row r="257" spans="1:13" x14ac:dyDescent="0.35">
      <c r="A257" t="s">
        <v>1174</v>
      </c>
      <c r="B257" t="s">
        <v>25</v>
      </c>
      <c r="C257" t="s">
        <v>26</v>
      </c>
      <c r="D257" t="s">
        <v>32</v>
      </c>
      <c r="E257" t="s">
        <v>190</v>
      </c>
      <c r="F257" t="s">
        <v>191</v>
      </c>
      <c r="G257" t="s">
        <v>630</v>
      </c>
      <c r="H257" t="s">
        <v>1175</v>
      </c>
      <c r="I257" t="s">
        <v>1176</v>
      </c>
      <c r="J257" t="s">
        <v>1177</v>
      </c>
      <c r="K257" t="str">
        <f>HYPERLINK("https://www.ebi.ac.uk/ena/browser/view/ERR14660970","ERR14660970")</f>
        <v>ERR14660970</v>
      </c>
      <c r="L257" t="str">
        <f>HYPERLINK("https://www.ebi.ac.uk/ena/browser/view/GCA_965182585","GCA_965182585")</f>
        <v>GCA_965182585</v>
      </c>
      <c r="M257" t="str">
        <f>HYPERLINK("https://www.ncbi.nlm.nih.gov/datasets/genome/GCA_965182585","CBCYKL010000001-CBCYKL010000071")</f>
        <v>CBCYKL010000001-CBCYKL010000071</v>
      </c>
    </row>
    <row r="258" spans="1:13" x14ac:dyDescent="0.35">
      <c r="A258" t="s">
        <v>1178</v>
      </c>
      <c r="B258" t="s">
        <v>25</v>
      </c>
      <c r="C258" t="s">
        <v>26</v>
      </c>
      <c r="D258" t="s">
        <v>32</v>
      </c>
      <c r="E258" t="s">
        <v>190</v>
      </c>
      <c r="F258" t="s">
        <v>191</v>
      </c>
      <c r="G258" t="s">
        <v>221</v>
      </c>
      <c r="H258" t="s">
        <v>1179</v>
      </c>
      <c r="I258" t="s">
        <v>1180</v>
      </c>
      <c r="J258" t="s">
        <v>1181</v>
      </c>
      <c r="K258" t="str">
        <f>HYPERLINK("https://www.ebi.ac.uk/ena/browser/view/ERR14660925","ERR14660925")</f>
        <v>ERR14660925</v>
      </c>
      <c r="L258" t="str">
        <f>HYPERLINK("https://www.ebi.ac.uk/ena/browser/view/GCA_965180235","GCA_965180235")</f>
        <v>GCA_965180235</v>
      </c>
      <c r="M258" t="str">
        <f>HYPERLINK("https://www.ncbi.nlm.nih.gov/datasets/genome/GCA_965180235","CBCYBZ010000001-CBCYBZ010000083")</f>
        <v>CBCYBZ010000001-CBCYBZ010000083</v>
      </c>
    </row>
    <row r="259" spans="1:13" x14ac:dyDescent="0.35">
      <c r="A259" t="s">
        <v>1182</v>
      </c>
      <c r="B259" t="s">
        <v>15</v>
      </c>
      <c r="C259" t="s">
        <v>16</v>
      </c>
      <c r="D259" t="s">
        <v>32</v>
      </c>
      <c r="E259" t="s">
        <v>190</v>
      </c>
      <c r="F259" t="s">
        <v>191</v>
      </c>
      <c r="G259" t="s">
        <v>1183</v>
      </c>
      <c r="H259" t="s">
        <v>1184</v>
      </c>
      <c r="I259" t="s">
        <v>1185</v>
      </c>
      <c r="J259" t="s">
        <v>1186</v>
      </c>
      <c r="K259" t="str">
        <f>HYPERLINK("https://www.ebi.ac.uk/ena/browser/view/ERR14660903","ERR14660903")</f>
        <v>ERR14660903</v>
      </c>
      <c r="L259" t="str">
        <f>HYPERLINK("https://www.ebi.ac.uk/ena/browser/view/GCA_965181205","GCA_965181205")</f>
        <v>GCA_965181205</v>
      </c>
      <c r="M259" t="str">
        <f>HYPERLINK("https://www.ncbi.nlm.nih.gov/datasets/genome/GCA_965181205","CBCYFV010000001-CBCYFV010000082")</f>
        <v>CBCYFV010000001-CBCYFV010000082</v>
      </c>
    </row>
    <row r="260" spans="1:13" x14ac:dyDescent="0.35">
      <c r="A260" t="s">
        <v>1187</v>
      </c>
      <c r="B260" t="s">
        <v>15</v>
      </c>
      <c r="C260" t="s">
        <v>16</v>
      </c>
      <c r="D260" t="s">
        <v>32</v>
      </c>
      <c r="E260" t="s">
        <v>190</v>
      </c>
      <c r="F260" t="s">
        <v>191</v>
      </c>
      <c r="G260" t="s">
        <v>1188</v>
      </c>
      <c r="H260" t="s">
        <v>1189</v>
      </c>
      <c r="I260" t="s">
        <v>1190</v>
      </c>
      <c r="J260" t="s">
        <v>1191</v>
      </c>
      <c r="K260" t="str">
        <f>HYPERLINK("https://www.ebi.ac.uk/ena/browser/view/ERR14660886","ERR14660886")</f>
        <v>ERR14660886</v>
      </c>
      <c r="L260" t="str">
        <f>HYPERLINK("https://www.ebi.ac.uk/ena/browser/view/GCA_965181955","GCA_965181955")</f>
        <v>GCA_965181955</v>
      </c>
      <c r="M260" t="str">
        <f>HYPERLINK("https://www.ncbi.nlm.nih.gov/datasets/genome/GCA_965181955","CBCYJB010000001-CBCYJB010000133")</f>
        <v>CBCYJB010000001-CBCYJB010000133</v>
      </c>
    </row>
    <row r="261" spans="1:13" x14ac:dyDescent="0.35">
      <c r="A261" t="s">
        <v>1192</v>
      </c>
      <c r="B261" t="s">
        <v>15</v>
      </c>
      <c r="C261" t="s">
        <v>16</v>
      </c>
      <c r="D261" t="s">
        <v>32</v>
      </c>
      <c r="E261" t="s">
        <v>190</v>
      </c>
      <c r="F261" t="s">
        <v>191</v>
      </c>
      <c r="G261" t="s">
        <v>1193</v>
      </c>
      <c r="H261" t="s">
        <v>1194</v>
      </c>
      <c r="I261" t="s">
        <v>1195</v>
      </c>
      <c r="J261" t="s">
        <v>1196</v>
      </c>
      <c r="K261" t="str">
        <f>HYPERLINK("https://www.ebi.ac.uk/ena/browser/view/ERR14660893","ERR14660893")</f>
        <v>ERR14660893</v>
      </c>
      <c r="L261" t="str">
        <f>HYPERLINK("https://www.ebi.ac.uk/ena/browser/view/GCA_965183075","GCA_965183075")</f>
        <v>GCA_965183075</v>
      </c>
      <c r="M261" t="str">
        <f>HYPERLINK("https://www.ncbi.nlm.nih.gov/datasets/genome/GCA_965183075","CBDABE010000001-CBDABE010000095")</f>
        <v>CBDABE010000001-CBDABE010000095</v>
      </c>
    </row>
    <row r="262" spans="1:13" x14ac:dyDescent="0.35">
      <c r="A262" t="s">
        <v>1197</v>
      </c>
      <c r="B262" t="s">
        <v>25</v>
      </c>
      <c r="C262" t="s">
        <v>26</v>
      </c>
      <c r="D262" t="s">
        <v>32</v>
      </c>
      <c r="E262" t="s">
        <v>190</v>
      </c>
      <c r="F262" t="s">
        <v>191</v>
      </c>
      <c r="G262" t="s">
        <v>625</v>
      </c>
      <c r="H262" t="s">
        <v>1198</v>
      </c>
      <c r="I262" t="s">
        <v>1199</v>
      </c>
      <c r="J262" t="s">
        <v>1200</v>
      </c>
      <c r="K262" t="str">
        <f>HYPERLINK("https://www.ebi.ac.uk/ena/browser/view/ERR14660972","ERR14660972")</f>
        <v>ERR14660972</v>
      </c>
      <c r="L262" t="str">
        <f>HYPERLINK("https://www.ebi.ac.uk/ena/browser/view/GCA_965181165","GCA_965181165")</f>
        <v>GCA_965181165</v>
      </c>
      <c r="M262" t="str">
        <f>HYPERLINK("https://www.ncbi.nlm.nih.gov/datasets/genome/GCA_965181165","CBCYFP010000001-CBCYFP010000208")</f>
        <v>CBCYFP010000001-CBCYFP010000208</v>
      </c>
    </row>
    <row r="263" spans="1:13" x14ac:dyDescent="0.35">
      <c r="A263" t="s">
        <v>1201</v>
      </c>
      <c r="B263" t="s">
        <v>25</v>
      </c>
      <c r="C263" t="s">
        <v>26</v>
      </c>
      <c r="D263" t="s">
        <v>32</v>
      </c>
      <c r="E263" t="s">
        <v>190</v>
      </c>
      <c r="F263" t="s">
        <v>191</v>
      </c>
      <c r="G263" t="s">
        <v>1202</v>
      </c>
      <c r="H263" t="s">
        <v>1203</v>
      </c>
      <c r="I263" t="s">
        <v>1204</v>
      </c>
      <c r="J263" t="s">
        <v>1205</v>
      </c>
      <c r="K263" t="str">
        <f>HYPERLINK("https://www.ebi.ac.uk/ena/browser/view/ERR14660968","ERR14660968")</f>
        <v>ERR14660968</v>
      </c>
      <c r="L263" t="str">
        <f>HYPERLINK("https://www.ebi.ac.uk/ena/browser/view/GCA_965181025","GCA_965181025")</f>
        <v>GCA_965181025</v>
      </c>
      <c r="M263" t="str">
        <f>HYPERLINK("https://www.ncbi.nlm.nih.gov/datasets/genome/GCA_965181025","CBCYFF010000001-CBCYFF010000075")</f>
        <v>CBCYFF010000001-CBCYFF010000075</v>
      </c>
    </row>
    <row r="264" spans="1:13" x14ac:dyDescent="0.35">
      <c r="A264" t="s">
        <v>1206</v>
      </c>
      <c r="B264" t="s">
        <v>15</v>
      </c>
      <c r="C264" t="s">
        <v>16</v>
      </c>
      <c r="D264" t="s">
        <v>32</v>
      </c>
      <c r="E264" t="s">
        <v>190</v>
      </c>
      <c r="F264" t="s">
        <v>191</v>
      </c>
      <c r="G264" t="s">
        <v>580</v>
      </c>
      <c r="H264" t="s">
        <v>1207</v>
      </c>
      <c r="I264" t="s">
        <v>1208</v>
      </c>
      <c r="J264" t="s">
        <v>1209</v>
      </c>
      <c r="K264" t="str">
        <f>HYPERLINK("https://www.ebi.ac.uk/ena/browser/view/ERR2538196","ERR2538196")</f>
        <v>ERR2538196</v>
      </c>
      <c r="L264" t="str">
        <f>HYPERLINK("https://www.ebi.ac.uk/ena/browser/view/GCA_965179805","GCA_965179805")</f>
        <v>GCA_965179805</v>
      </c>
      <c r="M264" t="str">
        <f>HYPERLINK("https://www.ncbi.nlm.nih.gov/datasets/genome/GCA_965179805","CBCYAP010000001-CBCYAP010000102")</f>
        <v>CBCYAP010000001-CBCYAP010000102</v>
      </c>
    </row>
    <row r="265" spans="1:13" x14ac:dyDescent="0.35">
      <c r="A265" t="s">
        <v>1210</v>
      </c>
      <c r="B265" t="s">
        <v>15</v>
      </c>
      <c r="C265" t="s">
        <v>16</v>
      </c>
      <c r="D265" t="s">
        <v>32</v>
      </c>
      <c r="E265" t="s">
        <v>190</v>
      </c>
      <c r="F265" t="s">
        <v>191</v>
      </c>
      <c r="G265" t="s">
        <v>211</v>
      </c>
      <c r="H265" t="s">
        <v>1211</v>
      </c>
      <c r="I265" t="s">
        <v>1212</v>
      </c>
      <c r="J265" t="s">
        <v>1213</v>
      </c>
      <c r="K265" t="str">
        <f>HYPERLINK("https://www.ebi.ac.uk/ena/browser/view/ERR14660890","ERR14660890")</f>
        <v>ERR14660890</v>
      </c>
      <c r="L265" t="str">
        <f>HYPERLINK("https://www.ebi.ac.uk/ena/browser/view/GCA_965183095","GCA_965183095")</f>
        <v>GCA_965183095</v>
      </c>
      <c r="M265" t="str">
        <f>HYPERLINK("https://www.ncbi.nlm.nih.gov/datasets/genome/GCA_965183095","CBDABF010000001-CBDABF010000113")</f>
        <v>CBDABF010000001-CBDABF010000113</v>
      </c>
    </row>
    <row r="266" spans="1:13" x14ac:dyDescent="0.35">
      <c r="A266" t="s">
        <v>1214</v>
      </c>
      <c r="B266" t="s">
        <v>25</v>
      </c>
      <c r="C266" t="s">
        <v>26</v>
      </c>
      <c r="D266" t="s">
        <v>32</v>
      </c>
      <c r="E266" t="s">
        <v>190</v>
      </c>
      <c r="F266" t="s">
        <v>191</v>
      </c>
      <c r="G266" t="s">
        <v>206</v>
      </c>
      <c r="H266" t="s">
        <v>1215</v>
      </c>
      <c r="I266" t="s">
        <v>1216</v>
      </c>
      <c r="J266" t="s">
        <v>1217</v>
      </c>
      <c r="K266" t="str">
        <f>HYPERLINK("https://www.ebi.ac.uk/ena/browser/view/ERR14660918","ERR14660918")</f>
        <v>ERR14660918</v>
      </c>
      <c r="L266" t="str">
        <f>HYPERLINK("https://www.ebi.ac.uk/ena/browser/view/GCA_965180265","GCA_965180265")</f>
        <v>GCA_965180265</v>
      </c>
      <c r="M266" t="str">
        <f>HYPERLINK("https://www.ncbi.nlm.nih.gov/datasets/genome/GCA_965180265","CBCYBH010000001-CBCYBH010000083")</f>
        <v>CBCYBH010000001-CBCYBH010000083</v>
      </c>
    </row>
    <row r="267" spans="1:13" x14ac:dyDescent="0.35">
      <c r="A267" t="s">
        <v>1218</v>
      </c>
      <c r="B267" t="s">
        <v>25</v>
      </c>
      <c r="C267" t="s">
        <v>26</v>
      </c>
      <c r="D267" t="s">
        <v>32</v>
      </c>
      <c r="E267" t="s">
        <v>190</v>
      </c>
      <c r="F267" t="s">
        <v>191</v>
      </c>
      <c r="G267" t="s">
        <v>483</v>
      </c>
      <c r="H267" t="s">
        <v>1219</v>
      </c>
      <c r="I267" t="s">
        <v>1220</v>
      </c>
      <c r="J267" t="s">
        <v>1221</v>
      </c>
      <c r="K267" t="str">
        <f>HYPERLINK("https://www.ebi.ac.uk/ena/browser/view/ERR14660988","ERR14660988")</f>
        <v>ERR14660988</v>
      </c>
      <c r="L267" t="str">
        <f>HYPERLINK("https://www.ebi.ac.uk/ena/browser/view/GCA_965182515","GCA_965182515")</f>
        <v>GCA_965182515</v>
      </c>
      <c r="M267" t="str">
        <f>HYPERLINK("https://www.ncbi.nlm.nih.gov/datasets/genome/GCA_965182515","CBCYKF010000001-CBCYKF010000107")</f>
        <v>CBCYKF010000001-CBCYKF010000107</v>
      </c>
    </row>
    <row r="268" spans="1:13" x14ac:dyDescent="0.35">
      <c r="A268" t="s">
        <v>1222</v>
      </c>
      <c r="B268" t="s">
        <v>15</v>
      </c>
      <c r="C268" t="s">
        <v>16</v>
      </c>
      <c r="D268" t="s">
        <v>32</v>
      </c>
      <c r="E268" t="s">
        <v>190</v>
      </c>
      <c r="F268" t="s">
        <v>191</v>
      </c>
      <c r="G268" t="s">
        <v>455</v>
      </c>
      <c r="H268" t="s">
        <v>1223</v>
      </c>
      <c r="I268" t="s">
        <v>1224</v>
      </c>
      <c r="J268" t="s">
        <v>1225</v>
      </c>
      <c r="K268" t="str">
        <f>HYPERLINK("https://www.ebi.ac.uk/ena/browser/view/ERR14660910","ERR14660910")</f>
        <v>ERR14660910</v>
      </c>
      <c r="L268" t="str">
        <f>HYPERLINK("https://www.ebi.ac.uk/ena/browser/view/GCA_965180115","GCA_965180115")</f>
        <v>GCA_965180115</v>
      </c>
      <c r="M268" t="str">
        <f>HYPERLINK("https://www.ncbi.nlm.nih.gov/datasets/genome/GCA_965180115","CBCYBM010000001-CBCYBM010000113")</f>
        <v>CBCYBM010000001-CBCYBM010000113</v>
      </c>
    </row>
    <row r="269" spans="1:13" x14ac:dyDescent="0.35">
      <c r="A269" t="s">
        <v>1226</v>
      </c>
      <c r="B269" t="s">
        <v>25</v>
      </c>
      <c r="C269" t="s">
        <v>26</v>
      </c>
      <c r="D269" t="s">
        <v>32</v>
      </c>
      <c r="E269" t="s">
        <v>190</v>
      </c>
      <c r="F269" t="s">
        <v>191</v>
      </c>
      <c r="G269" t="s">
        <v>206</v>
      </c>
      <c r="H269" t="s">
        <v>1227</v>
      </c>
      <c r="I269" t="s">
        <v>1228</v>
      </c>
      <c r="J269" t="s">
        <v>1229</v>
      </c>
      <c r="K269" t="str">
        <f>HYPERLINK("https://www.ebi.ac.uk/ena/browser/view/ERR14660924","ERR14660924")</f>
        <v>ERR14660924</v>
      </c>
      <c r="L269" t="str">
        <f>HYPERLINK("https://www.ebi.ac.uk/ena/browser/view/GCA_965180245","GCA_965180245")</f>
        <v>GCA_965180245</v>
      </c>
      <c r="M269" t="str">
        <f>HYPERLINK("https://www.ncbi.nlm.nih.gov/datasets/genome/GCA_965180245","CBCYCQ010000001-CBCYCQ010000260")</f>
        <v>CBCYCQ010000001-CBCYCQ010000260</v>
      </c>
    </row>
    <row r="270" spans="1:13" x14ac:dyDescent="0.35">
      <c r="A270" t="s">
        <v>1230</v>
      </c>
      <c r="B270" t="s">
        <v>15</v>
      </c>
      <c r="C270" t="s">
        <v>16</v>
      </c>
      <c r="D270" t="s">
        <v>32</v>
      </c>
      <c r="E270" t="s">
        <v>190</v>
      </c>
      <c r="F270" t="s">
        <v>191</v>
      </c>
      <c r="G270" t="s">
        <v>230</v>
      </c>
      <c r="H270" t="s">
        <v>1231</v>
      </c>
      <c r="I270" t="s">
        <v>1232</v>
      </c>
      <c r="J270" t="s">
        <v>1233</v>
      </c>
      <c r="K270" t="str">
        <f>HYPERLINK("https://www.ebi.ac.uk/ena/browser/view/ERR14660899","ERR14660899")</f>
        <v>ERR14660899</v>
      </c>
      <c r="L270" t="str">
        <f>HYPERLINK("https://www.ebi.ac.uk/ena/browser/view/GCA_965181585","GCA_965181585")</f>
        <v>GCA_965181585</v>
      </c>
      <c r="M270" t="str">
        <f>HYPERLINK("https://www.ncbi.nlm.nih.gov/datasets/genome/GCA_965181585","CBCYHN010000001-CBCYHN010000115")</f>
        <v>CBCYHN010000001-CBCYHN010000115</v>
      </c>
    </row>
    <row r="271" spans="1:13" x14ac:dyDescent="0.35">
      <c r="A271" t="s">
        <v>1234</v>
      </c>
      <c r="B271" t="s">
        <v>25</v>
      </c>
      <c r="C271" t="s">
        <v>174</v>
      </c>
      <c r="D271" t="s">
        <v>32</v>
      </c>
      <c r="E271" t="s">
        <v>190</v>
      </c>
      <c r="F271" t="s">
        <v>191</v>
      </c>
      <c r="G271" t="s">
        <v>1235</v>
      </c>
      <c r="H271" t="s">
        <v>1236</v>
      </c>
      <c r="I271" t="s">
        <v>1237</v>
      </c>
      <c r="J271" t="s">
        <v>1238</v>
      </c>
      <c r="K271" t="str">
        <f>HYPERLINK("https://www.ebi.ac.uk/ena/browser/view/ERR14661033","ERR14661033")</f>
        <v>ERR14661033</v>
      </c>
      <c r="L271" t="str">
        <f>HYPERLINK("https://www.ebi.ac.uk/ena/browser/view/GCA_965183655","GCA_965183655")</f>
        <v>GCA_965183655</v>
      </c>
      <c r="M271" t="str">
        <f>HYPERLINK("https://www.ncbi.nlm.nih.gov/datasets/genome/GCA_965183655","CBDACX010000001-CBDACX010000058")</f>
        <v>CBDACX010000001-CBDACX010000058</v>
      </c>
    </row>
    <row r="272" spans="1:13" x14ac:dyDescent="0.35">
      <c r="A272" t="s">
        <v>1239</v>
      </c>
      <c r="B272" t="s">
        <v>25</v>
      </c>
      <c r="C272" t="s">
        <v>26</v>
      </c>
      <c r="D272" t="s">
        <v>32</v>
      </c>
      <c r="E272" t="s">
        <v>190</v>
      </c>
      <c r="F272" t="s">
        <v>191</v>
      </c>
      <c r="G272" t="s">
        <v>1202</v>
      </c>
      <c r="H272" t="s">
        <v>1240</v>
      </c>
      <c r="I272" t="s">
        <v>1241</v>
      </c>
      <c r="J272" t="s">
        <v>1242</v>
      </c>
      <c r="K272" t="str">
        <f>HYPERLINK("https://www.ebi.ac.uk/ena/browser/view/ERR14660967","ERR14660967")</f>
        <v>ERR14660967</v>
      </c>
      <c r="L272" t="str">
        <f>HYPERLINK("https://www.ebi.ac.uk/ena/browser/view/GCA_965180505","GCA_965180505")</f>
        <v>GCA_965180505</v>
      </c>
      <c r="M272" t="str">
        <f>HYPERLINK("https://www.ncbi.nlm.nih.gov/datasets/genome/GCA_965180505","CBCYCY010000001-CBCYCY010000077")</f>
        <v>CBCYCY010000001-CBCYCY010000077</v>
      </c>
    </row>
    <row r="273" spans="1:13" x14ac:dyDescent="0.35">
      <c r="A273" t="s">
        <v>1243</v>
      </c>
      <c r="B273" t="s">
        <v>25</v>
      </c>
      <c r="C273" t="s">
        <v>174</v>
      </c>
      <c r="D273" t="s">
        <v>32</v>
      </c>
      <c r="E273" t="s">
        <v>190</v>
      </c>
      <c r="F273" t="s">
        <v>191</v>
      </c>
      <c r="G273" t="s">
        <v>752</v>
      </c>
      <c r="H273" t="s">
        <v>1244</v>
      </c>
      <c r="I273" t="s">
        <v>1245</v>
      </c>
      <c r="J273" t="s">
        <v>1246</v>
      </c>
      <c r="K273" t="str">
        <f>HYPERLINK("https://www.ebi.ac.uk/ena/browser/view/ERR14661009","ERR14661009")</f>
        <v>ERR14661009</v>
      </c>
      <c r="L273" t="str">
        <f>HYPERLINK("https://www.ebi.ac.uk/ena/browser/view/GCA_965181825","GCA_965181825")</f>
        <v>GCA_965181825</v>
      </c>
      <c r="M273" t="str">
        <f>HYPERLINK("https://www.ncbi.nlm.nih.gov/datasets/genome/GCA_965181825","CBCYIC010000001-CBCYIC010000081")</f>
        <v>CBCYIC010000001-CBCYIC010000081</v>
      </c>
    </row>
    <row r="274" spans="1:13" x14ac:dyDescent="0.35">
      <c r="A274" t="s">
        <v>1247</v>
      </c>
      <c r="B274" t="s">
        <v>25</v>
      </c>
      <c r="C274" t="s">
        <v>174</v>
      </c>
      <c r="D274" t="s">
        <v>32</v>
      </c>
      <c r="E274" t="s">
        <v>190</v>
      </c>
      <c r="F274" t="s">
        <v>191</v>
      </c>
      <c r="G274" t="s">
        <v>133</v>
      </c>
      <c r="H274" t="s">
        <v>1248</v>
      </c>
      <c r="I274" t="s">
        <v>1249</v>
      </c>
      <c r="J274" t="s">
        <v>1250</v>
      </c>
      <c r="K274" t="str">
        <f>HYPERLINK("https://www.ebi.ac.uk/ena/browser/view/ERR14661027","ERR14661027")</f>
        <v>ERR14661027</v>
      </c>
      <c r="L274" t="str">
        <f>HYPERLINK("https://www.ebi.ac.uk/ena/browser/view/GCA_965183705","GCA_965183705")</f>
        <v>GCA_965183705</v>
      </c>
      <c r="M274" t="str">
        <f>HYPERLINK("https://www.ncbi.nlm.nih.gov/datasets/genome/GCA_965183705","CBDADH010000001-CBDADH010000111")</f>
        <v>CBDADH010000001-CBDADH010000111</v>
      </c>
    </row>
    <row r="275" spans="1:13" x14ac:dyDescent="0.35">
      <c r="A275" t="s">
        <v>1251</v>
      </c>
      <c r="B275" t="s">
        <v>25</v>
      </c>
      <c r="C275" t="s">
        <v>174</v>
      </c>
      <c r="D275" t="s">
        <v>32</v>
      </c>
      <c r="E275" t="s">
        <v>190</v>
      </c>
      <c r="F275" t="s">
        <v>191</v>
      </c>
      <c r="G275" t="s">
        <v>585</v>
      </c>
      <c r="H275" t="s">
        <v>1252</v>
      </c>
      <c r="I275" t="s">
        <v>1253</v>
      </c>
      <c r="J275" t="s">
        <v>1254</v>
      </c>
      <c r="K275" t="str">
        <f>HYPERLINK("https://www.ebi.ac.uk/ena/browser/view/ERR14661031","ERR14661031")</f>
        <v>ERR14661031</v>
      </c>
      <c r="L275" t="str">
        <f>HYPERLINK("https://www.ebi.ac.uk/ena/browser/view/GCA_965179955","GCA_965179955")</f>
        <v>GCA_965179955</v>
      </c>
      <c r="M275" t="str">
        <f>HYPERLINK("https://www.ncbi.nlm.nih.gov/datasets/genome/GCA_965179955","CBCYAW010000001-CBCYAW010000151")</f>
        <v>CBCYAW010000001-CBCYAW010000151</v>
      </c>
    </row>
    <row r="276" spans="1:13" x14ac:dyDescent="0.35">
      <c r="A276" t="s">
        <v>1255</v>
      </c>
      <c r="B276" t="s">
        <v>25</v>
      </c>
      <c r="C276" t="s">
        <v>174</v>
      </c>
      <c r="D276" t="s">
        <v>32</v>
      </c>
      <c r="E276" t="s">
        <v>190</v>
      </c>
      <c r="F276" t="s">
        <v>191</v>
      </c>
      <c r="G276" t="s">
        <v>1256</v>
      </c>
      <c r="H276" t="s">
        <v>1257</v>
      </c>
      <c r="I276" t="s">
        <v>1258</v>
      </c>
      <c r="J276" t="s">
        <v>1259</v>
      </c>
      <c r="K276" t="str">
        <f>HYPERLINK("https://www.ebi.ac.uk/ena/browser/view/ERR14661018","ERR14661018")</f>
        <v>ERR14661018</v>
      </c>
      <c r="L276" t="str">
        <f>HYPERLINK("https://www.ebi.ac.uk/ena/browser/view/GCA_965181915","GCA_965181915")</f>
        <v>GCA_965181915</v>
      </c>
      <c r="M276" t="str">
        <f>HYPERLINK("https://www.ncbi.nlm.nih.gov/datasets/genome/GCA_965181915","CBCYIO010000001-CBCYIO010000093")</f>
        <v>CBCYIO010000001-CBCYIO010000093</v>
      </c>
    </row>
    <row r="277" spans="1:13" x14ac:dyDescent="0.35">
      <c r="A277" t="s">
        <v>1260</v>
      </c>
      <c r="B277" t="s">
        <v>15</v>
      </c>
      <c r="C277" t="s">
        <v>16</v>
      </c>
      <c r="D277" t="s">
        <v>32</v>
      </c>
      <c r="E277" t="s">
        <v>190</v>
      </c>
      <c r="F277" t="s">
        <v>191</v>
      </c>
      <c r="G277" t="s">
        <v>133</v>
      </c>
      <c r="H277" t="s">
        <v>1261</v>
      </c>
      <c r="I277" t="s">
        <v>1262</v>
      </c>
      <c r="J277" t="s">
        <v>1263</v>
      </c>
      <c r="K277" t="str">
        <f>HYPERLINK("https://www.ebi.ac.uk/ena/browser/view/ERR14660894","ERR14660894")</f>
        <v>ERR14660894</v>
      </c>
      <c r="L277" t="str">
        <f>HYPERLINK("https://www.ebi.ac.uk/ena/browser/view/GCA_965179995","GCA_965179995")</f>
        <v>GCA_965179995</v>
      </c>
      <c r="M277" t="str">
        <f>HYPERLINK("https://www.ncbi.nlm.nih.gov/datasets/genome/GCA_965179995","CBCYBQ010000001-CBCYBQ010000166")</f>
        <v>CBCYBQ010000001-CBCYBQ010000166</v>
      </c>
    </row>
    <row r="278" spans="1:13" x14ac:dyDescent="0.35">
      <c r="A278" t="s">
        <v>1264</v>
      </c>
      <c r="B278" t="s">
        <v>15</v>
      </c>
      <c r="C278" t="s">
        <v>16</v>
      </c>
      <c r="D278" t="s">
        <v>32</v>
      </c>
      <c r="E278" t="s">
        <v>190</v>
      </c>
      <c r="F278" t="s">
        <v>191</v>
      </c>
      <c r="G278" t="s">
        <v>778</v>
      </c>
      <c r="H278" t="s">
        <v>1265</v>
      </c>
      <c r="I278" t="s">
        <v>1266</v>
      </c>
      <c r="J278" t="s">
        <v>1267</v>
      </c>
      <c r="K278" t="str">
        <f>HYPERLINK("https://www.ebi.ac.uk/ena/browser/view/ERR14660912","ERR14660912")</f>
        <v>ERR14660912</v>
      </c>
      <c r="L278" t="str">
        <f>HYPERLINK("https://www.ebi.ac.uk/ena/browser/view/GCA_965183505","GCA_965183505")</f>
        <v>GCA_965183505</v>
      </c>
      <c r="M278" t="str">
        <f>HYPERLINK("https://www.ncbi.nlm.nih.gov/datasets/genome/GCA_965183505","CBDADA010000001-CBDADA010000184")</f>
        <v>CBDADA010000001-CBDADA010000184</v>
      </c>
    </row>
    <row r="279" spans="1:13" x14ac:dyDescent="0.35">
      <c r="A279" t="s">
        <v>1268</v>
      </c>
      <c r="B279" t="s">
        <v>15</v>
      </c>
      <c r="C279" t="s">
        <v>16</v>
      </c>
      <c r="D279" t="s">
        <v>32</v>
      </c>
      <c r="E279" t="s">
        <v>190</v>
      </c>
      <c r="F279" t="s">
        <v>191</v>
      </c>
      <c r="G279" t="s">
        <v>580</v>
      </c>
      <c r="H279" t="s">
        <v>1269</v>
      </c>
      <c r="I279" t="s">
        <v>1270</v>
      </c>
      <c r="J279" t="s">
        <v>1271</v>
      </c>
      <c r="K279" t="str">
        <f>HYPERLINK("https://www.ebi.ac.uk/ena/browser/view/ERR14660909","ERR14660909")</f>
        <v>ERR14660909</v>
      </c>
      <c r="L279" t="str">
        <f>HYPERLINK("https://www.ebi.ac.uk/ena/browser/view/GCA_965179785","GCA_965179785")</f>
        <v>GCA_965179785</v>
      </c>
      <c r="M279" t="str">
        <f>HYPERLINK("https://www.ncbi.nlm.nih.gov/datasets/genome/GCA_965179785","CBCYAE010000001-CBCYAE010000099")</f>
        <v>CBCYAE010000001-CBCYAE010000099</v>
      </c>
    </row>
    <row r="280" spans="1:13" x14ac:dyDescent="0.35">
      <c r="A280" t="s">
        <v>1272</v>
      </c>
      <c r="B280" t="s">
        <v>15</v>
      </c>
      <c r="C280" t="s">
        <v>16</v>
      </c>
      <c r="D280" t="s">
        <v>32</v>
      </c>
      <c r="E280" t="s">
        <v>190</v>
      </c>
      <c r="F280" t="s">
        <v>191</v>
      </c>
      <c r="G280" t="s">
        <v>206</v>
      </c>
      <c r="H280" t="s">
        <v>1273</v>
      </c>
      <c r="I280" t="s">
        <v>1274</v>
      </c>
      <c r="J280" t="s">
        <v>1275</v>
      </c>
      <c r="K280" t="str">
        <f>HYPERLINK("https://www.ebi.ac.uk/ena/browser/view/ERR14661168","ERR14661168")</f>
        <v>ERR14661168</v>
      </c>
      <c r="L280" t="str">
        <f>HYPERLINK("https://www.ebi.ac.uk/ena/browser/view/GCA_965179715","GCA_965179715")</f>
        <v>GCA_965179715</v>
      </c>
      <c r="M280" t="str">
        <f>HYPERLINK("https://www.ncbi.nlm.nih.gov/datasets/genome/GCA_965179715","CBCYAF010000001-CBCYAF010000149")</f>
        <v>CBCYAF010000001-CBCYAF010000149</v>
      </c>
    </row>
    <row r="281" spans="1:13" x14ac:dyDescent="0.35">
      <c r="A281" t="s">
        <v>1276</v>
      </c>
      <c r="B281" t="s">
        <v>25</v>
      </c>
      <c r="C281" t="s">
        <v>174</v>
      </c>
      <c r="D281" t="s">
        <v>32</v>
      </c>
      <c r="E281" t="s">
        <v>190</v>
      </c>
      <c r="F281" t="s">
        <v>191</v>
      </c>
      <c r="G281" t="s">
        <v>221</v>
      </c>
      <c r="H281" t="s">
        <v>1277</v>
      </c>
      <c r="I281" t="s">
        <v>1278</v>
      </c>
      <c r="J281" t="s">
        <v>1279</v>
      </c>
      <c r="K281" t="str">
        <f>HYPERLINK("https://www.ebi.ac.uk/ena/browser/view/ERR14661011","ERR14661011")</f>
        <v>ERR14661011</v>
      </c>
      <c r="L281" t="str">
        <f>HYPERLINK("https://www.ebi.ac.uk/ena/browser/view/GCA_965182685","GCA_965182685")</f>
        <v>GCA_965182685</v>
      </c>
      <c r="M281" t="str">
        <f>HYPERLINK("https://www.ncbi.nlm.nih.gov/datasets/genome/GCA_965182685","CBCYLW010000001-CBCYLW010000165")</f>
        <v>CBCYLW010000001-CBCYLW010000165</v>
      </c>
    </row>
    <row r="282" spans="1:13" x14ac:dyDescent="0.35">
      <c r="A282" t="s">
        <v>1280</v>
      </c>
      <c r="B282" t="s">
        <v>15</v>
      </c>
      <c r="C282" t="s">
        <v>16</v>
      </c>
      <c r="D282" t="s">
        <v>32</v>
      </c>
      <c r="E282" t="s">
        <v>190</v>
      </c>
      <c r="F282" t="s">
        <v>191</v>
      </c>
      <c r="G282" t="s">
        <v>546</v>
      </c>
      <c r="H282" t="s">
        <v>1281</v>
      </c>
      <c r="I282" t="s">
        <v>1282</v>
      </c>
      <c r="J282" t="s">
        <v>1283</v>
      </c>
      <c r="K282" t="str">
        <f>HYPERLINK("https://www.ebi.ac.uk/ena/browser/view/ERR14660887","ERR14660887")</f>
        <v>ERR14660887</v>
      </c>
      <c r="L282" t="str">
        <f>HYPERLINK("https://www.ebi.ac.uk/ena/browser/view/GCA_965183105","GCA_965183105")</f>
        <v>GCA_965183105</v>
      </c>
      <c r="M282" t="str">
        <f>HYPERLINK("https://www.ncbi.nlm.nih.gov/datasets/genome/GCA_965183105","CBCZXW010000001-CBCZXW010000141")</f>
        <v>CBCZXW010000001-CBCZXW010000141</v>
      </c>
    </row>
    <row r="283" spans="1:13" x14ac:dyDescent="0.35">
      <c r="A283" t="s">
        <v>1284</v>
      </c>
      <c r="B283" t="s">
        <v>15</v>
      </c>
      <c r="C283" t="s">
        <v>16</v>
      </c>
      <c r="D283" t="s">
        <v>32</v>
      </c>
      <c r="E283" t="s">
        <v>190</v>
      </c>
      <c r="F283" t="s">
        <v>191</v>
      </c>
      <c r="G283" t="s">
        <v>1285</v>
      </c>
      <c r="H283" t="s">
        <v>1286</v>
      </c>
      <c r="I283" t="s">
        <v>1287</v>
      </c>
      <c r="J283" t="s">
        <v>1288</v>
      </c>
      <c r="K283" t="str">
        <f>HYPERLINK("https://www.ebi.ac.uk/ena/browser/view/ERR14660901","ERR14660901")</f>
        <v>ERR14660901</v>
      </c>
      <c r="L283" t="str">
        <f>HYPERLINK("https://www.ebi.ac.uk/ena/browser/view/GCA_965181215","GCA_965181215")</f>
        <v>GCA_965181215</v>
      </c>
      <c r="M283" t="str">
        <f>HYPERLINK("https://www.ncbi.nlm.nih.gov/datasets/genome/GCA_965181215","CBCYFM010000001-CBCYFM010000071")</f>
        <v>CBCYFM010000001-CBCYFM010000071</v>
      </c>
    </row>
    <row r="284" spans="1:13" x14ac:dyDescent="0.35">
      <c r="A284" t="s">
        <v>1289</v>
      </c>
      <c r="B284" t="s">
        <v>25</v>
      </c>
      <c r="C284" t="s">
        <v>26</v>
      </c>
      <c r="D284" t="s">
        <v>32</v>
      </c>
      <c r="E284" t="s">
        <v>190</v>
      </c>
      <c r="F284" t="s">
        <v>191</v>
      </c>
      <c r="G284" t="s">
        <v>206</v>
      </c>
      <c r="H284" t="s">
        <v>1290</v>
      </c>
      <c r="I284" t="s">
        <v>1291</v>
      </c>
      <c r="J284" t="s">
        <v>1292</v>
      </c>
      <c r="K284" t="str">
        <f>HYPERLINK("https://www.ebi.ac.uk/ena/browser/view/ERR14660971","ERR14660971")</f>
        <v>ERR14660971</v>
      </c>
      <c r="L284" t="str">
        <f>HYPERLINK("https://www.ebi.ac.uk/ena/browser/view/GCA_965181175","GCA_965181175")</f>
        <v>GCA_965181175</v>
      </c>
      <c r="M284" t="str">
        <f>HYPERLINK("https://www.ncbi.nlm.nih.gov/datasets/genome/GCA_965181175","CBCYGB010000001-CBCYGB010000131")</f>
        <v>CBCYGB010000001-CBCYGB010000131</v>
      </c>
    </row>
    <row r="285" spans="1:13" x14ac:dyDescent="0.35">
      <c r="A285" t="s">
        <v>1293</v>
      </c>
      <c r="B285" t="s">
        <v>25</v>
      </c>
      <c r="C285" t="s">
        <v>174</v>
      </c>
      <c r="D285" t="s">
        <v>32</v>
      </c>
      <c r="E285" t="s">
        <v>190</v>
      </c>
      <c r="F285" t="s">
        <v>191</v>
      </c>
      <c r="G285" t="s">
        <v>1256</v>
      </c>
      <c r="H285" t="s">
        <v>1294</v>
      </c>
      <c r="I285" t="s">
        <v>1295</v>
      </c>
      <c r="J285" t="s">
        <v>1296</v>
      </c>
      <c r="K285" t="str">
        <f>HYPERLINK("https://www.ebi.ac.uk/ena/browser/view/ERR14661019","ERR14661019")</f>
        <v>ERR14661019</v>
      </c>
      <c r="L285" t="str">
        <f>HYPERLINK("https://www.ebi.ac.uk/ena/browser/view/GCA_965182645","GCA_965182645")</f>
        <v>GCA_965182645</v>
      </c>
      <c r="M285" t="str">
        <f>HYPERLINK("https://www.ncbi.nlm.nih.gov/datasets/genome/GCA_965182645","CBCYKR010000001-CBCYKR010000110")</f>
        <v>CBCYKR010000001-CBCYKR010000110</v>
      </c>
    </row>
    <row r="286" spans="1:13" x14ac:dyDescent="0.35">
      <c r="A286" t="s">
        <v>1297</v>
      </c>
      <c r="B286" t="s">
        <v>25</v>
      </c>
      <c r="C286" t="s">
        <v>26</v>
      </c>
      <c r="D286" t="s">
        <v>32</v>
      </c>
      <c r="E286" t="s">
        <v>190</v>
      </c>
      <c r="F286" t="s">
        <v>191</v>
      </c>
      <c r="G286" t="s">
        <v>765</v>
      </c>
      <c r="H286" t="s">
        <v>1298</v>
      </c>
      <c r="I286" t="s">
        <v>1299</v>
      </c>
      <c r="J286" t="s">
        <v>1300</v>
      </c>
      <c r="K286" t="str">
        <f>HYPERLINK("https://www.ebi.ac.uk/ena/browser/view/ERR14660957","ERR14660957")</f>
        <v>ERR14660957</v>
      </c>
      <c r="L286" t="str">
        <f>HYPERLINK("https://www.ebi.ac.uk/ena/browser/view/GCA_965182695","GCA_965182695")</f>
        <v>GCA_965182695</v>
      </c>
      <c r="M286" t="str">
        <f>HYPERLINK("https://www.ncbi.nlm.nih.gov/datasets/genome/GCA_965182695","CBCYKV010000001-CBCYKV010000164")</f>
        <v>CBCYKV010000001-CBCYKV010000164</v>
      </c>
    </row>
    <row r="287" spans="1:13" x14ac:dyDescent="0.35">
      <c r="A287" t="s">
        <v>1301</v>
      </c>
      <c r="B287" t="s">
        <v>25</v>
      </c>
      <c r="C287" t="s">
        <v>26</v>
      </c>
      <c r="D287" t="s">
        <v>32</v>
      </c>
      <c r="E287" t="s">
        <v>190</v>
      </c>
      <c r="F287" t="s">
        <v>191</v>
      </c>
      <c r="G287" t="s">
        <v>625</v>
      </c>
      <c r="H287" t="s">
        <v>1302</v>
      </c>
      <c r="I287" t="s">
        <v>1303</v>
      </c>
      <c r="J287" t="s">
        <v>1304</v>
      </c>
      <c r="K287" t="str">
        <f>HYPERLINK("https://www.ebi.ac.uk/ena/browser/view/ERR14661001","ERR14661001")</f>
        <v>ERR14661001</v>
      </c>
      <c r="L287" t="str">
        <f>HYPERLINK("https://www.ebi.ac.uk/ena/browser/view/GCA_965183025","GCA_965183025")</f>
        <v>GCA_965183025</v>
      </c>
      <c r="M287" t="str">
        <f>HYPERLINK("https://www.ncbi.nlm.nih.gov/datasets/genome/GCA_965183025","CBCZWL010000001-CBCZWL010000119")</f>
        <v>CBCZWL010000001-CBCZWL010000119</v>
      </c>
    </row>
    <row r="288" spans="1:13" x14ac:dyDescent="0.35">
      <c r="A288" t="s">
        <v>1305</v>
      </c>
      <c r="B288" t="s">
        <v>25</v>
      </c>
      <c r="C288" t="s">
        <v>26</v>
      </c>
      <c r="D288" t="s">
        <v>32</v>
      </c>
      <c r="E288" t="s">
        <v>190</v>
      </c>
      <c r="F288" t="s">
        <v>191</v>
      </c>
      <c r="G288" t="s">
        <v>221</v>
      </c>
      <c r="H288" t="s">
        <v>1306</v>
      </c>
      <c r="I288" t="s">
        <v>1307</v>
      </c>
      <c r="J288" t="s">
        <v>1308</v>
      </c>
      <c r="K288" t="str">
        <f>HYPERLINK("https://www.ebi.ac.uk/ena/browser/view/ERR14660948","ERR14660948")</f>
        <v>ERR14660948</v>
      </c>
      <c r="L288" t="str">
        <f>HYPERLINK("https://www.ebi.ac.uk/ena/browser/view/GCA_965182755","GCA_965182755")</f>
        <v>GCA_965182755</v>
      </c>
      <c r="M288" t="str">
        <f>HYPERLINK("https://www.ncbi.nlm.nih.gov/datasets/genome/GCA_965182755","CBCYMD010000001-CBCYMD010000109")</f>
        <v>CBCYMD010000001-CBCYMD010000109</v>
      </c>
    </row>
    <row r="289" spans="1:13" x14ac:dyDescent="0.35">
      <c r="A289" t="s">
        <v>1309</v>
      </c>
      <c r="B289" t="s">
        <v>15</v>
      </c>
      <c r="C289" t="s">
        <v>16</v>
      </c>
      <c r="D289" t="s">
        <v>32</v>
      </c>
      <c r="E289" t="s">
        <v>190</v>
      </c>
      <c r="F289" t="s">
        <v>191</v>
      </c>
      <c r="G289" t="s">
        <v>216</v>
      </c>
      <c r="H289" t="s">
        <v>1310</v>
      </c>
      <c r="I289" t="s">
        <v>1311</v>
      </c>
      <c r="J289" t="s">
        <v>1312</v>
      </c>
      <c r="K289" t="str">
        <f>HYPERLINK("https://www.ebi.ac.uk/ena/browser/view/ERR14660891","ERR14660891")</f>
        <v>ERR14660891</v>
      </c>
      <c r="L289" t="str">
        <f>HYPERLINK("https://www.ebi.ac.uk/ena/browser/view/GCA_965180005","GCA_965180005")</f>
        <v>GCA_965180005</v>
      </c>
      <c r="M289" t="str">
        <f>HYPERLINK("https://www.ncbi.nlm.nih.gov/datasets/genome/GCA_965180005","CBCYBB010000001-CBCYBB010000153")</f>
        <v>CBCYBB010000001-CBCYBB010000153</v>
      </c>
    </row>
    <row r="290" spans="1:13" x14ac:dyDescent="0.35">
      <c r="A290" t="s">
        <v>1313</v>
      </c>
      <c r="B290" t="s">
        <v>25</v>
      </c>
      <c r="C290" t="s">
        <v>174</v>
      </c>
      <c r="D290" t="s">
        <v>32</v>
      </c>
      <c r="E290" t="s">
        <v>190</v>
      </c>
      <c r="F290" t="s">
        <v>191</v>
      </c>
      <c r="G290" t="s">
        <v>1135</v>
      </c>
      <c r="H290" t="s">
        <v>1314</v>
      </c>
      <c r="I290" t="s">
        <v>1315</v>
      </c>
      <c r="J290" t="s">
        <v>1316</v>
      </c>
      <c r="K290" t="str">
        <f>HYPERLINK("https://www.ebi.ac.uk/ena/browser/view/ERR14661028","ERR14661028")</f>
        <v>ERR14661028</v>
      </c>
      <c r="L290" t="str">
        <f>HYPERLINK("https://www.ebi.ac.uk/ena/browser/view/GCA_965183695","GCA_965183695")</f>
        <v>GCA_965183695</v>
      </c>
      <c r="M290" t="str">
        <f>HYPERLINK("https://www.ncbi.nlm.nih.gov/datasets/genome/GCA_965183695","CBDADE010000001-CBDADE010000150")</f>
        <v>CBDADE010000001-CBDADE010000150</v>
      </c>
    </row>
    <row r="291" spans="1:13" x14ac:dyDescent="0.35">
      <c r="A291" t="s">
        <v>1317</v>
      </c>
      <c r="B291" t="s">
        <v>25</v>
      </c>
      <c r="C291" t="s">
        <v>26</v>
      </c>
      <c r="D291" t="s">
        <v>32</v>
      </c>
      <c r="E291" t="s">
        <v>190</v>
      </c>
      <c r="F291" t="s">
        <v>191</v>
      </c>
      <c r="G291" t="s">
        <v>546</v>
      </c>
      <c r="H291" t="s">
        <v>1318</v>
      </c>
      <c r="I291" t="s">
        <v>1319</v>
      </c>
      <c r="J291" t="s">
        <v>1320</v>
      </c>
      <c r="K291" t="str">
        <f>HYPERLINK("https://www.ebi.ac.uk/ena/browser/view/ERR14660978","ERR14660978")</f>
        <v>ERR14660978</v>
      </c>
      <c r="L291" t="str">
        <f>HYPERLINK("https://www.ebi.ac.uk/ena/browser/view/GCA_965181795","GCA_965181795")</f>
        <v>GCA_965181795</v>
      </c>
      <c r="M291" t="str">
        <f>HYPERLINK("https://www.ncbi.nlm.nih.gov/datasets/genome/GCA_965181795","CBCYHL010000001-CBCYHL010000095")</f>
        <v>CBCYHL010000001-CBCYHL010000095</v>
      </c>
    </row>
    <row r="292" spans="1:13" x14ac:dyDescent="0.35">
      <c r="A292" t="s">
        <v>1321</v>
      </c>
      <c r="B292" t="s">
        <v>15</v>
      </c>
      <c r="C292" t="s">
        <v>16</v>
      </c>
      <c r="D292" t="s">
        <v>32</v>
      </c>
      <c r="E292" t="s">
        <v>190</v>
      </c>
      <c r="F292" t="s">
        <v>191</v>
      </c>
      <c r="G292" t="s">
        <v>1322</v>
      </c>
      <c r="H292" t="s">
        <v>1323</v>
      </c>
      <c r="I292" t="s">
        <v>1324</v>
      </c>
      <c r="J292" t="s">
        <v>1325</v>
      </c>
      <c r="K292" t="str">
        <f>HYPERLINK("https://www.ebi.ac.uk/ena/browser/view/ERR14660895","ERR14660895")</f>
        <v>ERR14660895</v>
      </c>
      <c r="L292" t="str">
        <f>HYPERLINK("https://www.ebi.ac.uk/ena/browser/view/GCA_965183065","GCA_965183065")</f>
        <v>GCA_965183065</v>
      </c>
      <c r="M292" t="str">
        <f>HYPERLINK("https://www.ncbi.nlm.nih.gov/datasets/genome/GCA_965183065","CBCZUQ010000001-CBCZUQ010000101")</f>
        <v>CBCZUQ010000001-CBCZUQ010000101</v>
      </c>
    </row>
    <row r="293" spans="1:13" x14ac:dyDescent="0.35">
      <c r="A293" t="s">
        <v>1326</v>
      </c>
      <c r="B293" t="s">
        <v>15</v>
      </c>
      <c r="C293" t="s">
        <v>16</v>
      </c>
      <c r="D293" t="s">
        <v>32</v>
      </c>
      <c r="E293" t="s">
        <v>190</v>
      </c>
      <c r="F293" t="s">
        <v>191</v>
      </c>
      <c r="G293" t="s">
        <v>415</v>
      </c>
      <c r="H293" t="s">
        <v>1327</v>
      </c>
      <c r="I293" t="s">
        <v>1328</v>
      </c>
      <c r="J293" t="s">
        <v>1329</v>
      </c>
      <c r="K293" t="str">
        <f>HYPERLINK("https://www.ebi.ac.uk/ena/browser/view/ERR14660898","ERR14660898")</f>
        <v>ERR14660898</v>
      </c>
      <c r="L293" t="str">
        <f>HYPERLINK("https://www.ebi.ac.uk/ena/browser/view/GCA_965179965","GCA_965179965")</f>
        <v>GCA_965179965</v>
      </c>
      <c r="M293" t="str">
        <f>HYPERLINK("https://www.ncbi.nlm.nih.gov/datasets/genome/GCA_965179965","CBCYAS010000001-CBCYAS010000121")</f>
        <v>CBCYAS010000001-CBCYAS010000121</v>
      </c>
    </row>
    <row r="294" spans="1:13" x14ac:dyDescent="0.35">
      <c r="A294" t="s">
        <v>1330</v>
      </c>
      <c r="B294" t="s">
        <v>15</v>
      </c>
      <c r="C294" t="s">
        <v>16</v>
      </c>
      <c r="D294" t="s">
        <v>32</v>
      </c>
      <c r="E294" t="s">
        <v>190</v>
      </c>
      <c r="F294" t="s">
        <v>191</v>
      </c>
      <c r="G294" t="s">
        <v>1331</v>
      </c>
      <c r="H294" t="s">
        <v>1332</v>
      </c>
      <c r="I294" t="s">
        <v>1333</v>
      </c>
      <c r="J294" t="s">
        <v>1334</v>
      </c>
      <c r="K294" t="str">
        <f>HYPERLINK("https://www.ebi.ac.uk/ena/browser/view/ERR2538203","ERR2538203")</f>
        <v>ERR2538203</v>
      </c>
      <c r="L294" t="str">
        <f>HYPERLINK("https://www.ebi.ac.uk/ena/browser/view/GCA_965183175","GCA_965183175")</f>
        <v>GCA_965183175</v>
      </c>
      <c r="M294" t="str">
        <f>HYPERLINK("https://www.ncbi.nlm.nih.gov/datasets/genome/GCA_965183175","CBDAAX010000001-CBDAAX010000137")</f>
        <v>CBDAAX010000001-CBDAAX010000137</v>
      </c>
    </row>
    <row r="295" spans="1:13" x14ac:dyDescent="0.35">
      <c r="A295" t="s">
        <v>1335</v>
      </c>
      <c r="B295" t="s">
        <v>25</v>
      </c>
      <c r="C295" t="s">
        <v>174</v>
      </c>
      <c r="D295" t="s">
        <v>32</v>
      </c>
      <c r="E295" t="s">
        <v>190</v>
      </c>
      <c r="F295" t="s">
        <v>191</v>
      </c>
      <c r="G295" t="s">
        <v>1336</v>
      </c>
      <c r="H295" t="s">
        <v>1337</v>
      </c>
      <c r="I295" t="s">
        <v>1338</v>
      </c>
      <c r="J295" t="s">
        <v>1339</v>
      </c>
      <c r="K295" t="str">
        <f>HYPERLINK("https://www.ebi.ac.uk/ena/browser/view/ERR14661037","ERR14661037")</f>
        <v>ERR14661037</v>
      </c>
      <c r="L295" t="str">
        <f>HYPERLINK("https://www.ebi.ac.uk/ena/browser/view/GCA_965180925","GCA_965180925")</f>
        <v>GCA_965180925</v>
      </c>
      <c r="M295" t="str">
        <f>HYPERLINK("https://www.ncbi.nlm.nih.gov/datasets/genome/GCA_965180925","CBCYEP010000001-CBCYEP010000112")</f>
        <v>CBCYEP010000001-CBCYEP010000112</v>
      </c>
    </row>
    <row r="296" spans="1:13" x14ac:dyDescent="0.35">
      <c r="A296" t="s">
        <v>1340</v>
      </c>
      <c r="B296" t="s">
        <v>25</v>
      </c>
      <c r="C296" t="s">
        <v>174</v>
      </c>
      <c r="D296" t="s">
        <v>32</v>
      </c>
      <c r="E296" t="s">
        <v>190</v>
      </c>
      <c r="F296" t="s">
        <v>191</v>
      </c>
      <c r="G296" t="s">
        <v>1341</v>
      </c>
      <c r="H296" t="s">
        <v>1342</v>
      </c>
      <c r="I296" t="s">
        <v>1343</v>
      </c>
      <c r="J296" t="s">
        <v>1344</v>
      </c>
      <c r="K296" t="str">
        <f>HYPERLINK("https://www.ebi.ac.uk/ena/browser/view/ERR14661022","ERR14661022")</f>
        <v>ERR14661022</v>
      </c>
      <c r="L296" t="str">
        <f>HYPERLINK("https://www.ebi.ac.uk/ena/browser/view/GCA_965181385","GCA_965181385")</f>
        <v>GCA_965181385</v>
      </c>
      <c r="M296" t="str">
        <f>HYPERLINK("https://www.ncbi.nlm.nih.gov/datasets/genome/GCA_965181385","CBCYFR010000001-CBCYFR010000075")</f>
        <v>CBCYFR010000001-CBCYFR010000075</v>
      </c>
    </row>
    <row r="297" spans="1:13" x14ac:dyDescent="0.35">
      <c r="A297" t="s">
        <v>1345</v>
      </c>
      <c r="B297" t="s">
        <v>25</v>
      </c>
      <c r="C297" t="s">
        <v>174</v>
      </c>
      <c r="D297" t="s">
        <v>32</v>
      </c>
      <c r="E297" t="s">
        <v>190</v>
      </c>
      <c r="F297" t="s">
        <v>191</v>
      </c>
      <c r="G297" t="s">
        <v>1346</v>
      </c>
      <c r="H297" t="s">
        <v>1347</v>
      </c>
      <c r="I297" t="s">
        <v>1348</v>
      </c>
      <c r="J297" t="s">
        <v>1349</v>
      </c>
      <c r="K297" t="str">
        <f>HYPERLINK("https://www.ebi.ac.uk/ena/browser/view/ERR14661032","ERR14661032")</f>
        <v>ERR14661032</v>
      </c>
      <c r="L297" t="str">
        <f>HYPERLINK("https://www.ebi.ac.uk/ena/browser/view/GCA_965183675","GCA_965183675")</f>
        <v>GCA_965183675</v>
      </c>
      <c r="M297" t="str">
        <f>HYPERLINK("https://www.ncbi.nlm.nih.gov/datasets/genome/GCA_965183675","CBDADC010000001-CBDADC010000116")</f>
        <v>CBDADC010000001-CBDADC010000116</v>
      </c>
    </row>
    <row r="298" spans="1:13" x14ac:dyDescent="0.35">
      <c r="A298" t="s">
        <v>1350</v>
      </c>
      <c r="B298" t="s">
        <v>25</v>
      </c>
      <c r="C298" t="s">
        <v>174</v>
      </c>
      <c r="D298" t="s">
        <v>32</v>
      </c>
      <c r="E298" t="s">
        <v>190</v>
      </c>
      <c r="F298" t="s">
        <v>191</v>
      </c>
      <c r="G298" t="s">
        <v>1351</v>
      </c>
      <c r="H298" t="s">
        <v>1352</v>
      </c>
      <c r="I298" t="s">
        <v>1353</v>
      </c>
      <c r="J298" t="s">
        <v>1354</v>
      </c>
      <c r="K298" t="str">
        <f>HYPERLINK("https://www.ebi.ac.uk/ena/browser/view/ERR14661012","ERR14661012")</f>
        <v>ERR14661012</v>
      </c>
      <c r="L298" t="str">
        <f>HYPERLINK("https://www.ebi.ac.uk/ena/browser/view/GCA_965181805","GCA_965181805")</f>
        <v>GCA_965181805</v>
      </c>
      <c r="M298" t="str">
        <f>HYPERLINK("https://www.ncbi.nlm.nih.gov/datasets/genome/GCA_965181805","CBCYHO010000001-CBCYHO010000119")</f>
        <v>CBCYHO010000001-CBCYHO010000119</v>
      </c>
    </row>
    <row r="299" spans="1:13" x14ac:dyDescent="0.35">
      <c r="A299" t="s">
        <v>1355</v>
      </c>
      <c r="B299" t="s">
        <v>25</v>
      </c>
      <c r="C299" t="s">
        <v>26</v>
      </c>
      <c r="D299" t="s">
        <v>32</v>
      </c>
      <c r="E299" t="s">
        <v>190</v>
      </c>
      <c r="F299" t="s">
        <v>191</v>
      </c>
      <c r="G299" t="s">
        <v>1356</v>
      </c>
      <c r="H299" t="s">
        <v>1357</v>
      </c>
      <c r="I299" t="s">
        <v>1358</v>
      </c>
      <c r="J299" t="s">
        <v>1359</v>
      </c>
      <c r="K299" t="str">
        <f>HYPERLINK("https://www.ebi.ac.uk/ena/browser/view/ERR14660976","ERR14660976")</f>
        <v>ERR14660976</v>
      </c>
      <c r="L299" t="str">
        <f>HYPERLINK("https://www.ebi.ac.uk/ena/browser/view/GCA_965180985","GCA_965180985")</f>
        <v>GCA_965180985</v>
      </c>
      <c r="M299" t="str">
        <f>HYPERLINK("https://www.ncbi.nlm.nih.gov/datasets/genome/GCA_965180985","CBCYEU010000001-CBCYEU010000053")</f>
        <v>CBCYEU010000001-CBCYEU010000053</v>
      </c>
    </row>
    <row r="300" spans="1:13" x14ac:dyDescent="0.35">
      <c r="A300" t="s">
        <v>1360</v>
      </c>
      <c r="B300" t="s">
        <v>25</v>
      </c>
      <c r="C300" t="s">
        <v>26</v>
      </c>
      <c r="D300" t="s">
        <v>32</v>
      </c>
      <c r="E300" t="s">
        <v>190</v>
      </c>
      <c r="F300" t="s">
        <v>191</v>
      </c>
      <c r="G300" t="s">
        <v>1256</v>
      </c>
      <c r="H300" t="s">
        <v>1361</v>
      </c>
      <c r="I300" t="s">
        <v>1362</v>
      </c>
      <c r="J300" t="s">
        <v>1363</v>
      </c>
      <c r="K300" t="str">
        <f>HYPERLINK("https://www.ebi.ac.uk/ena/browser/view/ERR14661004","ERR14661004")</f>
        <v>ERR14661004</v>
      </c>
      <c r="L300" t="str">
        <f>HYPERLINK("https://www.ebi.ac.uk/ena/browser/view/GCA_965180975","GCA_965180975")</f>
        <v>GCA_965180975</v>
      </c>
      <c r="M300" t="str">
        <f>HYPERLINK("https://www.ncbi.nlm.nih.gov/datasets/genome/GCA_965180975","CBCYEQ010000001-CBCYEQ010000111")</f>
        <v>CBCYEQ010000001-CBCYEQ010000111</v>
      </c>
    </row>
    <row r="301" spans="1:13" x14ac:dyDescent="0.35">
      <c r="A301" t="s">
        <v>1364</v>
      </c>
      <c r="B301" t="s">
        <v>25</v>
      </c>
      <c r="C301" t="s">
        <v>26</v>
      </c>
      <c r="D301" t="s">
        <v>32</v>
      </c>
      <c r="E301" t="s">
        <v>190</v>
      </c>
      <c r="F301" t="s">
        <v>191</v>
      </c>
      <c r="G301" t="s">
        <v>1365</v>
      </c>
      <c r="H301" t="s">
        <v>1366</v>
      </c>
      <c r="I301" t="s">
        <v>1367</v>
      </c>
      <c r="J301" t="s">
        <v>1368</v>
      </c>
      <c r="K301" t="str">
        <f>HYPERLINK("https://www.ebi.ac.uk/ena/browser/view/ERR14660936","ERR14660936")</f>
        <v>ERR14660936</v>
      </c>
      <c r="L301" t="str">
        <f>HYPERLINK("https://www.ebi.ac.uk/ena/browser/view/GCA_965180905","GCA_965180905")</f>
        <v>GCA_965180905</v>
      </c>
      <c r="M301" t="str">
        <f>HYPERLINK("https://www.ncbi.nlm.nih.gov/datasets/genome/GCA_965180905","CBCYEO010000001-CBCYEO010000129")</f>
        <v>CBCYEO010000001-CBCYEO010000129</v>
      </c>
    </row>
    <row r="302" spans="1:13" x14ac:dyDescent="0.35">
      <c r="A302" t="s">
        <v>1369</v>
      </c>
      <c r="B302" t="s">
        <v>25</v>
      </c>
      <c r="C302" t="s">
        <v>26</v>
      </c>
      <c r="D302" t="s">
        <v>32</v>
      </c>
      <c r="E302" t="s">
        <v>190</v>
      </c>
      <c r="F302" t="s">
        <v>191</v>
      </c>
      <c r="G302" t="s">
        <v>1256</v>
      </c>
      <c r="H302" t="s">
        <v>1370</v>
      </c>
      <c r="I302" t="s">
        <v>1371</v>
      </c>
      <c r="J302" t="s">
        <v>1372</v>
      </c>
      <c r="K302" t="str">
        <f>HYPERLINK("https://www.ebi.ac.uk/ena/browser/view/ERR14660955","ERR14660955")</f>
        <v>ERR14660955</v>
      </c>
      <c r="L302" t="str">
        <f>HYPERLINK("https://www.ebi.ac.uk/ena/browser/view/GCA_965181085","GCA_965181085")</f>
        <v>GCA_965181085</v>
      </c>
      <c r="M302" t="str">
        <f>HYPERLINK("https://www.ncbi.nlm.nih.gov/datasets/genome/GCA_965181085","CBCYFW010000001-CBCYFW010000139")</f>
        <v>CBCYFW010000001-CBCYFW010000139</v>
      </c>
    </row>
    <row r="303" spans="1:13" x14ac:dyDescent="0.35">
      <c r="A303" t="s">
        <v>1373</v>
      </c>
      <c r="B303" t="s">
        <v>25</v>
      </c>
      <c r="C303" t="s">
        <v>26</v>
      </c>
      <c r="D303" t="s">
        <v>32</v>
      </c>
      <c r="E303" t="s">
        <v>190</v>
      </c>
      <c r="F303" t="s">
        <v>191</v>
      </c>
      <c r="G303" t="s">
        <v>585</v>
      </c>
      <c r="H303" t="s">
        <v>1374</v>
      </c>
      <c r="I303" t="s">
        <v>1375</v>
      </c>
      <c r="J303" t="s">
        <v>1376</v>
      </c>
      <c r="K303" t="str">
        <f>HYPERLINK("https://www.ebi.ac.uk/ena/browser/view/ERR14661002","ERR14661002")</f>
        <v>ERR14661002</v>
      </c>
      <c r="L303" t="str">
        <f>HYPERLINK("https://www.ebi.ac.uk/ena/browser/view/GCA_965180865","GCA_965180865")</f>
        <v>GCA_965180865</v>
      </c>
      <c r="M303" t="str">
        <f>HYPERLINK("https://www.ncbi.nlm.nih.gov/datasets/genome/GCA_965180865","CBCYEN010000001-CBCYEN010000158")</f>
        <v>CBCYEN010000001-CBCYEN010000158</v>
      </c>
    </row>
    <row r="304" spans="1:13" x14ac:dyDescent="0.35">
      <c r="A304" t="s">
        <v>1377</v>
      </c>
      <c r="B304" t="s">
        <v>25</v>
      </c>
      <c r="C304" t="s">
        <v>174</v>
      </c>
      <c r="D304" t="s">
        <v>32</v>
      </c>
      <c r="E304" t="s">
        <v>190</v>
      </c>
      <c r="F304" t="s">
        <v>191</v>
      </c>
      <c r="G304" t="s">
        <v>359</v>
      </c>
      <c r="H304" t="s">
        <v>1378</v>
      </c>
      <c r="I304" t="s">
        <v>1379</v>
      </c>
      <c r="J304" t="s">
        <v>1380</v>
      </c>
      <c r="K304" t="str">
        <f>HYPERLINK("https://www.ebi.ac.uk/ena/browser/view/ERR14661024","ERR14661024")</f>
        <v>ERR14661024</v>
      </c>
      <c r="L304" t="str">
        <f>HYPERLINK("https://www.ebi.ac.uk/ena/browser/view/GCA_965183725","GCA_965183725")</f>
        <v>GCA_965183725</v>
      </c>
      <c r="M304" t="str">
        <f>HYPERLINK("https://www.ncbi.nlm.nih.gov/datasets/genome/GCA_965183725","CBDADG010000001-CBDADG010000186")</f>
        <v>CBDADG010000001-CBDADG010000186</v>
      </c>
    </row>
    <row r="305" spans="1:13" x14ac:dyDescent="0.35">
      <c r="A305" t="s">
        <v>1381</v>
      </c>
      <c r="B305" t="s">
        <v>25</v>
      </c>
      <c r="C305" t="s">
        <v>26</v>
      </c>
      <c r="D305" t="s">
        <v>32</v>
      </c>
      <c r="E305" t="s">
        <v>190</v>
      </c>
      <c r="F305" t="s">
        <v>191</v>
      </c>
      <c r="G305" t="s">
        <v>1382</v>
      </c>
      <c r="H305" t="s">
        <v>1383</v>
      </c>
      <c r="I305" t="s">
        <v>1384</v>
      </c>
      <c r="J305" t="s">
        <v>1385</v>
      </c>
      <c r="K305" t="str">
        <f>HYPERLINK("https://www.ebi.ac.uk/ena/browser/view/ERR14660992","ERR14660992")</f>
        <v>ERR14660992</v>
      </c>
      <c r="L305" t="str">
        <f>HYPERLINK("https://www.ebi.ac.uk/ena/browser/view/GCA_965181445","GCA_965181445")</f>
        <v>GCA_965181445</v>
      </c>
      <c r="M305" t="str">
        <f>HYPERLINK("https://www.ncbi.nlm.nih.gov/datasets/genome/GCA_965181445","CBCYGP010000001-CBCYGP010000120")</f>
        <v>CBCYGP010000001-CBCYGP010000120</v>
      </c>
    </row>
    <row r="306" spans="1:13" x14ac:dyDescent="0.35">
      <c r="A306" t="s">
        <v>1386</v>
      </c>
      <c r="B306" t="s">
        <v>25</v>
      </c>
      <c r="C306" t="s">
        <v>174</v>
      </c>
      <c r="D306" t="s">
        <v>32</v>
      </c>
      <c r="E306" t="s">
        <v>190</v>
      </c>
      <c r="F306" t="s">
        <v>191</v>
      </c>
      <c r="G306" t="s">
        <v>546</v>
      </c>
      <c r="H306" t="s">
        <v>1387</v>
      </c>
      <c r="I306" t="s">
        <v>1388</v>
      </c>
      <c r="J306" t="s">
        <v>1389</v>
      </c>
      <c r="K306" t="str">
        <f>HYPERLINK("https://www.ebi.ac.uk/ena/browser/view/ERR14661015","ERR14661015")</f>
        <v>ERR14661015</v>
      </c>
      <c r="L306" t="str">
        <f>HYPERLINK("https://www.ebi.ac.uk/ena/browser/view/GCA_965182655","GCA_965182655")</f>
        <v>GCA_965182655</v>
      </c>
      <c r="M306" t="str">
        <f>HYPERLINK("https://www.ncbi.nlm.nih.gov/datasets/genome/GCA_965182655","CBCYLC010000001-CBCYLC010000117")</f>
        <v>CBCYLC010000001-CBCYLC010000117</v>
      </c>
    </row>
    <row r="307" spans="1:13" x14ac:dyDescent="0.35">
      <c r="A307" t="s">
        <v>1390</v>
      </c>
      <c r="B307" t="s">
        <v>15</v>
      </c>
      <c r="C307" t="s">
        <v>16</v>
      </c>
      <c r="D307" t="s">
        <v>32</v>
      </c>
      <c r="E307" t="s">
        <v>190</v>
      </c>
      <c r="F307" t="s">
        <v>191</v>
      </c>
      <c r="G307" t="s">
        <v>1391</v>
      </c>
      <c r="H307" t="s">
        <v>1392</v>
      </c>
      <c r="I307" t="s">
        <v>1393</v>
      </c>
      <c r="J307" t="s">
        <v>1394</v>
      </c>
      <c r="K307" t="str">
        <f>HYPERLINK("https://www.ebi.ac.uk/ena/browser/view/ERR14660885","ERR14660885")</f>
        <v>ERR14660885</v>
      </c>
      <c r="L307" t="str">
        <f>HYPERLINK("https://www.ebi.ac.uk/ena/browser/view/GCA_965181965","GCA_965181965")</f>
        <v>GCA_965181965</v>
      </c>
      <c r="M307" t="str">
        <f>HYPERLINK("https://www.ncbi.nlm.nih.gov/datasets/genome/GCA_965181965","CBCYIW010000001-CBCYIW010000214")</f>
        <v>CBCYIW010000001-CBCYIW010000214</v>
      </c>
    </row>
    <row r="308" spans="1:13" x14ac:dyDescent="0.35">
      <c r="A308" t="s">
        <v>1395</v>
      </c>
      <c r="B308" t="s">
        <v>25</v>
      </c>
      <c r="C308" t="s">
        <v>26</v>
      </c>
      <c r="D308" t="s">
        <v>32</v>
      </c>
      <c r="E308" t="s">
        <v>190</v>
      </c>
      <c r="F308" t="s">
        <v>191</v>
      </c>
      <c r="G308" t="s">
        <v>221</v>
      </c>
      <c r="H308" t="s">
        <v>1396</v>
      </c>
      <c r="I308" t="s">
        <v>1397</v>
      </c>
      <c r="J308" t="s">
        <v>1398</v>
      </c>
      <c r="K308" t="str">
        <f>HYPERLINK("https://www.ebi.ac.uk/ena/browser/view/ERR14661007","ERR14661007")</f>
        <v>ERR14661007</v>
      </c>
      <c r="L308" t="str">
        <f>HYPERLINK("https://www.ebi.ac.uk/ena/browser/view/GCA_965181835","GCA_965181835")</f>
        <v>GCA_965181835</v>
      </c>
      <c r="M308" t="str">
        <f>HYPERLINK("https://www.ncbi.nlm.nih.gov/datasets/genome/GCA_965181835","CBCYIK010000001-CBCYIK010000150")</f>
        <v>CBCYIK010000001-CBCYIK010000150</v>
      </c>
    </row>
    <row r="309" spans="1:13" x14ac:dyDescent="0.35">
      <c r="A309" t="s">
        <v>1399</v>
      </c>
      <c r="B309" t="s">
        <v>25</v>
      </c>
      <c r="C309" t="s">
        <v>26</v>
      </c>
      <c r="D309" t="s">
        <v>32</v>
      </c>
      <c r="E309" t="s">
        <v>190</v>
      </c>
      <c r="F309" t="s">
        <v>191</v>
      </c>
      <c r="G309" t="s">
        <v>221</v>
      </c>
      <c r="H309" t="s">
        <v>1400</v>
      </c>
      <c r="I309" t="s">
        <v>1401</v>
      </c>
      <c r="J309" t="s">
        <v>1402</v>
      </c>
      <c r="K309" t="str">
        <f>HYPERLINK("https://www.ebi.ac.uk/ena/browser/view/ERR14660973","ERR14660973")</f>
        <v>ERR14660973</v>
      </c>
      <c r="L309" t="str">
        <f>HYPERLINK("https://www.ebi.ac.uk/ena/browser/view/GCA_965182575","GCA_965182575")</f>
        <v>GCA_965182575</v>
      </c>
      <c r="M309" t="str">
        <f>HYPERLINK("https://www.ncbi.nlm.nih.gov/datasets/genome/GCA_965182575","CBCYLF010000001-CBCYLF010000145")</f>
        <v>CBCYLF010000001-CBCYLF010000145</v>
      </c>
    </row>
    <row r="310" spans="1:13" x14ac:dyDescent="0.35">
      <c r="A310" t="s">
        <v>1403</v>
      </c>
      <c r="B310" t="s">
        <v>25</v>
      </c>
      <c r="C310" t="s">
        <v>174</v>
      </c>
      <c r="D310" t="s">
        <v>32</v>
      </c>
      <c r="E310" t="s">
        <v>190</v>
      </c>
      <c r="F310" t="s">
        <v>191</v>
      </c>
      <c r="G310" t="s">
        <v>1404</v>
      </c>
      <c r="H310" t="s">
        <v>1405</v>
      </c>
      <c r="I310" t="s">
        <v>1406</v>
      </c>
      <c r="J310" t="s">
        <v>1407</v>
      </c>
      <c r="K310" t="str">
        <f>HYPERLINK("https://www.ebi.ac.uk/ena/browser/view/ERR14661025","ERR14661025")</f>
        <v>ERR14661025</v>
      </c>
      <c r="L310" t="str">
        <f>HYPERLINK("https://www.ebi.ac.uk/ena/browser/view/GCA_965183715","GCA_965183715")</f>
        <v>GCA_965183715</v>
      </c>
      <c r="M310" t="str">
        <f>HYPERLINK("https://www.ncbi.nlm.nih.gov/datasets/genome/GCA_965183715","CBDACQ010000001-CBDACQ010000138")</f>
        <v>CBDACQ010000001-CBDACQ010000138</v>
      </c>
    </row>
    <row r="311" spans="1:13" x14ac:dyDescent="0.35">
      <c r="A311" t="s">
        <v>1408</v>
      </c>
      <c r="B311" t="s">
        <v>25</v>
      </c>
      <c r="C311" t="s">
        <v>26</v>
      </c>
      <c r="D311" t="s">
        <v>32</v>
      </c>
      <c r="E311" t="s">
        <v>190</v>
      </c>
      <c r="F311" t="s">
        <v>191</v>
      </c>
      <c r="G311" t="s">
        <v>1409</v>
      </c>
      <c r="H311" t="s">
        <v>1410</v>
      </c>
      <c r="I311" t="s">
        <v>1411</v>
      </c>
      <c r="J311" t="s">
        <v>1412</v>
      </c>
      <c r="K311" t="str">
        <f>HYPERLINK("https://www.ebi.ac.uk/ena/browser/view/ERR14660919","ERR14660919")</f>
        <v>ERR14660919</v>
      </c>
      <c r="L311" t="str">
        <f>HYPERLINK("https://www.ebi.ac.uk/ena/browser/view/GCA_965183325","GCA_965183325")</f>
        <v>GCA_965183325</v>
      </c>
      <c r="M311" t="str">
        <f>HYPERLINK("https://www.ncbi.nlm.nih.gov/datasets/genome/GCA_965183325","CBDABR010000001-CBDABR010000157")</f>
        <v>CBDABR010000001-CBDABR010000157</v>
      </c>
    </row>
    <row r="312" spans="1:13" x14ac:dyDescent="0.35">
      <c r="A312" t="s">
        <v>1413</v>
      </c>
      <c r="B312" t="s">
        <v>25</v>
      </c>
      <c r="C312" t="s">
        <v>26</v>
      </c>
      <c r="D312" t="s">
        <v>32</v>
      </c>
      <c r="E312" t="s">
        <v>190</v>
      </c>
      <c r="F312" t="s">
        <v>191</v>
      </c>
      <c r="G312" t="s">
        <v>257</v>
      </c>
      <c r="H312" t="s">
        <v>1414</v>
      </c>
      <c r="I312" t="s">
        <v>1415</v>
      </c>
      <c r="J312" t="s">
        <v>1416</v>
      </c>
      <c r="K312" t="str">
        <f>HYPERLINK("https://www.ebi.ac.uk/ena/browser/view/ERR14660944","ERR14660944")</f>
        <v>ERR14660944</v>
      </c>
      <c r="L312" t="str">
        <f>HYPERLINK("https://www.ebi.ac.uk/ena/browser/view/GCA_965180685","GCA_965180685")</f>
        <v>GCA_965180685</v>
      </c>
      <c r="M312" t="str">
        <f>HYPERLINK("https://www.ncbi.nlm.nih.gov/datasets/genome/GCA_965180685","CBCYDW010000001-CBCYDW010000093")</f>
        <v>CBCYDW010000001-CBCYDW010000093</v>
      </c>
    </row>
    <row r="313" spans="1:13" x14ac:dyDescent="0.35">
      <c r="A313" t="s">
        <v>1417</v>
      </c>
      <c r="B313" t="s">
        <v>25</v>
      </c>
      <c r="C313" t="s">
        <v>174</v>
      </c>
      <c r="D313" t="s">
        <v>32</v>
      </c>
      <c r="E313" t="s">
        <v>190</v>
      </c>
      <c r="F313" t="s">
        <v>191</v>
      </c>
      <c r="G313" t="s">
        <v>1202</v>
      </c>
      <c r="H313" t="s">
        <v>1418</v>
      </c>
      <c r="I313" t="s">
        <v>1419</v>
      </c>
      <c r="J313" t="s">
        <v>1420</v>
      </c>
      <c r="K313" t="str">
        <f>HYPERLINK("https://www.ebi.ac.uk/ena/browser/view/ERR14661023","ERR14661023")</f>
        <v>ERR14661023</v>
      </c>
      <c r="L313" t="str">
        <f>HYPERLINK("https://www.ebi.ac.uk/ena/browser/view/GCA_965183125","GCA_965183125")</f>
        <v>GCA_965183125</v>
      </c>
      <c r="M313" t="str">
        <f>HYPERLINK("https://www.ncbi.nlm.nih.gov/datasets/genome/GCA_965183125","CBDABC010000001-CBDABC010000117")</f>
        <v>CBDABC010000001-CBDABC010000117</v>
      </c>
    </row>
    <row r="314" spans="1:13" x14ac:dyDescent="0.35">
      <c r="A314" t="s">
        <v>1421</v>
      </c>
      <c r="B314" t="s">
        <v>25</v>
      </c>
      <c r="C314" t="s">
        <v>174</v>
      </c>
      <c r="D314" t="s">
        <v>32</v>
      </c>
      <c r="E314" t="s">
        <v>190</v>
      </c>
      <c r="F314" t="s">
        <v>191</v>
      </c>
      <c r="G314" t="s">
        <v>625</v>
      </c>
      <c r="H314" t="s">
        <v>1422</v>
      </c>
      <c r="I314" t="s">
        <v>1423</v>
      </c>
      <c r="J314" t="s">
        <v>1424</v>
      </c>
      <c r="K314" t="str">
        <f>HYPERLINK("https://www.ebi.ac.uk/ena/browser/view/ERR14661013","ERR14661013")</f>
        <v>ERR14661013</v>
      </c>
      <c r="L314" t="str">
        <f>HYPERLINK("https://www.ebi.ac.uk/ena/browser/view/GCA_965182665","GCA_965182665")</f>
        <v>GCA_965182665</v>
      </c>
      <c r="M314" t="str">
        <f>HYPERLINK("https://www.ncbi.nlm.nih.gov/datasets/genome/GCA_965182665","CBCYLL010000001-CBCYLL010000201")</f>
        <v>CBCYLL010000001-CBCYLL010000201</v>
      </c>
    </row>
    <row r="315" spans="1:13" x14ac:dyDescent="0.35">
      <c r="A315" t="s">
        <v>1425</v>
      </c>
      <c r="B315" t="s">
        <v>25</v>
      </c>
      <c r="C315" t="s">
        <v>26</v>
      </c>
      <c r="D315" t="s">
        <v>32</v>
      </c>
      <c r="E315" t="s">
        <v>190</v>
      </c>
      <c r="F315" t="s">
        <v>191</v>
      </c>
      <c r="G315" t="s">
        <v>359</v>
      </c>
      <c r="H315" t="s">
        <v>1426</v>
      </c>
      <c r="I315" t="s">
        <v>1427</v>
      </c>
      <c r="J315" t="s">
        <v>1428</v>
      </c>
      <c r="K315" t="str">
        <f>HYPERLINK("https://www.ebi.ac.uk/ena/browser/view/ERR14660932","ERR14660932")</f>
        <v>ERR14660932</v>
      </c>
      <c r="L315" t="str">
        <f>HYPERLINK("https://www.ebi.ac.uk/ena/browser/view/GCA_965180755","GCA_965180755")</f>
        <v>GCA_965180755</v>
      </c>
      <c r="M315" t="str">
        <f>HYPERLINK("https://www.ncbi.nlm.nih.gov/datasets/genome/GCA_965180755","CBCYEB010000001-CBCYEB010000092")</f>
        <v>CBCYEB010000001-CBCYEB010000092</v>
      </c>
    </row>
    <row r="316" spans="1:13" x14ac:dyDescent="0.35">
      <c r="A316" t="s">
        <v>1429</v>
      </c>
      <c r="B316" t="s">
        <v>25</v>
      </c>
      <c r="C316" t="s">
        <v>26</v>
      </c>
      <c r="D316" t="s">
        <v>32</v>
      </c>
      <c r="E316" t="s">
        <v>190</v>
      </c>
      <c r="F316" t="s">
        <v>191</v>
      </c>
      <c r="G316" t="s">
        <v>1430</v>
      </c>
      <c r="H316" t="s">
        <v>1431</v>
      </c>
      <c r="I316" t="s">
        <v>1432</v>
      </c>
      <c r="J316" t="s">
        <v>1433</v>
      </c>
      <c r="K316" t="str">
        <f>HYPERLINK("https://www.ebi.ac.uk/ena/browser/view/ERR14660947","ERR14660947")</f>
        <v>ERR14660947</v>
      </c>
      <c r="L316" t="str">
        <f>HYPERLINK("https://www.ebi.ac.uk/ena/browser/view/GCA_965182385","GCA_965182385")</f>
        <v>GCA_965182385</v>
      </c>
      <c r="M316" t="str">
        <f>HYPERLINK("https://www.ncbi.nlm.nih.gov/datasets/genome/GCA_965182385","CBCYKA010000001-CBCYKA010000193")</f>
        <v>CBCYKA010000001-CBCYKA010000193</v>
      </c>
    </row>
    <row r="317" spans="1:13" x14ac:dyDescent="0.35">
      <c r="A317" t="s">
        <v>1434</v>
      </c>
      <c r="B317" t="s">
        <v>25</v>
      </c>
      <c r="C317" t="s">
        <v>26</v>
      </c>
      <c r="D317" t="s">
        <v>32</v>
      </c>
      <c r="E317" t="s">
        <v>190</v>
      </c>
      <c r="F317" t="s">
        <v>191</v>
      </c>
      <c r="G317" t="s">
        <v>230</v>
      </c>
      <c r="H317" t="s">
        <v>1435</v>
      </c>
      <c r="I317" t="s">
        <v>1436</v>
      </c>
      <c r="J317" t="s">
        <v>1437</v>
      </c>
      <c r="K317" t="str">
        <f>HYPERLINK("https://www.ebi.ac.uk/ena/browser/view/ERR14660997","ERR14660997")</f>
        <v>ERR14660997</v>
      </c>
      <c r="L317" t="str">
        <f>HYPERLINK("https://www.ebi.ac.uk/ena/browser/view/GCA_965180335","GCA_965180335")</f>
        <v>GCA_965180335</v>
      </c>
      <c r="M317" t="str">
        <f>HYPERLINK("https://www.ncbi.nlm.nih.gov/datasets/genome/GCA_965180335","CBCYCC010000001-CBCYCC010000104")</f>
        <v>CBCYCC010000001-CBCYCC010000104</v>
      </c>
    </row>
    <row r="318" spans="1:13" x14ac:dyDescent="0.35">
      <c r="A318" t="s">
        <v>1438</v>
      </c>
      <c r="B318" t="s">
        <v>25</v>
      </c>
      <c r="C318" t="s">
        <v>26</v>
      </c>
      <c r="D318" t="s">
        <v>32</v>
      </c>
      <c r="E318" t="s">
        <v>190</v>
      </c>
      <c r="F318" t="s">
        <v>191</v>
      </c>
      <c r="G318" t="s">
        <v>765</v>
      </c>
      <c r="H318" t="s">
        <v>1439</v>
      </c>
      <c r="I318" t="s">
        <v>1440</v>
      </c>
      <c r="J318" t="s">
        <v>1441</v>
      </c>
      <c r="K318" t="str">
        <f>HYPERLINK("https://www.ebi.ac.uk/ena/browser/view/ERR14660941","ERR14660941")</f>
        <v>ERR14660941</v>
      </c>
      <c r="L318" t="str">
        <f>HYPERLINK("https://www.ebi.ac.uk/ena/browser/view/GCA_965180705","GCA_965180705")</f>
        <v>GCA_965180705</v>
      </c>
      <c r="M318" t="str">
        <f>HYPERLINK("https://www.ncbi.nlm.nih.gov/datasets/genome/GCA_965180705","CBCYDH010000001-CBCYDH010000144")</f>
        <v>CBCYDH010000001-CBCYDH010000144</v>
      </c>
    </row>
    <row r="319" spans="1:13" x14ac:dyDescent="0.35">
      <c r="A319" t="s">
        <v>1442</v>
      </c>
      <c r="B319" t="s">
        <v>25</v>
      </c>
      <c r="C319" t="s">
        <v>174</v>
      </c>
      <c r="D319" t="s">
        <v>32</v>
      </c>
      <c r="E319" t="s">
        <v>190</v>
      </c>
      <c r="F319" t="s">
        <v>191</v>
      </c>
      <c r="G319" t="s">
        <v>1443</v>
      </c>
      <c r="H319" t="s">
        <v>1444</v>
      </c>
      <c r="I319" t="s">
        <v>1445</v>
      </c>
      <c r="J319" t="s">
        <v>1446</v>
      </c>
      <c r="K319" t="str">
        <f>HYPERLINK("https://www.ebi.ac.uk/ena/browser/view/ERR14661035","ERR14661035")</f>
        <v>ERR14661035</v>
      </c>
      <c r="L319" t="str">
        <f>HYPERLINK("https://www.ebi.ac.uk/ena/browser/view/GCA_965180935","GCA_965180935")</f>
        <v>GCA_965180935</v>
      </c>
      <c r="M319" t="str">
        <f>HYPERLINK("https://www.ncbi.nlm.nih.gov/datasets/genome/GCA_965180935","CBCYER010000001-CBCYER010000099")</f>
        <v>CBCYER010000001-CBCYER010000099</v>
      </c>
    </row>
    <row r="320" spans="1:13" x14ac:dyDescent="0.35">
      <c r="A320" t="s">
        <v>1447</v>
      </c>
      <c r="B320" t="s">
        <v>25</v>
      </c>
      <c r="C320" t="s">
        <v>26</v>
      </c>
      <c r="D320" t="s">
        <v>32</v>
      </c>
      <c r="E320" t="s">
        <v>190</v>
      </c>
      <c r="F320" t="s">
        <v>191</v>
      </c>
      <c r="G320" t="s">
        <v>1448</v>
      </c>
      <c r="H320" t="s">
        <v>1449</v>
      </c>
      <c r="I320" t="s">
        <v>1450</v>
      </c>
      <c r="J320" t="s">
        <v>1451</v>
      </c>
      <c r="K320" t="str">
        <f>HYPERLINK("https://www.ebi.ac.uk/ena/browser/view/ERR14660995","ERR14660995")</f>
        <v>ERR14660995</v>
      </c>
      <c r="L320" t="str">
        <f>HYPERLINK("https://www.ebi.ac.uk/ena/browser/view/GCA_965181335","GCA_965181335")</f>
        <v>GCA_965181335</v>
      </c>
      <c r="M320" t="str">
        <f>HYPERLINK("https://www.ncbi.nlm.nih.gov/datasets/genome/GCA_965181335","CBCYFU010000001-CBCYFU010000147")</f>
        <v>CBCYFU010000001-CBCYFU010000147</v>
      </c>
    </row>
    <row r="321" spans="1:13" x14ac:dyDescent="0.35">
      <c r="A321" t="s">
        <v>1452</v>
      </c>
      <c r="B321" t="s">
        <v>25</v>
      </c>
      <c r="C321" t="s">
        <v>26</v>
      </c>
      <c r="D321" t="s">
        <v>32</v>
      </c>
      <c r="E321" t="s">
        <v>190</v>
      </c>
      <c r="F321" t="s">
        <v>191</v>
      </c>
      <c r="G321" t="s">
        <v>752</v>
      </c>
      <c r="H321" t="s">
        <v>1453</v>
      </c>
      <c r="I321" t="s">
        <v>1454</v>
      </c>
      <c r="J321" t="s">
        <v>1455</v>
      </c>
      <c r="K321" t="str">
        <f>HYPERLINK("https://www.ebi.ac.uk/ena/browser/view/ERR14660953","ERR14660953")</f>
        <v>ERR14660953</v>
      </c>
      <c r="L321" t="str">
        <f>HYPERLINK("https://www.ebi.ac.uk/ena/browser/view/GCA_965181075","GCA_965181075")</f>
        <v>GCA_965181075</v>
      </c>
      <c r="M321" t="str">
        <f>HYPERLINK("https://www.ncbi.nlm.nih.gov/datasets/genome/GCA_965181075","CBCYEZ010000001-CBCYEZ010000082")</f>
        <v>CBCYEZ010000001-CBCYEZ010000082</v>
      </c>
    </row>
    <row r="322" spans="1:13" x14ac:dyDescent="0.35">
      <c r="A322" t="s">
        <v>1456</v>
      </c>
      <c r="B322" t="s">
        <v>25</v>
      </c>
      <c r="C322" t="s">
        <v>26</v>
      </c>
      <c r="D322" t="s">
        <v>32</v>
      </c>
      <c r="E322" t="s">
        <v>190</v>
      </c>
      <c r="F322" t="s">
        <v>191</v>
      </c>
      <c r="G322" t="s">
        <v>415</v>
      </c>
      <c r="H322" t="s">
        <v>1457</v>
      </c>
      <c r="I322" t="s">
        <v>1458</v>
      </c>
      <c r="J322" t="s">
        <v>1459</v>
      </c>
      <c r="K322" t="str">
        <f>HYPERLINK("https://www.ebi.ac.uk/ena/browser/view/ERR14660983","ERR14660983")</f>
        <v>ERR14660983</v>
      </c>
      <c r="L322" t="str">
        <f>HYPERLINK("https://www.ebi.ac.uk/ena/browser/view/GCA_965181735","GCA_965181735")</f>
        <v>GCA_965181735</v>
      </c>
      <c r="M322" t="str">
        <f>HYPERLINK("https://www.ncbi.nlm.nih.gov/datasets/genome/GCA_965181735","CBCYHI010000001-CBCYHI010000118")</f>
        <v>CBCYHI010000001-CBCYHI010000118</v>
      </c>
    </row>
    <row r="323" spans="1:13" x14ac:dyDescent="0.35">
      <c r="A323" t="s">
        <v>1460</v>
      </c>
      <c r="B323" t="s">
        <v>25</v>
      </c>
      <c r="C323" t="s">
        <v>174</v>
      </c>
      <c r="D323" t="s">
        <v>32</v>
      </c>
      <c r="E323" t="s">
        <v>190</v>
      </c>
      <c r="F323" t="s">
        <v>191</v>
      </c>
      <c r="G323" t="s">
        <v>359</v>
      </c>
      <c r="H323" t="s">
        <v>1461</v>
      </c>
      <c r="I323" t="s">
        <v>1462</v>
      </c>
      <c r="J323" t="s">
        <v>1463</v>
      </c>
      <c r="K323" t="str">
        <f>HYPERLINK("https://www.ebi.ac.uk/ena/browser/view/ERR14661020","ERR14661020")</f>
        <v>ERR14661020</v>
      </c>
      <c r="L323" t="str">
        <f>HYPERLINK("https://www.ebi.ac.uk/ena/browser/view/GCA_965181395","GCA_965181395")</f>
        <v>GCA_965181395</v>
      </c>
      <c r="M323" t="str">
        <f>HYPERLINK("https://www.ncbi.nlm.nih.gov/datasets/genome/GCA_965181395","CBCYGT010000001-CBCYGT010000184")</f>
        <v>CBCYGT010000001-CBCYGT010000184</v>
      </c>
    </row>
    <row r="324" spans="1:13" x14ac:dyDescent="0.35">
      <c r="A324" t="s">
        <v>1464</v>
      </c>
      <c r="B324" t="s">
        <v>25</v>
      </c>
      <c r="C324" t="s">
        <v>26</v>
      </c>
      <c r="D324" t="s">
        <v>32</v>
      </c>
      <c r="E324" t="s">
        <v>190</v>
      </c>
      <c r="F324" t="s">
        <v>191</v>
      </c>
      <c r="G324" t="s">
        <v>1202</v>
      </c>
      <c r="H324" t="s">
        <v>1465</v>
      </c>
      <c r="I324" t="s">
        <v>1466</v>
      </c>
      <c r="J324" t="s">
        <v>1467</v>
      </c>
      <c r="K324" t="str">
        <f>HYPERLINK("https://www.ebi.ac.uk/ena/browser/view/ERR14660960","ERR14660960")</f>
        <v>ERR14660960</v>
      </c>
      <c r="L324" t="str">
        <f>HYPERLINK("https://www.ebi.ac.uk/ena/browser/view/GCA_965180485","GCA_965180485")</f>
        <v>GCA_965180485</v>
      </c>
      <c r="M324" t="str">
        <f>HYPERLINK("https://www.ncbi.nlm.nih.gov/datasets/genome/GCA_965180485","CBCYCM010000001-CBCYCM010000107")</f>
        <v>CBCYCM010000001-CBCYCM010000107</v>
      </c>
    </row>
    <row r="325" spans="1:13" x14ac:dyDescent="0.35">
      <c r="A325" t="s">
        <v>1468</v>
      </c>
      <c r="B325" t="s">
        <v>25</v>
      </c>
      <c r="C325" t="s">
        <v>26</v>
      </c>
      <c r="D325" t="s">
        <v>32</v>
      </c>
      <c r="E325" t="s">
        <v>190</v>
      </c>
      <c r="F325" t="s">
        <v>191</v>
      </c>
      <c r="G325" t="s">
        <v>778</v>
      </c>
      <c r="H325" t="s">
        <v>1469</v>
      </c>
      <c r="I325" t="s">
        <v>1470</v>
      </c>
      <c r="J325" t="s">
        <v>1471</v>
      </c>
      <c r="K325" t="str">
        <f>HYPERLINK("https://www.ebi.ac.uk/ena/browser/view/ERR14660930","ERR14660930")</f>
        <v>ERR14660930</v>
      </c>
      <c r="L325" t="str">
        <f>HYPERLINK("https://www.ebi.ac.uk/ena/browser/view/GCA_965182105","GCA_965182105")</f>
        <v>GCA_965182105</v>
      </c>
      <c r="M325" t="str">
        <f>HYPERLINK("https://www.ncbi.nlm.nih.gov/datasets/genome/GCA_965182105","CBCYJC010000001-CBCYJC010000140")</f>
        <v>CBCYJC010000001-CBCYJC010000140</v>
      </c>
    </row>
    <row r="326" spans="1:13" x14ac:dyDescent="0.35">
      <c r="A326" t="s">
        <v>1472</v>
      </c>
      <c r="B326" t="s">
        <v>25</v>
      </c>
      <c r="C326" t="s">
        <v>26</v>
      </c>
      <c r="D326" t="s">
        <v>32</v>
      </c>
      <c r="E326" t="s">
        <v>190</v>
      </c>
      <c r="F326" t="s">
        <v>191</v>
      </c>
      <c r="G326" t="s">
        <v>483</v>
      </c>
      <c r="H326" t="s">
        <v>1473</v>
      </c>
      <c r="I326" t="s">
        <v>1474</v>
      </c>
      <c r="J326" t="s">
        <v>1475</v>
      </c>
      <c r="K326" t="str">
        <f>HYPERLINK("https://www.ebi.ac.uk/ena/browser/view/ERR14660999","ERR14660999")</f>
        <v>ERR14660999</v>
      </c>
      <c r="L326" t="str">
        <f>HYPERLINK("https://www.ebi.ac.uk/ena/browser/view/GCA_965181725","GCA_965181725")</f>
        <v>GCA_965181725</v>
      </c>
      <c r="M326" t="str">
        <f>HYPERLINK("https://www.ncbi.nlm.nih.gov/datasets/genome/GCA_965181725","CBCYGY010000001-CBCYGY010000129")</f>
        <v>CBCYGY010000001-CBCYGY010000129</v>
      </c>
    </row>
    <row r="327" spans="1:13" x14ac:dyDescent="0.35">
      <c r="A327" t="s">
        <v>1476</v>
      </c>
      <c r="B327" t="s">
        <v>25</v>
      </c>
      <c r="C327" t="s">
        <v>26</v>
      </c>
      <c r="D327" t="s">
        <v>32</v>
      </c>
      <c r="E327" t="s">
        <v>190</v>
      </c>
      <c r="F327" t="s">
        <v>191</v>
      </c>
      <c r="G327" t="s">
        <v>206</v>
      </c>
      <c r="H327" t="s">
        <v>1477</v>
      </c>
      <c r="I327" t="s">
        <v>1478</v>
      </c>
      <c r="J327" t="s">
        <v>1479</v>
      </c>
      <c r="K327" t="str">
        <f>HYPERLINK("https://www.ebi.ac.uk/ena/browser/view/ERR14660927","ERR14660927")</f>
        <v>ERR14660927</v>
      </c>
      <c r="L327" t="str">
        <f>HYPERLINK("https://www.ebi.ac.uk/ena/browser/view/GCA_965183285","GCA_965183285")</f>
        <v>GCA_965183285</v>
      </c>
      <c r="M327" t="str">
        <f>HYPERLINK("https://www.ncbi.nlm.nih.gov/datasets/genome/GCA_965183285","CBDABJ010000001-CBDABJ010000142")</f>
        <v>CBDABJ010000001-CBDABJ010000142</v>
      </c>
    </row>
    <row r="328" spans="1:13" x14ac:dyDescent="0.35">
      <c r="A328" t="s">
        <v>1480</v>
      </c>
      <c r="B328" t="s">
        <v>15</v>
      </c>
      <c r="C328" t="s">
        <v>16</v>
      </c>
      <c r="D328" t="s">
        <v>32</v>
      </c>
      <c r="E328" t="s">
        <v>190</v>
      </c>
      <c r="F328" t="s">
        <v>191</v>
      </c>
      <c r="G328" t="s">
        <v>483</v>
      </c>
      <c r="H328" t="s">
        <v>1481</v>
      </c>
      <c r="I328" t="s">
        <v>1482</v>
      </c>
      <c r="J328" t="s">
        <v>1483</v>
      </c>
      <c r="K328" t="str">
        <f>HYPERLINK("https://www.ebi.ac.uk/ena/browser/view/ERR2538193","ERR2538193")</f>
        <v>ERR2538193</v>
      </c>
      <c r="L328" t="str">
        <f>HYPERLINK("https://www.ebi.ac.uk/ena/browser/view/GCA_965179775","GCA_965179775")</f>
        <v>GCA_965179775</v>
      </c>
      <c r="M328" t="str">
        <f>HYPERLINK("https://www.ncbi.nlm.nih.gov/datasets/genome/GCA_965179775","CBCXZT010000001-CBCXZT010000301")</f>
        <v>CBCXZT010000001-CBCXZT010000301</v>
      </c>
    </row>
    <row r="329" spans="1:13" x14ac:dyDescent="0.35">
      <c r="A329" t="s">
        <v>1484</v>
      </c>
      <c r="B329" t="s">
        <v>25</v>
      </c>
      <c r="C329" t="s">
        <v>174</v>
      </c>
      <c r="D329" t="s">
        <v>32</v>
      </c>
      <c r="E329" t="s">
        <v>190</v>
      </c>
      <c r="F329" t="s">
        <v>191</v>
      </c>
      <c r="G329" t="s">
        <v>620</v>
      </c>
      <c r="H329" t="s">
        <v>1485</v>
      </c>
      <c r="I329" t="s">
        <v>1486</v>
      </c>
      <c r="J329" t="s">
        <v>1487</v>
      </c>
      <c r="K329" t="str">
        <f>HYPERLINK("https://www.ebi.ac.uk/ena/browser/view/ERR14661021","ERR14661021")</f>
        <v>ERR14661021</v>
      </c>
      <c r="L329" t="str">
        <f>HYPERLINK("https://www.ebi.ac.uk/ena/browser/view/GCA_965182635","GCA_965182635")</f>
        <v>GCA_965182635</v>
      </c>
      <c r="M329" t="str">
        <f>HYPERLINK("https://www.ncbi.nlm.nih.gov/datasets/genome/GCA_965182635","CBCYLD010000001-CBCYLD010000080")</f>
        <v>CBCYLD010000001-CBCYLD010000080</v>
      </c>
    </row>
    <row r="330" spans="1:13" x14ac:dyDescent="0.35">
      <c r="A330" t="s">
        <v>1488</v>
      </c>
      <c r="B330" t="s">
        <v>15</v>
      </c>
      <c r="C330" t="s">
        <v>16</v>
      </c>
      <c r="D330" t="s">
        <v>32</v>
      </c>
      <c r="E330" t="s">
        <v>190</v>
      </c>
      <c r="F330" t="s">
        <v>191</v>
      </c>
      <c r="G330" t="s">
        <v>221</v>
      </c>
      <c r="H330" t="s">
        <v>1489</v>
      </c>
      <c r="I330" t="s">
        <v>1490</v>
      </c>
      <c r="J330" t="s">
        <v>1491</v>
      </c>
      <c r="K330" t="str">
        <f>HYPERLINK("https://www.ebi.ac.uk/ena/browser/view/ERR14660889","ERR14660889")</f>
        <v>ERR14660889</v>
      </c>
      <c r="L330" t="str">
        <f>HYPERLINK("https://www.ebi.ac.uk/ena/browser/view/GCA_965180015","GCA_965180015")</f>
        <v>GCA_965180015</v>
      </c>
      <c r="M330" t="str">
        <f>HYPERLINK("https://www.ncbi.nlm.nih.gov/datasets/genome/GCA_965180015","CBCYBV010000001-CBCYBV010000133")</f>
        <v>CBCYBV010000001-CBCYBV010000133</v>
      </c>
    </row>
    <row r="331" spans="1:13" x14ac:dyDescent="0.35">
      <c r="A331" t="s">
        <v>1492</v>
      </c>
      <c r="B331" t="s">
        <v>25</v>
      </c>
      <c r="C331" t="s">
        <v>26</v>
      </c>
      <c r="D331" t="s">
        <v>32</v>
      </c>
      <c r="E331" t="s">
        <v>190</v>
      </c>
      <c r="F331" t="s">
        <v>191</v>
      </c>
      <c r="G331" t="s">
        <v>332</v>
      </c>
      <c r="H331" t="s">
        <v>1493</v>
      </c>
      <c r="I331" t="s">
        <v>1494</v>
      </c>
      <c r="J331" t="s">
        <v>1495</v>
      </c>
      <c r="K331" t="str">
        <f>HYPERLINK("https://www.ebi.ac.uk/ena/browser/view/ERR14660933","ERR14660933")</f>
        <v>ERR14660933</v>
      </c>
      <c r="L331" t="str">
        <f>HYPERLINK("https://www.ebi.ac.uk/ena/browser/view/GCA_965182415","GCA_965182415")</f>
        <v>GCA_965182415</v>
      </c>
      <c r="M331" t="str">
        <f>HYPERLINK("https://www.ncbi.nlm.nih.gov/datasets/genome/GCA_965182415","CBCYKG010000001-CBCYKG010000097")</f>
        <v>CBCYKG010000001-CBCYKG010000097</v>
      </c>
    </row>
    <row r="332" spans="1:13" x14ac:dyDescent="0.35">
      <c r="A332" t="s">
        <v>1496</v>
      </c>
      <c r="B332" t="s">
        <v>25</v>
      </c>
      <c r="C332" t="s">
        <v>26</v>
      </c>
      <c r="D332" t="s">
        <v>32</v>
      </c>
      <c r="E332" t="s">
        <v>190</v>
      </c>
      <c r="F332" t="s">
        <v>191</v>
      </c>
      <c r="G332" t="s">
        <v>546</v>
      </c>
      <c r="H332" t="s">
        <v>1497</v>
      </c>
      <c r="I332" t="s">
        <v>1498</v>
      </c>
      <c r="J332" t="s">
        <v>1499</v>
      </c>
      <c r="K332" t="str">
        <f>HYPERLINK("https://www.ebi.ac.uk/ena/browser/view/ERR14660934","ERR14660934")</f>
        <v>ERR14660934</v>
      </c>
      <c r="L332" t="str">
        <f>HYPERLINK("https://www.ebi.ac.uk/ena/browser/view/GCA_965180745","GCA_965180745")</f>
        <v>GCA_965180745</v>
      </c>
      <c r="M332" t="str">
        <f>HYPERLINK("https://www.ncbi.nlm.nih.gov/datasets/genome/GCA_965180745","CBCYDP010000001-CBCYDP010000147")</f>
        <v>CBCYDP010000001-CBCYDP010000147</v>
      </c>
    </row>
    <row r="333" spans="1:13" x14ac:dyDescent="0.35">
      <c r="A333" t="s">
        <v>1500</v>
      </c>
      <c r="B333" t="s">
        <v>25</v>
      </c>
      <c r="C333" t="s">
        <v>26</v>
      </c>
      <c r="D333" t="s">
        <v>32</v>
      </c>
      <c r="E333" t="s">
        <v>190</v>
      </c>
      <c r="F333" t="s">
        <v>191</v>
      </c>
      <c r="G333" t="s">
        <v>1365</v>
      </c>
      <c r="H333" t="s">
        <v>1501</v>
      </c>
      <c r="I333" t="s">
        <v>1502</v>
      </c>
      <c r="J333" t="s">
        <v>1503</v>
      </c>
      <c r="K333" t="str">
        <f>HYPERLINK("https://www.ebi.ac.uk/ena/browser/view/ERR14660949","ERR14660949")</f>
        <v>ERR14660949</v>
      </c>
      <c r="L333" t="str">
        <f>HYPERLINK("https://www.ebi.ac.uk/ena/browser/view/GCA_965182735","GCA_965182735")</f>
        <v>GCA_965182735</v>
      </c>
      <c r="M333" t="str">
        <f>HYPERLINK("https://www.ncbi.nlm.nih.gov/datasets/genome/GCA_965182735","CBCYLJ010000001-CBCYLJ010000115")</f>
        <v>CBCYLJ010000001-CBCYLJ010000115</v>
      </c>
    </row>
    <row r="334" spans="1:13" x14ac:dyDescent="0.35">
      <c r="A334" t="s">
        <v>1504</v>
      </c>
      <c r="B334" t="s">
        <v>25</v>
      </c>
      <c r="C334" t="s">
        <v>26</v>
      </c>
      <c r="D334" t="s">
        <v>32</v>
      </c>
      <c r="E334" t="s">
        <v>190</v>
      </c>
      <c r="F334" t="s">
        <v>191</v>
      </c>
      <c r="G334" t="s">
        <v>211</v>
      </c>
      <c r="H334" t="s">
        <v>1505</v>
      </c>
      <c r="I334" t="s">
        <v>1506</v>
      </c>
      <c r="J334" t="s">
        <v>1507</v>
      </c>
      <c r="K334" t="str">
        <f>HYPERLINK("https://www.ebi.ac.uk/ena/browser/view/ERR14661000","ERR14661000")</f>
        <v>ERR14661000</v>
      </c>
      <c r="L334" t="str">
        <f>HYPERLINK("https://www.ebi.ac.uk/ena/browser/view/GCA_965182995","GCA_965182995")</f>
        <v>GCA_965182995</v>
      </c>
      <c r="M334" t="str">
        <f>HYPERLINK("https://www.ncbi.nlm.nih.gov/datasets/genome/GCA_965182995","CBDABD010000001-CBDABD010000101")</f>
        <v>CBDABD010000001-CBDABD010000101</v>
      </c>
    </row>
    <row r="335" spans="1:13" x14ac:dyDescent="0.35">
      <c r="A335" t="s">
        <v>1508</v>
      </c>
      <c r="B335" t="s">
        <v>15</v>
      </c>
      <c r="C335" t="s">
        <v>16</v>
      </c>
      <c r="D335" t="s">
        <v>32</v>
      </c>
      <c r="E335" t="s">
        <v>190</v>
      </c>
      <c r="F335" t="s">
        <v>191</v>
      </c>
      <c r="G335" t="s">
        <v>1509</v>
      </c>
      <c r="H335" t="s">
        <v>1510</v>
      </c>
      <c r="I335" t="s">
        <v>1511</v>
      </c>
      <c r="J335" t="s">
        <v>1512</v>
      </c>
      <c r="K335" t="str">
        <f>HYPERLINK("https://www.ebi.ac.uk/ena/browser/view/ERR14660907","ERR14660907")</f>
        <v>ERR14660907</v>
      </c>
      <c r="L335" t="str">
        <f>HYPERLINK("https://www.ebi.ac.uk/ena/browser/view/GCA_965179685","GCA_965179685")</f>
        <v>GCA_965179685</v>
      </c>
      <c r="M335" t="str">
        <f>HYPERLINK("https://www.ncbi.nlm.nih.gov/datasets/genome/GCA_965179685","CBCYAG010000001-CBCYAG010000245")</f>
        <v>CBCYAG010000001-CBCYAG010000245</v>
      </c>
    </row>
    <row r="336" spans="1:13" x14ac:dyDescent="0.35">
      <c r="A336" t="s">
        <v>1513</v>
      </c>
      <c r="B336" t="s">
        <v>25</v>
      </c>
      <c r="C336" t="s">
        <v>26</v>
      </c>
      <c r="D336" t="s">
        <v>32</v>
      </c>
      <c r="E336" t="s">
        <v>190</v>
      </c>
      <c r="F336" t="s">
        <v>191</v>
      </c>
      <c r="G336" t="s">
        <v>647</v>
      </c>
      <c r="H336" t="s">
        <v>1514</v>
      </c>
      <c r="I336" t="s">
        <v>1515</v>
      </c>
      <c r="J336" t="s">
        <v>1516</v>
      </c>
      <c r="K336" t="str">
        <f>HYPERLINK("https://www.ebi.ac.uk/ena/browser/view/ERR14660950","ERR14660950")</f>
        <v>ERR14660950</v>
      </c>
      <c r="L336" t="str">
        <f>HYPERLINK("https://www.ebi.ac.uk/ena/browser/view/GCA_965181855","GCA_965181855")</f>
        <v>GCA_965181855</v>
      </c>
      <c r="M336" t="str">
        <f>HYPERLINK("https://www.ncbi.nlm.nih.gov/datasets/genome/GCA_965181855","CBCYIG010000001-CBCYIG010000200")</f>
        <v>CBCYIG010000001-CBCYIG010000200</v>
      </c>
    </row>
    <row r="337" spans="1:13" x14ac:dyDescent="0.35">
      <c r="A337" t="s">
        <v>1517</v>
      </c>
      <c r="B337" t="s">
        <v>25</v>
      </c>
      <c r="C337" t="s">
        <v>26</v>
      </c>
      <c r="D337" t="s">
        <v>32</v>
      </c>
      <c r="E337" t="s">
        <v>190</v>
      </c>
      <c r="F337" t="s">
        <v>191</v>
      </c>
      <c r="G337" t="s">
        <v>206</v>
      </c>
      <c r="H337" t="s">
        <v>1518</v>
      </c>
      <c r="I337" t="s">
        <v>1519</v>
      </c>
      <c r="J337" t="s">
        <v>1520</v>
      </c>
      <c r="K337" t="str">
        <f>HYPERLINK("https://www.ebi.ac.uk/ena/browser/view/ERR14660977","ERR14660977")</f>
        <v>ERR14660977</v>
      </c>
      <c r="L337" t="str">
        <f>HYPERLINK("https://www.ebi.ac.uk/ena/browser/view/GCA_965182605","GCA_965182605")</f>
        <v>GCA_965182605</v>
      </c>
      <c r="M337" t="str">
        <f>HYPERLINK("https://www.ncbi.nlm.nih.gov/datasets/genome/GCA_965182605","CBCYLI010000001-CBCYLI010000178")</f>
        <v>CBCYLI010000001-CBCYLI010000178</v>
      </c>
    </row>
    <row r="338" spans="1:13" x14ac:dyDescent="0.35">
      <c r="A338" t="s">
        <v>1521</v>
      </c>
      <c r="B338" t="s">
        <v>25</v>
      </c>
      <c r="C338" t="s">
        <v>26</v>
      </c>
      <c r="D338" t="s">
        <v>32</v>
      </c>
      <c r="E338" t="s">
        <v>190</v>
      </c>
      <c r="F338" t="s">
        <v>191</v>
      </c>
      <c r="G338" t="s">
        <v>611</v>
      </c>
      <c r="H338" t="s">
        <v>1522</v>
      </c>
      <c r="I338" t="s">
        <v>1523</v>
      </c>
      <c r="J338" t="s">
        <v>1524</v>
      </c>
      <c r="K338" t="str">
        <f>HYPERLINK("https://www.ebi.ac.uk/ena/browser/view/ERR14660939","ERR14660939")</f>
        <v>ERR14660939</v>
      </c>
      <c r="L338" t="str">
        <f>HYPERLINK("https://www.ebi.ac.uk/ena/browser/view/GCA_965180715","GCA_965180715")</f>
        <v>GCA_965180715</v>
      </c>
      <c r="M338" t="str">
        <f>HYPERLINK("https://www.ncbi.nlm.nih.gov/datasets/genome/GCA_965180715","CBCYDR010000001-CBCYDR010000155")</f>
        <v>CBCYDR010000001-CBCYDR010000155</v>
      </c>
    </row>
    <row r="339" spans="1:13" x14ac:dyDescent="0.35">
      <c r="A339" t="s">
        <v>1525</v>
      </c>
      <c r="B339" t="s">
        <v>25</v>
      </c>
      <c r="C339" t="s">
        <v>26</v>
      </c>
      <c r="D339" t="s">
        <v>32</v>
      </c>
      <c r="E339" t="s">
        <v>190</v>
      </c>
      <c r="F339" t="s">
        <v>191</v>
      </c>
      <c r="G339" t="s">
        <v>1140</v>
      </c>
      <c r="H339" t="s">
        <v>1526</v>
      </c>
      <c r="I339" t="s">
        <v>1527</v>
      </c>
      <c r="J339" t="s">
        <v>1528</v>
      </c>
      <c r="K339" t="str">
        <f>HYPERLINK("https://www.ebi.ac.uk/ena/browser/view/ERR14660991","ERR14660991")</f>
        <v>ERR14660991</v>
      </c>
      <c r="L339" t="str">
        <f>HYPERLINK("https://www.ebi.ac.uk/ena/browser/view/GCA_965183265","GCA_965183265")</f>
        <v>GCA_965183265</v>
      </c>
      <c r="M339" t="str">
        <f>HYPERLINK("https://www.ncbi.nlm.nih.gov/datasets/genome/GCA_965183265","CBDABG010000001-CBDABG010000079")</f>
        <v>CBDABG010000001-CBDABG010000079</v>
      </c>
    </row>
    <row r="340" spans="1:13" x14ac:dyDescent="0.35">
      <c r="A340" t="s">
        <v>1529</v>
      </c>
      <c r="B340" t="s">
        <v>25</v>
      </c>
      <c r="C340" t="s">
        <v>26</v>
      </c>
      <c r="D340" t="s">
        <v>32</v>
      </c>
      <c r="E340" t="s">
        <v>190</v>
      </c>
      <c r="F340" t="s">
        <v>191</v>
      </c>
      <c r="G340" t="s">
        <v>319</v>
      </c>
      <c r="H340" t="s">
        <v>1530</v>
      </c>
      <c r="I340" t="s">
        <v>1531</v>
      </c>
      <c r="J340" t="s">
        <v>1532</v>
      </c>
      <c r="K340" t="str">
        <f>HYPERLINK("https://www.ebi.ac.uk/ena/browser/view/ERR14660945","ERR14660945")</f>
        <v>ERR14660945</v>
      </c>
      <c r="L340" t="str">
        <f>HYPERLINK("https://www.ebi.ac.uk/ena/browser/view/GCA_965182395","GCA_965182395")</f>
        <v>GCA_965182395</v>
      </c>
      <c r="M340" t="str">
        <f>HYPERLINK("https://www.ncbi.nlm.nih.gov/datasets/genome/GCA_965182395","CBCYKY010000001-CBCYKY010000249")</f>
        <v>CBCYKY010000001-CBCYKY010000249</v>
      </c>
    </row>
    <row r="341" spans="1:13" x14ac:dyDescent="0.35">
      <c r="A341" t="s">
        <v>1533</v>
      </c>
      <c r="B341" t="s">
        <v>25</v>
      </c>
      <c r="C341" t="s">
        <v>26</v>
      </c>
      <c r="D341" t="s">
        <v>32</v>
      </c>
      <c r="E341" t="s">
        <v>190</v>
      </c>
      <c r="F341" t="s">
        <v>191</v>
      </c>
      <c r="G341" t="s">
        <v>230</v>
      </c>
      <c r="H341" t="s">
        <v>1534</v>
      </c>
      <c r="I341" t="s">
        <v>1535</v>
      </c>
      <c r="J341" t="s">
        <v>1536</v>
      </c>
      <c r="K341" t="str">
        <f>HYPERLINK("https://www.ebi.ac.uk/ena/browser/view/ERR14660952","ERR14660952")</f>
        <v>ERR14660952</v>
      </c>
      <c r="L341" t="str">
        <f>HYPERLINK("https://www.ebi.ac.uk/ena/browser/view/GCA_965182715","GCA_965182715")</f>
        <v>GCA_965182715</v>
      </c>
      <c r="M341" t="str">
        <f>HYPERLINK("https://www.ncbi.nlm.nih.gov/datasets/genome/GCA_965182715","CBCYMA010000001-CBCYMA010000219")</f>
        <v>CBCYMA010000001-CBCYMA010000219</v>
      </c>
    </row>
    <row r="342" spans="1:13" x14ac:dyDescent="0.35">
      <c r="A342" t="s">
        <v>1537</v>
      </c>
      <c r="B342" t="s">
        <v>25</v>
      </c>
      <c r="C342" t="s">
        <v>26</v>
      </c>
      <c r="D342" t="s">
        <v>32</v>
      </c>
      <c r="E342" t="s">
        <v>190</v>
      </c>
      <c r="F342" t="s">
        <v>191</v>
      </c>
      <c r="G342" t="s">
        <v>1256</v>
      </c>
      <c r="H342" t="s">
        <v>1538</v>
      </c>
      <c r="I342" t="s">
        <v>1539</v>
      </c>
      <c r="J342" t="s">
        <v>1540</v>
      </c>
      <c r="K342" t="str">
        <f>HYPERLINK("https://www.ebi.ac.uk/ena/browser/view/ERR14660951","ERR14660951")</f>
        <v>ERR14660951</v>
      </c>
      <c r="L342" t="str">
        <f>HYPERLINK("https://www.ebi.ac.uk/ena/browser/view/GCA_965182725","GCA_965182725")</f>
        <v>GCA_965182725</v>
      </c>
      <c r="M342" t="str">
        <f>HYPERLINK("https://www.ncbi.nlm.nih.gov/datasets/genome/GCA_965182725","CBCYLM010000001-CBCYLM010000144")</f>
        <v>CBCYLM010000001-CBCYLM010000144</v>
      </c>
    </row>
    <row r="343" spans="1:13" x14ac:dyDescent="0.35">
      <c r="A343" t="s">
        <v>1541</v>
      </c>
      <c r="B343" t="s">
        <v>15</v>
      </c>
      <c r="C343" t="s">
        <v>16</v>
      </c>
      <c r="D343" t="s">
        <v>32</v>
      </c>
      <c r="E343" t="s">
        <v>190</v>
      </c>
      <c r="F343" t="s">
        <v>191</v>
      </c>
      <c r="G343" t="s">
        <v>1256</v>
      </c>
      <c r="H343" t="s">
        <v>1542</v>
      </c>
      <c r="I343" t="s">
        <v>1543</v>
      </c>
      <c r="J343" t="s">
        <v>1544</v>
      </c>
      <c r="K343" t="str">
        <f>HYPERLINK("https://www.ebi.ac.uk/ena/browser/view/ERR14660892","ERR14660892")</f>
        <v>ERR14660892</v>
      </c>
      <c r="L343" t="str">
        <f>HYPERLINK("https://www.ebi.ac.uk/ena/browser/view/GCA_965183085","GCA_965183085")</f>
        <v>GCA_965183085</v>
      </c>
      <c r="M343" t="str">
        <f>HYPERLINK("https://www.ncbi.nlm.nih.gov/datasets/genome/GCA_965183085","CBDABA010000001-CBDABA010000144")</f>
        <v>CBDABA010000001-CBDABA010000144</v>
      </c>
    </row>
    <row r="344" spans="1:13" x14ac:dyDescent="0.35">
      <c r="A344" t="s">
        <v>1545</v>
      </c>
      <c r="B344" t="s">
        <v>25</v>
      </c>
      <c r="C344" t="s">
        <v>26</v>
      </c>
      <c r="D344" t="s">
        <v>32</v>
      </c>
      <c r="E344" t="s">
        <v>190</v>
      </c>
      <c r="F344" t="s">
        <v>191</v>
      </c>
      <c r="G344" t="s">
        <v>230</v>
      </c>
      <c r="H344" t="s">
        <v>1546</v>
      </c>
      <c r="I344" t="s">
        <v>1547</v>
      </c>
      <c r="J344" t="s">
        <v>1548</v>
      </c>
      <c r="K344" t="str">
        <f>HYPERLINK("https://www.ebi.ac.uk/ena/browser/view/ERR14660996","ERR14660996")</f>
        <v>ERR14660996</v>
      </c>
      <c r="L344" t="str">
        <f>HYPERLINK("https://www.ebi.ac.uk/ena/browser/view/GCA_965181325","GCA_965181325")</f>
        <v>GCA_965181325</v>
      </c>
      <c r="M344" t="str">
        <f>HYPERLINK("https://www.ncbi.nlm.nih.gov/datasets/genome/GCA_965181325","CBCYHF010000001-CBCYHF010000276")</f>
        <v>CBCYHF010000001-CBCYHF010000276</v>
      </c>
    </row>
    <row r="345" spans="1:13" x14ac:dyDescent="0.35">
      <c r="A345" t="s">
        <v>1549</v>
      </c>
      <c r="B345" t="s">
        <v>25</v>
      </c>
      <c r="C345" t="s">
        <v>174</v>
      </c>
      <c r="D345" t="s">
        <v>32</v>
      </c>
      <c r="E345" t="s">
        <v>190</v>
      </c>
      <c r="F345" t="s">
        <v>191</v>
      </c>
      <c r="G345" t="s">
        <v>1100</v>
      </c>
      <c r="H345" t="s">
        <v>1550</v>
      </c>
      <c r="I345" t="s">
        <v>1551</v>
      </c>
      <c r="J345" t="s">
        <v>1552</v>
      </c>
      <c r="K345" t="str">
        <f>HYPERLINK("https://www.ebi.ac.uk/ena/browser/view/ERR14661030","ERR14661030")</f>
        <v>ERR14661030</v>
      </c>
      <c r="L345" t="str">
        <f>HYPERLINK("https://www.ebi.ac.uk/ena/browser/view/GCA_965183685","GCA_965183685")</f>
        <v>GCA_965183685</v>
      </c>
      <c r="M345" t="str">
        <f>HYPERLINK("https://www.ncbi.nlm.nih.gov/datasets/genome/GCA_965183685","CBDACW010000001-CBDACW010000090")</f>
        <v>CBDACW010000001-CBDACW010000090</v>
      </c>
    </row>
    <row r="346" spans="1:13" x14ac:dyDescent="0.35">
      <c r="A346" t="s">
        <v>1553</v>
      </c>
      <c r="B346" t="s">
        <v>15</v>
      </c>
      <c r="C346" t="s">
        <v>16</v>
      </c>
      <c r="D346" t="s">
        <v>32</v>
      </c>
      <c r="E346" t="s">
        <v>190</v>
      </c>
      <c r="F346" t="s">
        <v>191</v>
      </c>
      <c r="G346" t="s">
        <v>206</v>
      </c>
      <c r="H346" t="s">
        <v>1554</v>
      </c>
      <c r="I346" t="s">
        <v>1555</v>
      </c>
      <c r="J346" t="s">
        <v>1556</v>
      </c>
      <c r="K346" t="str">
        <f>HYPERLINK("https://www.ebi.ac.uk/ena/browser/view/ERR14660900","ERR14660900")</f>
        <v>ERR14660900</v>
      </c>
      <c r="L346" t="str">
        <f>HYPERLINK("https://www.ebi.ac.uk/ena/browser/view/GCA_965181405","GCA_965181405")</f>
        <v>GCA_965181405</v>
      </c>
      <c r="M346" t="str">
        <f>HYPERLINK("https://www.ncbi.nlm.nih.gov/datasets/genome/GCA_965181405","CBCYFY010000001-CBCYFY010000114")</f>
        <v>CBCYFY010000001-CBCYFY010000114</v>
      </c>
    </row>
    <row r="347" spans="1:13" x14ac:dyDescent="0.35">
      <c r="A347" t="s">
        <v>1557</v>
      </c>
      <c r="B347" t="s">
        <v>15</v>
      </c>
      <c r="C347" t="s">
        <v>16</v>
      </c>
      <c r="D347" t="s">
        <v>32</v>
      </c>
      <c r="E347" t="s">
        <v>190</v>
      </c>
      <c r="F347" t="s">
        <v>191</v>
      </c>
      <c r="G347" t="s">
        <v>1109</v>
      </c>
      <c r="H347" t="s">
        <v>1558</v>
      </c>
      <c r="I347" t="s">
        <v>1559</v>
      </c>
      <c r="J347" t="s">
        <v>1560</v>
      </c>
      <c r="K347" t="str">
        <f>HYPERLINK("https://www.ebi.ac.uk/ena/browser/view/ERR14660888","ERR14660888")</f>
        <v>ERR14660888</v>
      </c>
      <c r="L347" t="str">
        <f>HYPERLINK("https://www.ebi.ac.uk/ena/browser/view/GCA_965180025","GCA_965180025")</f>
        <v>GCA_965180025</v>
      </c>
      <c r="M347" t="str">
        <f>HYPERLINK("https://www.ncbi.nlm.nih.gov/datasets/genome/GCA_965180025","CBCYBI010000001-CBCYBI010000138")</f>
        <v>CBCYBI010000001-CBCYBI010000138</v>
      </c>
    </row>
    <row r="348" spans="1:13" x14ac:dyDescent="0.35">
      <c r="A348" t="s">
        <v>1561</v>
      </c>
      <c r="B348" t="s">
        <v>25</v>
      </c>
      <c r="C348" t="s">
        <v>174</v>
      </c>
      <c r="D348" t="s">
        <v>32</v>
      </c>
      <c r="E348" t="s">
        <v>190</v>
      </c>
      <c r="F348" t="s">
        <v>191</v>
      </c>
      <c r="G348" t="s">
        <v>1562</v>
      </c>
      <c r="H348" t="s">
        <v>1563</v>
      </c>
      <c r="I348" t="s">
        <v>1564</v>
      </c>
      <c r="J348" t="s">
        <v>1565</v>
      </c>
      <c r="K348" t="str">
        <f>HYPERLINK("https://www.ebi.ac.uk/ena/browser/view/ERR14661026","ERR14661026")</f>
        <v>ERR14661026</v>
      </c>
      <c r="L348" t="str">
        <f>HYPERLINK("https://www.ebi.ac.uk/ena/browser/view/GCA_965183155","GCA_965183155")</f>
        <v>GCA_965183155</v>
      </c>
      <c r="M348" t="str">
        <f>HYPERLINK("https://www.ncbi.nlm.nih.gov/datasets/genome/GCA_965183155","CBDAAZ010000001-CBDAAZ010000110")</f>
        <v>CBDAAZ010000001-CBDAAZ010000110</v>
      </c>
    </row>
    <row r="349" spans="1:13" x14ac:dyDescent="0.35">
      <c r="A349" t="s">
        <v>1566</v>
      </c>
      <c r="B349" t="s">
        <v>15</v>
      </c>
      <c r="C349" t="s">
        <v>16</v>
      </c>
      <c r="D349" t="s">
        <v>32</v>
      </c>
      <c r="E349" t="s">
        <v>190</v>
      </c>
      <c r="F349" t="s">
        <v>191</v>
      </c>
      <c r="G349" t="s">
        <v>230</v>
      </c>
      <c r="H349" t="s">
        <v>1567</v>
      </c>
      <c r="I349" t="s">
        <v>1568</v>
      </c>
      <c r="J349" t="s">
        <v>1569</v>
      </c>
      <c r="K349" t="str">
        <f>HYPERLINK("https://www.ebi.ac.uk/ena/browser/view/ERR2538211","ERR2538211")</f>
        <v>ERR2538211</v>
      </c>
      <c r="L349" t="str">
        <f>HYPERLINK("https://www.ebi.ac.uk/ena/browser/view/GCA_965183195","GCA_965183195")</f>
        <v>GCA_965183195</v>
      </c>
      <c r="M349" t="str">
        <f>HYPERLINK("https://www.ncbi.nlm.nih.gov/datasets/genome/GCA_965183195","CBDABL010000001-CBDABL010000378")</f>
        <v>CBDABL010000001-CBDABL010000378</v>
      </c>
    </row>
    <row r="350" spans="1:13" x14ac:dyDescent="0.35">
      <c r="A350" t="s">
        <v>1570</v>
      </c>
      <c r="B350" t="s">
        <v>15</v>
      </c>
      <c r="C350" t="s">
        <v>16</v>
      </c>
      <c r="D350" t="s">
        <v>32</v>
      </c>
      <c r="E350" t="s">
        <v>190</v>
      </c>
      <c r="F350" t="s">
        <v>191</v>
      </c>
      <c r="G350" t="s">
        <v>1571</v>
      </c>
      <c r="H350" t="s">
        <v>1572</v>
      </c>
      <c r="I350" t="s">
        <v>1573</v>
      </c>
      <c r="J350" t="s">
        <v>1574</v>
      </c>
      <c r="K350" t="str">
        <f>HYPERLINK("https://www.ebi.ac.uk/ena/browser/view/ERR2538200","ERR2538200")</f>
        <v>ERR2538200</v>
      </c>
      <c r="L350" t="str">
        <f>HYPERLINK("https://www.ebi.ac.uk/ena/browser/view/GCA_965183525","GCA_965183525")</f>
        <v>GCA_965183525</v>
      </c>
      <c r="M350" t="str">
        <f>HYPERLINK("https://www.ncbi.nlm.nih.gov/datasets/genome/GCA_965183525","CBDACA010000001-CBDACA010000138")</f>
        <v>CBDACA010000001-CBDACA010000138</v>
      </c>
    </row>
    <row r="351" spans="1:13" x14ac:dyDescent="0.35">
      <c r="A351" t="s">
        <v>1575</v>
      </c>
      <c r="B351" t="s">
        <v>15</v>
      </c>
      <c r="C351" t="s">
        <v>16</v>
      </c>
      <c r="D351" t="s">
        <v>32</v>
      </c>
      <c r="E351" t="s">
        <v>190</v>
      </c>
      <c r="F351" t="s">
        <v>191</v>
      </c>
      <c r="G351" t="s">
        <v>778</v>
      </c>
      <c r="H351" t="s">
        <v>1576</v>
      </c>
      <c r="I351" t="s">
        <v>1577</v>
      </c>
      <c r="J351" t="s">
        <v>1578</v>
      </c>
      <c r="K351" t="str">
        <f>HYPERLINK("https://www.ebi.ac.uk/ena/browser/view/ERR14660906","ERR14660906")</f>
        <v>ERR14660906</v>
      </c>
      <c r="L351" t="str">
        <f>HYPERLINK("https://www.ebi.ac.uk/ena/browser/view/GCA_965180135","GCA_965180135")</f>
        <v>GCA_965180135</v>
      </c>
      <c r="M351" t="str">
        <f>HYPERLINK("https://www.ncbi.nlm.nih.gov/datasets/genome/GCA_965180135","CBCYBG010000001-CBCYBG010000111")</f>
        <v>CBCYBG010000001-CBCYBG010000111</v>
      </c>
    </row>
    <row r="352" spans="1:13" x14ac:dyDescent="0.35">
      <c r="A352" t="s">
        <v>1579</v>
      </c>
      <c r="B352" t="s">
        <v>25</v>
      </c>
      <c r="C352" t="s">
        <v>174</v>
      </c>
      <c r="D352" t="s">
        <v>32</v>
      </c>
      <c r="E352" t="s">
        <v>190</v>
      </c>
      <c r="F352" t="s">
        <v>191</v>
      </c>
      <c r="G352" t="s">
        <v>546</v>
      </c>
      <c r="H352" t="s">
        <v>1580</v>
      </c>
      <c r="I352" t="s">
        <v>1581</v>
      </c>
      <c r="J352" t="s">
        <v>1582</v>
      </c>
      <c r="K352" t="str">
        <f>HYPERLINK("https://www.ebi.ac.uk/ena/browser/view/ERR14661008","ERR14661008")</f>
        <v>ERR14661008</v>
      </c>
      <c r="L352" t="str">
        <f>HYPERLINK("https://www.ebi.ac.uk/ena/browser/view/GCA_965179875","GCA_965179875")</f>
        <v>GCA_965179875</v>
      </c>
      <c r="M352" t="str">
        <f>HYPERLINK("https://www.ncbi.nlm.nih.gov/datasets/genome/GCA_965179875","CBCYAT010000001-CBCYAT010000143")</f>
        <v>CBCYAT010000001-CBCYAT010000143</v>
      </c>
    </row>
    <row r="353" spans="1:13" x14ac:dyDescent="0.35">
      <c r="A353" t="s">
        <v>1583</v>
      </c>
      <c r="B353" t="s">
        <v>25</v>
      </c>
      <c r="C353" t="s">
        <v>26</v>
      </c>
      <c r="D353" t="s">
        <v>32</v>
      </c>
      <c r="E353" t="s">
        <v>190</v>
      </c>
      <c r="F353" t="s">
        <v>191</v>
      </c>
      <c r="G353" t="s">
        <v>1584</v>
      </c>
      <c r="H353" t="s">
        <v>1585</v>
      </c>
      <c r="I353" t="s">
        <v>1586</v>
      </c>
      <c r="J353" t="s">
        <v>1587</v>
      </c>
      <c r="K353" t="str">
        <f>HYPERLINK("https://www.ebi.ac.uk/ena/browser/view/ERR14660935","ERR14660935")</f>
        <v>ERR14660935</v>
      </c>
      <c r="L353" t="str">
        <f>HYPERLINK("https://www.ebi.ac.uk/ena/browser/view/GCA_965180735","GCA_965180735")</f>
        <v>GCA_965180735</v>
      </c>
      <c r="M353" t="str">
        <f>HYPERLINK("https://www.ncbi.nlm.nih.gov/datasets/genome/GCA_965180735","CBCYED010000001-CBCYED010000268")</f>
        <v>CBCYED010000001-CBCYED010000268</v>
      </c>
    </row>
    <row r="354" spans="1:13" x14ac:dyDescent="0.35">
      <c r="A354" t="s">
        <v>1588</v>
      </c>
      <c r="B354" t="s">
        <v>25</v>
      </c>
      <c r="C354" t="s">
        <v>26</v>
      </c>
      <c r="D354" t="s">
        <v>32</v>
      </c>
      <c r="E354" t="s">
        <v>863</v>
      </c>
      <c r="F354" t="s">
        <v>864</v>
      </c>
      <c r="G354" t="s">
        <v>1589</v>
      </c>
      <c r="H354" t="s">
        <v>1590</v>
      </c>
      <c r="I354" t="s">
        <v>1591</v>
      </c>
      <c r="J354" t="s">
        <v>1592</v>
      </c>
      <c r="K354" t="str">
        <f>HYPERLINK("https://www.ebi.ac.uk/ena/browser/view/ERR14660926","ERR14660926")</f>
        <v>ERR14660926</v>
      </c>
      <c r="L354" t="str">
        <f>HYPERLINK("https://www.ebi.ac.uk/ena/browser/view/GCA_965183295","GCA_965183295")</f>
        <v>GCA_965183295</v>
      </c>
      <c r="M354" t="str">
        <f>HYPERLINK("https://www.ncbi.nlm.nih.gov/datasets/genome/GCA_965183295","CBDACL010000001-CBDACL010000070")</f>
        <v>CBDACL010000001-CBDACL010000070</v>
      </c>
    </row>
    <row r="355" spans="1:13" x14ac:dyDescent="0.35">
      <c r="A355" t="s">
        <v>1593</v>
      </c>
      <c r="B355" t="s">
        <v>25</v>
      </c>
      <c r="C355" t="s">
        <v>26</v>
      </c>
      <c r="D355" t="s">
        <v>32</v>
      </c>
      <c r="E355" t="s">
        <v>863</v>
      </c>
      <c r="F355" t="s">
        <v>864</v>
      </c>
      <c r="G355" t="s">
        <v>1594</v>
      </c>
      <c r="H355" t="s">
        <v>1595</v>
      </c>
      <c r="I355" t="s">
        <v>1596</v>
      </c>
      <c r="J355" t="s">
        <v>1597</v>
      </c>
      <c r="K355" t="str">
        <f>HYPERLINK("https://www.ebi.ac.uk/ena/browser/view/ERR14660966","ERR14660966")</f>
        <v>ERR14660966</v>
      </c>
      <c r="L355" t="str">
        <f>HYPERLINK("https://www.ebi.ac.uk/ena/browser/view/GCA_965181035","GCA_965181035")</f>
        <v>GCA_965181035</v>
      </c>
      <c r="M355" t="str">
        <f>HYPERLINK("https://www.ncbi.nlm.nih.gov/datasets/genome/GCA_965181035","CBCYGJ010000001-CBCYGJ010000034")</f>
        <v>CBCYGJ010000001-CBCYGJ010000034</v>
      </c>
    </row>
    <row r="356" spans="1:13" x14ac:dyDescent="0.35">
      <c r="A356" t="s">
        <v>1598</v>
      </c>
      <c r="B356" t="s">
        <v>25</v>
      </c>
      <c r="C356" t="s">
        <v>26</v>
      </c>
      <c r="D356" t="s">
        <v>32</v>
      </c>
      <c r="E356" t="s">
        <v>863</v>
      </c>
      <c r="F356" t="s">
        <v>864</v>
      </c>
      <c r="G356" t="s">
        <v>1599</v>
      </c>
      <c r="H356" t="s">
        <v>1600</v>
      </c>
      <c r="I356" t="s">
        <v>1601</v>
      </c>
      <c r="J356" t="s">
        <v>1602</v>
      </c>
      <c r="K356" t="str">
        <f>HYPERLINK("https://www.ebi.ac.uk/ena/browser/view/ERR14660985","ERR14660985")</f>
        <v>ERR14660985</v>
      </c>
      <c r="L356" t="str">
        <f>HYPERLINK("https://www.ebi.ac.uk/ena/browser/view/GCA_965182545","GCA_965182545")</f>
        <v>GCA_965182545</v>
      </c>
      <c r="M356" t="str">
        <f>HYPERLINK("https://www.ncbi.nlm.nih.gov/datasets/genome/GCA_965182545","CBCYLO010000001-CBCYLO010000046")</f>
        <v>CBCYLO010000001-CBCYLO010000046</v>
      </c>
    </row>
    <row r="357" spans="1:13" x14ac:dyDescent="0.35">
      <c r="A357" t="s">
        <v>1603</v>
      </c>
      <c r="B357" t="s">
        <v>25</v>
      </c>
      <c r="C357" t="s">
        <v>174</v>
      </c>
      <c r="D357" t="s">
        <v>32</v>
      </c>
      <c r="E357" t="s">
        <v>863</v>
      </c>
      <c r="F357" t="s">
        <v>864</v>
      </c>
      <c r="G357" t="s">
        <v>1604</v>
      </c>
      <c r="H357" t="s">
        <v>1605</v>
      </c>
      <c r="I357" t="s">
        <v>1606</v>
      </c>
      <c r="J357" t="s">
        <v>1607</v>
      </c>
      <c r="K357" t="str">
        <f>HYPERLINK("https://www.ebi.ac.uk/ena/browser/view/ERR14661017","ERR14661017")</f>
        <v>ERR14661017</v>
      </c>
      <c r="L357" t="str">
        <f>HYPERLINK("https://www.ebi.ac.uk/ena/browser/view/GCA_965181925","GCA_965181925")</f>
        <v>GCA_965181925</v>
      </c>
      <c r="M357" t="str">
        <f>HYPERLINK("https://www.ncbi.nlm.nih.gov/datasets/genome/GCA_965181925","CBCYJH010000001-CBCYJH010000081")</f>
        <v>CBCYJH010000001-CBCYJH010000081</v>
      </c>
    </row>
    <row r="358" spans="1:13" x14ac:dyDescent="0.35">
      <c r="A358" t="s">
        <v>1608</v>
      </c>
      <c r="B358" t="s">
        <v>25</v>
      </c>
      <c r="C358" t="s">
        <v>26</v>
      </c>
      <c r="D358" t="s">
        <v>32</v>
      </c>
      <c r="E358" t="s">
        <v>863</v>
      </c>
      <c r="F358" t="s">
        <v>864</v>
      </c>
      <c r="G358" t="s">
        <v>923</v>
      </c>
      <c r="H358" t="s">
        <v>1609</v>
      </c>
      <c r="I358" t="s">
        <v>1610</v>
      </c>
      <c r="J358" t="s">
        <v>1611</v>
      </c>
      <c r="K358" t="str">
        <f>HYPERLINK("https://www.ebi.ac.uk/ena/browser/view/ERR14660998","ERR14660998")</f>
        <v>ERR14660998</v>
      </c>
      <c r="L358" t="str">
        <f>HYPERLINK("https://www.ebi.ac.uk/ena/browser/view/GCA_965181005","GCA_965181005")</f>
        <v>GCA_965181005</v>
      </c>
      <c r="M358" t="str">
        <f>HYPERLINK("https://www.ncbi.nlm.nih.gov/datasets/genome/GCA_965181005","CBCYFS010000001-CBCYFS010000054")</f>
        <v>CBCYFS010000001-CBCYFS010000054</v>
      </c>
    </row>
    <row r="359" spans="1:13" x14ac:dyDescent="0.35">
      <c r="A359" t="s">
        <v>1612</v>
      </c>
      <c r="B359" t="s">
        <v>25</v>
      </c>
      <c r="C359" t="s">
        <v>26</v>
      </c>
      <c r="D359" t="s">
        <v>32</v>
      </c>
      <c r="E359" t="s">
        <v>863</v>
      </c>
      <c r="F359" t="s">
        <v>864</v>
      </c>
      <c r="G359" t="s">
        <v>953</v>
      </c>
      <c r="H359" t="s">
        <v>1613</v>
      </c>
      <c r="I359" t="s">
        <v>1614</v>
      </c>
      <c r="J359" t="s">
        <v>1615</v>
      </c>
      <c r="K359" t="str">
        <f>HYPERLINK("https://www.ebi.ac.uk/ena/browser/view/ERR14660937","ERR14660937")</f>
        <v>ERR14660937</v>
      </c>
      <c r="L359" t="str">
        <f>HYPERLINK("https://www.ebi.ac.uk/ena/browser/view/GCA_965180725","GCA_965180725")</f>
        <v>GCA_965180725</v>
      </c>
      <c r="M359" t="str">
        <f>HYPERLINK("https://www.ncbi.nlm.nih.gov/datasets/genome/GCA_965180725","CBCYEH010000001-CBCYEH010000093")</f>
        <v>CBCYEH010000001-CBCYEH010000093</v>
      </c>
    </row>
    <row r="360" spans="1:13" x14ac:dyDescent="0.35">
      <c r="A360" t="s">
        <v>1616</v>
      </c>
      <c r="B360" t="s">
        <v>25</v>
      </c>
      <c r="C360" t="s">
        <v>26</v>
      </c>
      <c r="D360" t="s">
        <v>32</v>
      </c>
      <c r="E360" t="s">
        <v>863</v>
      </c>
      <c r="F360" t="s">
        <v>864</v>
      </c>
      <c r="G360" t="s">
        <v>1594</v>
      </c>
      <c r="H360" t="s">
        <v>1617</v>
      </c>
      <c r="I360" t="s">
        <v>1618</v>
      </c>
      <c r="J360" t="s">
        <v>1619</v>
      </c>
      <c r="K360" t="str">
        <f>HYPERLINK("https://www.ebi.ac.uk/ena/browser/view/ERR14660979","ERR14660979")</f>
        <v>ERR14660979</v>
      </c>
      <c r="L360" t="str">
        <f>HYPERLINK("https://www.ebi.ac.uk/ena/browser/view/GCA_965182005","GCA_965182005")</f>
        <v>GCA_965182005</v>
      </c>
      <c r="M360" t="str">
        <f>HYPERLINK("https://www.ncbi.nlm.nih.gov/datasets/genome/GCA_965182005","CBCYJP010000001-CBCYJP010000051")</f>
        <v>CBCYJP010000001-CBCYJP010000051</v>
      </c>
    </row>
    <row r="361" spans="1:13" x14ac:dyDescent="0.35">
      <c r="A361" t="s">
        <v>1620</v>
      </c>
      <c r="B361" t="s">
        <v>25</v>
      </c>
      <c r="C361" t="s">
        <v>26</v>
      </c>
      <c r="D361" t="s">
        <v>32</v>
      </c>
      <c r="E361" t="s">
        <v>863</v>
      </c>
      <c r="F361" t="s">
        <v>864</v>
      </c>
      <c r="G361" t="s">
        <v>1621</v>
      </c>
      <c r="H361" t="s">
        <v>1622</v>
      </c>
      <c r="I361" t="s">
        <v>1623</v>
      </c>
      <c r="J361" t="s">
        <v>1624</v>
      </c>
      <c r="K361" t="str">
        <f>HYPERLINK("https://www.ebi.ac.uk/ena/browser/view/ERR14660954","ERR14660954")</f>
        <v>ERR14660954</v>
      </c>
      <c r="L361" t="str">
        <f>HYPERLINK("https://www.ebi.ac.uk/ena/browser/view/GCA_965182705","GCA_965182705")</f>
        <v>GCA_965182705</v>
      </c>
      <c r="M361" t="str">
        <f>HYPERLINK("https://www.ncbi.nlm.nih.gov/datasets/genome/GCA_965182705","CBCYMZ010000001-CBCYMZ010000116")</f>
        <v>CBCYMZ010000001-CBCYMZ010000116</v>
      </c>
    </row>
    <row r="362" spans="1:13" x14ac:dyDescent="0.35">
      <c r="A362" t="s">
        <v>1625</v>
      </c>
      <c r="B362" t="s">
        <v>25</v>
      </c>
      <c r="C362" t="s">
        <v>26</v>
      </c>
      <c r="D362" t="s">
        <v>32</v>
      </c>
      <c r="E362" t="s">
        <v>863</v>
      </c>
      <c r="F362" t="s">
        <v>864</v>
      </c>
      <c r="G362" t="s">
        <v>904</v>
      </c>
      <c r="H362" t="s">
        <v>1626</v>
      </c>
      <c r="I362" t="s">
        <v>1627</v>
      </c>
      <c r="J362" t="s">
        <v>1628</v>
      </c>
      <c r="K362" t="str">
        <f>HYPERLINK("https://www.ebi.ac.uk/ena/browser/view/ERR14660974","ERR14660974")</f>
        <v>ERR14660974</v>
      </c>
      <c r="L362" t="str">
        <f>HYPERLINK("https://www.ebi.ac.uk/ena/browser/view/GCA_965180995","GCA_965180995")</f>
        <v>GCA_965180995</v>
      </c>
      <c r="M362" t="str">
        <f>HYPERLINK("https://www.ncbi.nlm.nih.gov/datasets/genome/GCA_965180995","CBCYFZ010000001-CBCYFZ010000082")</f>
        <v>CBCYFZ010000001-CBCYFZ010000082</v>
      </c>
    </row>
    <row r="363" spans="1:13" x14ac:dyDescent="0.35">
      <c r="A363" t="s">
        <v>1629</v>
      </c>
      <c r="B363" t="s">
        <v>25</v>
      </c>
      <c r="C363" t="s">
        <v>174</v>
      </c>
      <c r="D363" t="s">
        <v>32</v>
      </c>
      <c r="E363" t="s">
        <v>863</v>
      </c>
      <c r="F363" t="s">
        <v>864</v>
      </c>
      <c r="G363" t="s">
        <v>1630</v>
      </c>
      <c r="H363" t="s">
        <v>1631</v>
      </c>
      <c r="I363" t="s">
        <v>1632</v>
      </c>
      <c r="J363" t="s">
        <v>1633</v>
      </c>
      <c r="K363" t="str">
        <f>HYPERLINK("https://www.ebi.ac.uk/ena/browser/view/ERR14661029","ERR14661029")</f>
        <v>ERR14661029</v>
      </c>
      <c r="L363" t="str">
        <f>HYPERLINK("https://www.ebi.ac.uk/ena/browser/view/GCA_965179975","GCA_965179975")</f>
        <v>GCA_965179975</v>
      </c>
      <c r="M363" t="str">
        <f>HYPERLINK("https://www.ncbi.nlm.nih.gov/datasets/genome/GCA_965179975","CBCYCB010000001-CBCYCB010000070")</f>
        <v>CBCYCB010000001-CBCYCB010000070</v>
      </c>
    </row>
    <row r="364" spans="1:13" x14ac:dyDescent="0.35">
      <c r="A364" t="s">
        <v>1634</v>
      </c>
      <c r="B364" t="s">
        <v>25</v>
      </c>
      <c r="C364" t="s">
        <v>26</v>
      </c>
      <c r="D364" t="s">
        <v>32</v>
      </c>
      <c r="E364" t="s">
        <v>863</v>
      </c>
      <c r="F364" t="s">
        <v>864</v>
      </c>
      <c r="G364" t="s">
        <v>909</v>
      </c>
      <c r="H364" t="s">
        <v>1635</v>
      </c>
      <c r="I364" t="s">
        <v>1636</v>
      </c>
      <c r="J364" t="s">
        <v>1637</v>
      </c>
      <c r="K364" t="str">
        <f>HYPERLINK("https://www.ebi.ac.uk/ena/browser/view/ERR14660993","ERR14660993")</f>
        <v>ERR14660993</v>
      </c>
      <c r="L364" t="str">
        <f>HYPERLINK("https://www.ebi.ac.uk/ena/browser/view/GCA_965183255","GCA_965183255")</f>
        <v>GCA_965183255</v>
      </c>
      <c r="M364" t="str">
        <f>HYPERLINK("https://www.ncbi.nlm.nih.gov/datasets/genome/GCA_965183255","CBDACP010000001-CBDACP010000089")</f>
        <v>CBDACP010000001-CBDACP010000089</v>
      </c>
    </row>
    <row r="365" spans="1:13" x14ac:dyDescent="0.35">
      <c r="A365" t="s">
        <v>1638</v>
      </c>
      <c r="B365" t="s">
        <v>25</v>
      </c>
      <c r="C365" t="s">
        <v>26</v>
      </c>
      <c r="D365" t="s">
        <v>32</v>
      </c>
      <c r="E365" t="s">
        <v>863</v>
      </c>
      <c r="F365" t="s">
        <v>864</v>
      </c>
      <c r="G365" t="s">
        <v>918</v>
      </c>
      <c r="H365" t="s">
        <v>1639</v>
      </c>
      <c r="I365" t="s">
        <v>1640</v>
      </c>
      <c r="J365" t="s">
        <v>1641</v>
      </c>
      <c r="K365" t="str">
        <f>HYPERLINK("https://www.ebi.ac.uk/ena/browser/view/ERR14660962","ERR14660962")</f>
        <v>ERR14660962</v>
      </c>
      <c r="L365" t="str">
        <f>HYPERLINK("https://www.ebi.ac.uk/ena/browser/view/GCA_965180545","GCA_965180545")</f>
        <v>GCA_965180545</v>
      </c>
      <c r="M365" t="str">
        <f>HYPERLINK("https://www.ncbi.nlm.nih.gov/datasets/genome/GCA_965180545","CBCYDT010000001-CBCYDT010000081")</f>
        <v>CBCYDT010000001-CBCYDT010000081</v>
      </c>
    </row>
    <row r="366" spans="1:13" x14ac:dyDescent="0.35">
      <c r="A366" t="s">
        <v>1642</v>
      </c>
      <c r="B366" t="s">
        <v>25</v>
      </c>
      <c r="C366" t="s">
        <v>26</v>
      </c>
      <c r="D366" t="s">
        <v>32</v>
      </c>
      <c r="E366" t="s">
        <v>863</v>
      </c>
      <c r="F366" t="s">
        <v>864</v>
      </c>
      <c r="G366" t="s">
        <v>1643</v>
      </c>
      <c r="H366" t="s">
        <v>1644</v>
      </c>
      <c r="I366" t="s">
        <v>1645</v>
      </c>
      <c r="J366" t="s">
        <v>1646</v>
      </c>
      <c r="K366" t="str">
        <f>HYPERLINK("https://www.ebi.ac.uk/ena/browser/view/ERR14660964","ERR14660964")</f>
        <v>ERR14660964</v>
      </c>
      <c r="L366" t="str">
        <f>HYPERLINK("https://www.ebi.ac.uk/ena/browser/view/GCA_965180535","GCA_965180535")</f>
        <v>GCA_965180535</v>
      </c>
      <c r="M366" t="str">
        <f>HYPERLINK("https://www.ncbi.nlm.nih.gov/datasets/genome/GCA_965180535","CBCYDG010000001-CBCYDG010000043")</f>
        <v>CBCYDG010000001-CBCYDG010000043</v>
      </c>
    </row>
    <row r="367" spans="1:13" x14ac:dyDescent="0.35">
      <c r="A367" t="s">
        <v>1647</v>
      </c>
      <c r="B367" t="s">
        <v>25</v>
      </c>
      <c r="C367" t="s">
        <v>26</v>
      </c>
      <c r="D367" t="s">
        <v>32</v>
      </c>
      <c r="E367" t="s">
        <v>863</v>
      </c>
      <c r="F367" t="s">
        <v>864</v>
      </c>
      <c r="G367" t="s">
        <v>1589</v>
      </c>
      <c r="H367" t="s">
        <v>1648</v>
      </c>
      <c r="I367" t="s">
        <v>1649</v>
      </c>
      <c r="J367" t="s">
        <v>1650</v>
      </c>
      <c r="K367" t="str">
        <f>HYPERLINK("https://www.ebi.ac.uk/ena/browser/view/ERR14660982","ERR14660982")</f>
        <v>ERR14660982</v>
      </c>
      <c r="L367" t="str">
        <f>HYPERLINK("https://www.ebi.ac.uk/ena/browser/view/GCA_965182535","GCA_965182535")</f>
        <v>GCA_965182535</v>
      </c>
      <c r="M367" t="str">
        <f>HYPERLINK("https://www.ncbi.nlm.nih.gov/datasets/genome/GCA_965182535","CBCYLS010000001-CBCYLS010000047")</f>
        <v>CBCYLS010000001-CBCYLS010000047</v>
      </c>
    </row>
    <row r="368" spans="1:13" x14ac:dyDescent="0.35">
      <c r="A368" t="s">
        <v>1651</v>
      </c>
      <c r="B368" t="s">
        <v>25</v>
      </c>
      <c r="C368" t="s">
        <v>174</v>
      </c>
      <c r="D368" t="s">
        <v>32</v>
      </c>
      <c r="E368" t="s">
        <v>863</v>
      </c>
      <c r="F368" t="s">
        <v>864</v>
      </c>
      <c r="G368" t="s">
        <v>1652</v>
      </c>
      <c r="H368" t="s">
        <v>1653</v>
      </c>
      <c r="I368" t="s">
        <v>1654</v>
      </c>
      <c r="J368" t="s">
        <v>1655</v>
      </c>
      <c r="K368" t="str">
        <f>HYPERLINK("https://www.ebi.ac.uk/ena/browser/view/ERR14661036","ERR14661036")</f>
        <v>ERR14661036</v>
      </c>
      <c r="L368" t="str">
        <f>HYPERLINK("https://www.ebi.ac.uk/ena/browser/view/GCA_965179595","GCA_965179595")</f>
        <v>GCA_965179595</v>
      </c>
      <c r="M368" t="str">
        <f>HYPERLINK("https://www.ncbi.nlm.nih.gov/datasets/genome/GCA_965179595","CBCYAJ010000001-CBCYAJ010000049")</f>
        <v>CBCYAJ010000001-CBCYAJ010000049</v>
      </c>
    </row>
    <row r="369" spans="1:13" x14ac:dyDescent="0.35">
      <c r="A369" t="s">
        <v>1656</v>
      </c>
      <c r="B369" t="s">
        <v>25</v>
      </c>
      <c r="C369" t="s">
        <v>174</v>
      </c>
      <c r="D369" t="s">
        <v>32</v>
      </c>
      <c r="E369" t="s">
        <v>863</v>
      </c>
      <c r="F369" t="s">
        <v>864</v>
      </c>
      <c r="G369" t="s">
        <v>1604</v>
      </c>
      <c r="H369" t="s">
        <v>1657</v>
      </c>
      <c r="I369" t="s">
        <v>1658</v>
      </c>
      <c r="J369" t="s">
        <v>1659</v>
      </c>
      <c r="K369" t="str">
        <f>HYPERLINK("https://www.ebi.ac.uk/ena/browser/view/ERR14661014","ERR14661014")</f>
        <v>ERR14661014</v>
      </c>
      <c r="L369" t="str">
        <f>HYPERLINK("https://www.ebi.ac.uk/ena/browser/view/GCA_965181785","GCA_965181785")</f>
        <v>GCA_965181785</v>
      </c>
      <c r="M369" t="str">
        <f>HYPERLINK("https://www.ncbi.nlm.nih.gov/datasets/genome/GCA_965181785","CBCYIJ010000001-CBCYIJ010000079")</f>
        <v>CBCYIJ010000001-CBCYIJ010000079</v>
      </c>
    </row>
    <row r="370" spans="1:13" x14ac:dyDescent="0.35">
      <c r="A370" t="s">
        <v>1660</v>
      </c>
      <c r="B370" t="s">
        <v>25</v>
      </c>
      <c r="C370" t="s">
        <v>26</v>
      </c>
      <c r="D370" t="s">
        <v>32</v>
      </c>
      <c r="E370" t="s">
        <v>863</v>
      </c>
      <c r="F370" t="s">
        <v>864</v>
      </c>
      <c r="G370" t="s">
        <v>953</v>
      </c>
      <c r="H370" t="s">
        <v>1661</v>
      </c>
      <c r="I370" t="s">
        <v>1662</v>
      </c>
      <c r="J370" t="s">
        <v>1663</v>
      </c>
      <c r="K370" t="str">
        <f>HYPERLINK("https://www.ebi.ac.uk/ena/browser/view/ERR14660959","ERR14660959")</f>
        <v>ERR14660959</v>
      </c>
      <c r="L370" t="str">
        <f>HYPERLINK("https://www.ebi.ac.uk/ena/browser/view/GCA_965181065","GCA_965181065")</f>
        <v>GCA_965181065</v>
      </c>
      <c r="M370" t="str">
        <f>HYPERLINK("https://www.ncbi.nlm.nih.gov/datasets/genome/GCA_965181065","CBCYGG010000001-CBCYGG010000076")</f>
        <v>CBCYGG010000001-CBCYGG010000076</v>
      </c>
    </row>
    <row r="371" spans="1:13" x14ac:dyDescent="0.35">
      <c r="A371" t="s">
        <v>1664</v>
      </c>
      <c r="B371" t="s">
        <v>15</v>
      </c>
      <c r="C371" t="s">
        <v>16</v>
      </c>
      <c r="D371" t="s">
        <v>32</v>
      </c>
      <c r="E371" t="s">
        <v>863</v>
      </c>
      <c r="F371" t="s">
        <v>864</v>
      </c>
      <c r="G371" t="s">
        <v>1665</v>
      </c>
      <c r="H371" t="s">
        <v>1666</v>
      </c>
      <c r="I371" t="s">
        <v>1667</v>
      </c>
      <c r="J371" t="s">
        <v>1668</v>
      </c>
      <c r="K371" t="str">
        <f>HYPERLINK("https://www.ebi.ac.uk/ena/browser/view/ERR14660897","ERR14660897")</f>
        <v>ERR14660897</v>
      </c>
      <c r="L371" t="str">
        <f>HYPERLINK("https://www.ebi.ac.uk/ena/browser/view/GCA_965181615","GCA_965181615")</f>
        <v>GCA_965181615</v>
      </c>
      <c r="M371" t="str">
        <f>HYPERLINK("https://www.ncbi.nlm.nih.gov/datasets/genome/GCA_965181615","CBCYHT010000001-CBCYHT010000081")</f>
        <v>CBCYHT010000001-CBCYHT010000081</v>
      </c>
    </row>
    <row r="372" spans="1:13" x14ac:dyDescent="0.35">
      <c r="A372" t="s">
        <v>1669</v>
      </c>
      <c r="B372" t="s">
        <v>25</v>
      </c>
      <c r="C372" t="s">
        <v>26</v>
      </c>
      <c r="D372" t="s">
        <v>32</v>
      </c>
      <c r="E372" t="s">
        <v>863</v>
      </c>
      <c r="F372" t="s">
        <v>864</v>
      </c>
      <c r="G372" t="s">
        <v>870</v>
      </c>
      <c r="H372" t="s">
        <v>1670</v>
      </c>
      <c r="I372" t="s">
        <v>1671</v>
      </c>
      <c r="J372" t="s">
        <v>1672</v>
      </c>
      <c r="K372" t="str">
        <f>HYPERLINK("https://www.ebi.ac.uk/ena/browser/view/ERR14660989","ERR14660989")</f>
        <v>ERR14660989</v>
      </c>
      <c r="L372" t="str">
        <f>HYPERLINK("https://www.ebi.ac.uk/ena/browser/view/GCA_965180835","GCA_965180835")</f>
        <v>GCA_965180835</v>
      </c>
      <c r="M372" t="str">
        <f>HYPERLINK("https://www.ncbi.nlm.nih.gov/datasets/genome/GCA_965180835","CBCYEL010000001-CBCYEL010000092")</f>
        <v>CBCYEL010000001-CBCYEL010000092</v>
      </c>
    </row>
    <row r="373" spans="1:13" x14ac:dyDescent="0.35">
      <c r="A373" t="s">
        <v>1673</v>
      </c>
      <c r="B373" t="s">
        <v>25</v>
      </c>
      <c r="C373" t="s">
        <v>26</v>
      </c>
      <c r="D373" t="s">
        <v>32</v>
      </c>
      <c r="E373" t="s">
        <v>863</v>
      </c>
      <c r="F373" t="s">
        <v>864</v>
      </c>
      <c r="G373" t="s">
        <v>1674</v>
      </c>
      <c r="H373" t="s">
        <v>1675</v>
      </c>
      <c r="I373" t="s">
        <v>1676</v>
      </c>
      <c r="J373" t="s">
        <v>1677</v>
      </c>
      <c r="K373" t="str">
        <f>HYPERLINK("https://www.ebi.ac.uk/ena/browser/view/ERR14660931","ERR14660931")</f>
        <v>ERR14660931</v>
      </c>
      <c r="L373" t="str">
        <f>HYPERLINK("https://www.ebi.ac.uk/ena/browser/view/GCA_965180215","GCA_965180215")</f>
        <v>GCA_965180215</v>
      </c>
      <c r="M373" t="str">
        <f>HYPERLINK("https://www.ncbi.nlm.nih.gov/datasets/genome/GCA_965180215","CBCYCU010000001-CBCYCU010000058")</f>
        <v>CBCYCU010000001-CBCYCU010000058</v>
      </c>
    </row>
    <row r="374" spans="1:13" x14ac:dyDescent="0.35">
      <c r="A374" t="s">
        <v>1678</v>
      </c>
      <c r="B374" t="s">
        <v>25</v>
      </c>
      <c r="C374" t="s">
        <v>26</v>
      </c>
      <c r="D374" t="s">
        <v>32</v>
      </c>
      <c r="E374" t="s">
        <v>863</v>
      </c>
      <c r="F374" t="s">
        <v>864</v>
      </c>
      <c r="G374" t="s">
        <v>1679</v>
      </c>
      <c r="H374" t="s">
        <v>1680</v>
      </c>
      <c r="I374" t="s">
        <v>1681</v>
      </c>
      <c r="J374" t="s">
        <v>1682</v>
      </c>
      <c r="K374" t="str">
        <f>HYPERLINK("https://www.ebi.ac.uk/ena/browser/view/ERR14661003","ERR14661003")</f>
        <v>ERR14661003</v>
      </c>
      <c r="L374" t="str">
        <f>HYPERLINK("https://www.ebi.ac.uk/ena/browser/view/GCA_965183185","GCA_965183185")</f>
        <v>GCA_965183185</v>
      </c>
      <c r="M374" t="str">
        <f>HYPERLINK("https://www.ncbi.nlm.nih.gov/datasets/genome/GCA_965183185","CBDACC010000001-CBDACC010000063")</f>
        <v>CBDACC010000001-CBDACC010000063</v>
      </c>
    </row>
    <row r="375" spans="1:13" x14ac:dyDescent="0.35">
      <c r="A375" t="s">
        <v>1683</v>
      </c>
      <c r="B375" t="s">
        <v>25</v>
      </c>
      <c r="C375" t="s">
        <v>26</v>
      </c>
      <c r="D375" t="s">
        <v>32</v>
      </c>
      <c r="E375" t="s">
        <v>863</v>
      </c>
      <c r="F375" t="s">
        <v>864</v>
      </c>
      <c r="G375" t="s">
        <v>1684</v>
      </c>
      <c r="H375" t="s">
        <v>1685</v>
      </c>
      <c r="I375" t="s">
        <v>1686</v>
      </c>
      <c r="J375" t="s">
        <v>1687</v>
      </c>
      <c r="K375" t="str">
        <f>HYPERLINK("https://www.ebi.ac.uk/ena/browser/view/ERR14660980","ERR14660980")</f>
        <v>ERR14660980</v>
      </c>
      <c r="L375" t="str">
        <f>HYPERLINK("https://www.ebi.ac.uk/ena/browser/view/GCA_965182555","GCA_965182555")</f>
        <v>GCA_965182555</v>
      </c>
      <c r="M375" t="str">
        <f>HYPERLINK("https://www.ncbi.nlm.nih.gov/datasets/genome/GCA_965182555","CBCYLR010000001-CBCYLR010000063")</f>
        <v>CBCYLR010000001-CBCYLR010000063</v>
      </c>
    </row>
    <row r="376" spans="1:13" x14ac:dyDescent="0.35">
      <c r="A376" t="s">
        <v>1688</v>
      </c>
      <c r="B376" t="s">
        <v>25</v>
      </c>
      <c r="C376" t="s">
        <v>174</v>
      </c>
      <c r="D376" t="s">
        <v>32</v>
      </c>
      <c r="E376" t="s">
        <v>863</v>
      </c>
      <c r="F376" t="s">
        <v>864</v>
      </c>
      <c r="G376" t="s">
        <v>1689</v>
      </c>
      <c r="H376" t="s">
        <v>1690</v>
      </c>
      <c r="I376" t="s">
        <v>1691</v>
      </c>
      <c r="J376" t="s">
        <v>1692</v>
      </c>
      <c r="K376" t="str">
        <f>HYPERLINK("https://www.ebi.ac.uk/ena/browser/view/ERR14661034","ERR14661034")</f>
        <v>ERR14661034</v>
      </c>
      <c r="L376" t="str">
        <f>HYPERLINK("https://www.ebi.ac.uk/ena/browser/view/GCA_965180675","GCA_965180675")</f>
        <v>GCA_965180675</v>
      </c>
      <c r="M376" t="str">
        <f>HYPERLINK("https://www.ncbi.nlm.nih.gov/datasets/genome/GCA_965180675","CBCYEE010000001-CBCYEE010000173")</f>
        <v>CBCYEE010000001-CBCYEE010000173</v>
      </c>
    </row>
    <row r="377" spans="1:13" x14ac:dyDescent="0.35">
      <c r="A377" t="s">
        <v>1693</v>
      </c>
      <c r="B377" t="s">
        <v>25</v>
      </c>
      <c r="C377" t="s">
        <v>26</v>
      </c>
      <c r="D377" t="s">
        <v>32</v>
      </c>
      <c r="E377" t="s">
        <v>997</v>
      </c>
      <c r="F377" t="s">
        <v>864</v>
      </c>
      <c r="G377" t="s">
        <v>1694</v>
      </c>
      <c r="H377" t="s">
        <v>1695</v>
      </c>
      <c r="I377" t="s">
        <v>1696</v>
      </c>
      <c r="J377" t="s">
        <v>1697</v>
      </c>
      <c r="K377" t="str">
        <f>HYPERLINK("https://www.ebi.ac.uk/ena/browser/view/ERR14660940","ERR14660940")</f>
        <v>ERR14660940</v>
      </c>
      <c r="L377" t="str">
        <f>HYPERLINK("https://www.ebi.ac.uk/ena/browser/view/GCA_965182335","GCA_965182335")</f>
        <v>GCA_965182335</v>
      </c>
      <c r="M377" t="str">
        <f>HYPERLINK("https://www.ncbi.nlm.nih.gov/datasets/genome/GCA_965182335","CBCYKT010000001-CBCYKT010000105")</f>
        <v>CBCYKT010000001-CBCYKT010000105</v>
      </c>
    </row>
    <row r="378" spans="1:13" x14ac:dyDescent="0.35">
      <c r="A378" t="s">
        <v>1698</v>
      </c>
      <c r="B378" t="s">
        <v>15</v>
      </c>
      <c r="C378" t="s">
        <v>16</v>
      </c>
      <c r="D378" t="s">
        <v>32</v>
      </c>
      <c r="E378" t="s">
        <v>997</v>
      </c>
      <c r="F378" t="s">
        <v>864</v>
      </c>
      <c r="G378" t="s">
        <v>1699</v>
      </c>
      <c r="H378" t="s">
        <v>1700</v>
      </c>
      <c r="I378" t="s">
        <v>1701</v>
      </c>
      <c r="J378" t="s">
        <v>1702</v>
      </c>
      <c r="K378" t="str">
        <f>HYPERLINK("https://www.ebi.ac.uk/ena/browser/view/ERR14660905","ERR14660905")</f>
        <v>ERR14660905</v>
      </c>
      <c r="L378" t="str">
        <f>HYPERLINK("https://www.ebi.ac.uk/ena/browser/view/GCA_965180145","GCA_965180145")</f>
        <v>GCA_965180145</v>
      </c>
      <c r="M378" t="str">
        <f>HYPERLINK("https://www.ncbi.nlm.nih.gov/datasets/genome/GCA_965180145","CBCYCZ010000001-CBCYCZ010000093")</f>
        <v>CBCYCZ010000001-CBCYCZ010000093</v>
      </c>
    </row>
    <row r="379" spans="1:13" x14ac:dyDescent="0.35">
      <c r="A379" t="s">
        <v>1703</v>
      </c>
      <c r="B379" t="s">
        <v>15</v>
      </c>
      <c r="C379" t="s">
        <v>16</v>
      </c>
      <c r="D379" t="s">
        <v>32</v>
      </c>
      <c r="E379" t="s">
        <v>997</v>
      </c>
      <c r="F379" t="s">
        <v>864</v>
      </c>
      <c r="G379" t="s">
        <v>1704</v>
      </c>
      <c r="H379" t="s">
        <v>1705</v>
      </c>
      <c r="I379" t="s">
        <v>1706</v>
      </c>
      <c r="J379" t="s">
        <v>1707</v>
      </c>
      <c r="K379" t="str">
        <f>HYPERLINK("https://www.ebi.ac.uk/ena/browser/view/ERR14660913","ERR14660913")</f>
        <v>ERR14660913</v>
      </c>
      <c r="L379" t="str">
        <f>HYPERLINK("https://www.ebi.ac.uk/ena/browser/view/GCA_965183215","GCA_965183215")</f>
        <v>GCA_965183215</v>
      </c>
      <c r="M379" t="str">
        <f>HYPERLINK("https://www.ncbi.nlm.nih.gov/datasets/genome/GCA_965183215","CBDABY010000001-CBDABY010000065")</f>
        <v>CBDABY010000001-CBDABY010000065</v>
      </c>
    </row>
    <row r="380" spans="1:13" x14ac:dyDescent="0.35">
      <c r="A380" t="s">
        <v>1708</v>
      </c>
      <c r="B380" t="s">
        <v>25</v>
      </c>
      <c r="C380" t="s">
        <v>26</v>
      </c>
      <c r="D380" t="s">
        <v>32</v>
      </c>
      <c r="E380" t="s">
        <v>1035</v>
      </c>
      <c r="F380" t="s">
        <v>864</v>
      </c>
      <c r="G380" t="s">
        <v>1709</v>
      </c>
      <c r="H380" t="s">
        <v>1710</v>
      </c>
      <c r="I380" t="s">
        <v>1711</v>
      </c>
      <c r="J380" t="s">
        <v>1712</v>
      </c>
      <c r="K380" t="str">
        <f>HYPERLINK("https://www.ebi.ac.uk/ena/browser/view/ERR14660946","ERR14660946")</f>
        <v>ERR14660946</v>
      </c>
      <c r="L380" t="str">
        <f>HYPERLINK("https://www.ebi.ac.uk/ena/browser/view/GCA_965183205","GCA_965183205")</f>
        <v>GCA_965183205</v>
      </c>
      <c r="M380" t="str">
        <f>HYPERLINK("https://www.ncbi.nlm.nih.gov/datasets/genome/GCA_965183205","CBDABP010000001-CBDABP010000118")</f>
        <v>CBDABP010000001-CBDABP010000118</v>
      </c>
    </row>
    <row r="381" spans="1:13" x14ac:dyDescent="0.35">
      <c r="A381" t="s">
        <v>1713</v>
      </c>
      <c r="B381" t="s">
        <v>25</v>
      </c>
      <c r="C381" t="s">
        <v>26</v>
      </c>
      <c r="D381" t="s">
        <v>32</v>
      </c>
      <c r="E381" t="s">
        <v>997</v>
      </c>
      <c r="F381" t="s">
        <v>864</v>
      </c>
      <c r="G381" t="s">
        <v>1714</v>
      </c>
      <c r="H381" t="s">
        <v>1715</v>
      </c>
      <c r="I381" t="s">
        <v>1716</v>
      </c>
      <c r="J381" t="s">
        <v>1717</v>
      </c>
      <c r="K381" t="str">
        <f>HYPERLINK("https://www.ebi.ac.uk/ena/browser/view/ERR14660923","ERR14660923")</f>
        <v>ERR14660923</v>
      </c>
      <c r="L381" t="str">
        <f>HYPERLINK("https://www.ebi.ac.uk/ena/browser/view/GCA_965180275","GCA_965180275")</f>
        <v>GCA_965180275</v>
      </c>
      <c r="M381" t="str">
        <f>HYPERLINK("https://www.ncbi.nlm.nih.gov/datasets/genome/GCA_965180275","CBCYDB010000001-CBCYDB010000091")</f>
        <v>CBCYDB010000001-CBCYDB010000091</v>
      </c>
    </row>
    <row r="382" spans="1:13" x14ac:dyDescent="0.35">
      <c r="A382" t="s">
        <v>1718</v>
      </c>
      <c r="B382" t="s">
        <v>25</v>
      </c>
      <c r="C382" t="s">
        <v>26</v>
      </c>
      <c r="D382" t="s">
        <v>32</v>
      </c>
      <c r="E382" t="s">
        <v>1041</v>
      </c>
      <c r="F382" t="s">
        <v>864</v>
      </c>
      <c r="G382" t="s">
        <v>1042</v>
      </c>
      <c r="H382" t="s">
        <v>1719</v>
      </c>
      <c r="I382" t="s">
        <v>1720</v>
      </c>
      <c r="J382" t="s">
        <v>1721</v>
      </c>
      <c r="K382" t="str">
        <f>HYPERLINK("https://www.ebi.ac.uk/ena/browser/view/ERR14660938","ERR14660938")</f>
        <v>ERR14660938</v>
      </c>
      <c r="L382" t="str">
        <f>HYPERLINK("https://www.ebi.ac.uk/ena/browser/view/GCA_965180885","GCA_965180885")</f>
        <v>GCA_965180885</v>
      </c>
      <c r="M382" t="str">
        <f>HYPERLINK("https://www.ncbi.nlm.nih.gov/datasets/genome/GCA_965180885","CBCYFJ010000001-CBCYFJ010000087")</f>
        <v>CBCYFJ010000001-CBCYFJ010000087</v>
      </c>
    </row>
    <row r="383" spans="1:13" x14ac:dyDescent="0.35">
      <c r="A383" t="s">
        <v>1722</v>
      </c>
      <c r="B383" t="s">
        <v>25</v>
      </c>
      <c r="C383" t="s">
        <v>26</v>
      </c>
      <c r="D383" t="s">
        <v>17</v>
      </c>
      <c r="E383" t="s">
        <v>863</v>
      </c>
      <c r="F383" t="s">
        <v>864</v>
      </c>
      <c r="G383" t="s">
        <v>1723</v>
      </c>
      <c r="H383" t="s">
        <v>1724</v>
      </c>
      <c r="I383" t="s">
        <v>1725</v>
      </c>
      <c r="J383" t="s">
        <v>1726</v>
      </c>
      <c r="K383" t="str">
        <f>HYPERLINK("https://www.ebi.ac.uk/ena/browser/view/ERR14661057","ERR14661057")</f>
        <v>ERR14661057</v>
      </c>
      <c r="L383" t="str">
        <f>HYPERLINK("https://www.ebi.ac.uk/ena/browser/view/GCA_965179645","GCA_965179645")</f>
        <v>GCA_965179645</v>
      </c>
      <c r="M383" t="str">
        <f>HYPERLINK("https://www.ncbi.nlm.nih.gov/datasets/genome/GCA_965179645","CBCYAI010000001-CBCYAI010000054")</f>
        <v>CBCYAI010000001-CBCYAI010000054</v>
      </c>
    </row>
    <row r="384" spans="1:13" x14ac:dyDescent="0.35">
      <c r="A384" t="s">
        <v>1727</v>
      </c>
      <c r="B384" t="s">
        <v>25</v>
      </c>
      <c r="C384" t="s">
        <v>26</v>
      </c>
      <c r="D384" t="s">
        <v>17</v>
      </c>
      <c r="E384" t="s">
        <v>190</v>
      </c>
      <c r="F384" t="s">
        <v>191</v>
      </c>
      <c r="G384" t="s">
        <v>1135</v>
      </c>
      <c r="H384" t="s">
        <v>1728</v>
      </c>
      <c r="I384" t="s">
        <v>1729</v>
      </c>
      <c r="J384" t="s">
        <v>1730</v>
      </c>
      <c r="K384" t="str">
        <f>HYPERLINK("https://www.ebi.ac.uk/ena/browser/view/ERR14661110","ERR14661110")</f>
        <v>ERR14661110</v>
      </c>
      <c r="L384" t="str">
        <f>HYPERLINK("https://www.ebi.ac.uk/ena/browser/view/GCA_965181665","GCA_965181665")</f>
        <v>GCA_965181665</v>
      </c>
      <c r="M384" t="str">
        <f>HYPERLINK("https://www.ncbi.nlm.nih.gov/datasets/genome/GCA_965181665","CBCYHQ010000001-CBCYHQ010000133")</f>
        <v>CBCYHQ010000001-CBCYHQ010000133</v>
      </c>
    </row>
    <row r="385" spans="1:13" x14ac:dyDescent="0.35">
      <c r="A385" t="s">
        <v>1731</v>
      </c>
      <c r="B385" t="s">
        <v>25</v>
      </c>
      <c r="C385" t="s">
        <v>26</v>
      </c>
      <c r="D385" t="s">
        <v>17</v>
      </c>
      <c r="E385" t="s">
        <v>180</v>
      </c>
      <c r="F385" t="s">
        <v>77</v>
      </c>
      <c r="G385" t="s">
        <v>181</v>
      </c>
      <c r="H385" t="s">
        <v>1732</v>
      </c>
      <c r="I385" t="s">
        <v>1733</v>
      </c>
      <c r="J385" t="s">
        <v>1734</v>
      </c>
      <c r="K385" t="str">
        <f>HYPERLINK("https://www.ebi.ac.uk/ena/browser/view/ERR14661104","ERR14661104")</f>
        <v>ERR14661104</v>
      </c>
      <c r="L385" t="str">
        <f>HYPERLINK("https://www.ebi.ac.uk/ena/browser/view/GCA_965181695","GCA_965181695")</f>
        <v>GCA_965181695</v>
      </c>
      <c r="M385" t="str">
        <f>HYPERLINK("https://www.ncbi.nlm.nih.gov/datasets/genome/GCA_965181695","CBCYHU010000001-CBCYHU010000100")</f>
        <v>CBCYHU010000001-CBCYHU010000100</v>
      </c>
    </row>
    <row r="386" spans="1:13" x14ac:dyDescent="0.35">
      <c r="A386" t="s">
        <v>1735</v>
      </c>
      <c r="B386" t="s">
        <v>25</v>
      </c>
      <c r="C386" t="s">
        <v>26</v>
      </c>
      <c r="D386" t="s">
        <v>17</v>
      </c>
      <c r="E386" t="s">
        <v>190</v>
      </c>
      <c r="F386" t="s">
        <v>191</v>
      </c>
      <c r="G386" t="s">
        <v>1736</v>
      </c>
      <c r="H386" t="s">
        <v>1737</v>
      </c>
      <c r="I386" t="s">
        <v>1738</v>
      </c>
      <c r="J386" t="s">
        <v>1739</v>
      </c>
      <c r="K386" t="str">
        <f>HYPERLINK("https://www.ebi.ac.uk/ena/browser/view/ERR14661094","ERR14661094")</f>
        <v>ERR14661094</v>
      </c>
      <c r="L386" t="str">
        <f>HYPERLINK("https://www.ebi.ac.uk/ena/browser/view/GCA_965183225","GCA_965183225")</f>
        <v>GCA_965183225</v>
      </c>
      <c r="M386" t="str">
        <f>HYPERLINK("https://www.ncbi.nlm.nih.gov/datasets/genome/GCA_965183225","CBDABO010000001-CBDABO010000107")</f>
        <v>CBDABO010000001-CBDABO010000107</v>
      </c>
    </row>
    <row r="387" spans="1:13" x14ac:dyDescent="0.35">
      <c r="A387" t="s">
        <v>1740</v>
      </c>
      <c r="B387" t="s">
        <v>25</v>
      </c>
      <c r="C387" t="s">
        <v>26</v>
      </c>
      <c r="D387" t="s">
        <v>17</v>
      </c>
      <c r="E387" t="s">
        <v>94</v>
      </c>
      <c r="F387" t="s">
        <v>77</v>
      </c>
      <c r="G387" t="s">
        <v>1741</v>
      </c>
      <c r="H387" t="s">
        <v>1742</v>
      </c>
      <c r="I387" t="s">
        <v>1743</v>
      </c>
      <c r="J387" t="s">
        <v>1744</v>
      </c>
      <c r="K387" t="str">
        <f>HYPERLINK("https://www.ebi.ac.uk/ena/browser/view/ERR14661114","ERR14661114")</f>
        <v>ERR14661114</v>
      </c>
      <c r="L387" t="str">
        <f>HYPERLINK("https://www.ebi.ac.uk/ena/browser/view/GCA_965182845","GCA_965182845")</f>
        <v>GCA_965182845</v>
      </c>
      <c r="M387" t="str">
        <f>HYPERLINK("https://www.ncbi.nlm.nih.gov/datasets/genome/GCA_965182845","CBCYMP010000001-CBCYMP010000059")</f>
        <v>CBCYMP010000001-CBCYMP010000059</v>
      </c>
    </row>
    <row r="388" spans="1:13" x14ac:dyDescent="0.35">
      <c r="A388" t="s">
        <v>1745</v>
      </c>
      <c r="B388" t="s">
        <v>25</v>
      </c>
      <c r="C388" t="s">
        <v>26</v>
      </c>
      <c r="D388" t="s">
        <v>17</v>
      </c>
      <c r="E388" t="s">
        <v>863</v>
      </c>
      <c r="F388" t="s">
        <v>864</v>
      </c>
      <c r="G388" t="s">
        <v>1599</v>
      </c>
      <c r="H388" t="s">
        <v>1746</v>
      </c>
      <c r="I388" t="s">
        <v>1747</v>
      </c>
      <c r="J388" t="s">
        <v>1748</v>
      </c>
      <c r="K388" t="str">
        <f>HYPERLINK("https://www.ebi.ac.uk/ena/browser/view/ERR14661058","ERR14661058")</f>
        <v>ERR14661058</v>
      </c>
      <c r="L388" t="str">
        <f>HYPERLINK("https://www.ebi.ac.uk/ena/browser/view/GCA_965179585","GCA_965179585")</f>
        <v>GCA_965179585</v>
      </c>
      <c r="M388" t="str">
        <f>HYPERLINK("https://www.ncbi.nlm.nih.gov/datasets/genome/GCA_965179585","CBCYAK010000001-CBCYAK010000052")</f>
        <v>CBCYAK010000001-CBCYAK010000052</v>
      </c>
    </row>
    <row r="389" spans="1:13" x14ac:dyDescent="0.35">
      <c r="A389" t="s">
        <v>1749</v>
      </c>
      <c r="B389" t="s">
        <v>25</v>
      </c>
      <c r="C389" t="s">
        <v>26</v>
      </c>
      <c r="D389" t="s">
        <v>17</v>
      </c>
      <c r="E389" t="s">
        <v>190</v>
      </c>
      <c r="F389" t="s">
        <v>191</v>
      </c>
      <c r="G389" t="s">
        <v>294</v>
      </c>
      <c r="H389" t="s">
        <v>1750</v>
      </c>
      <c r="I389" t="s">
        <v>1751</v>
      </c>
      <c r="J389" t="s">
        <v>1752</v>
      </c>
      <c r="K389" t="str">
        <f>HYPERLINK("https://www.ebi.ac.uk/ena/browser/view/ERR14661079","ERR14661079")</f>
        <v>ERR14661079</v>
      </c>
      <c r="L389" t="str">
        <f>HYPERLINK("https://www.ebi.ac.uk/ena/browser/view/GCA_965180205","GCA_965180205")</f>
        <v>GCA_965180205</v>
      </c>
      <c r="M389" t="str">
        <f>HYPERLINK("https://www.ncbi.nlm.nih.gov/datasets/genome/GCA_965180205","CBCYCW010000001-CBCYCW010000186")</f>
        <v>CBCYCW010000001-CBCYCW010000186</v>
      </c>
    </row>
    <row r="390" spans="1:13" x14ac:dyDescent="0.35">
      <c r="A390" t="s">
        <v>1753</v>
      </c>
      <c r="B390" t="s">
        <v>25</v>
      </c>
      <c r="C390" t="s">
        <v>26</v>
      </c>
      <c r="D390" t="s">
        <v>17</v>
      </c>
      <c r="E390" t="s">
        <v>190</v>
      </c>
      <c r="F390" t="s">
        <v>191</v>
      </c>
      <c r="G390" t="s">
        <v>765</v>
      </c>
      <c r="H390" t="s">
        <v>1754</v>
      </c>
      <c r="I390" t="s">
        <v>1755</v>
      </c>
      <c r="J390" t="s">
        <v>1756</v>
      </c>
      <c r="K390" t="str">
        <f>HYPERLINK("https://www.ebi.ac.uk/ena/browser/view/ERR14661060","ERR14661060")</f>
        <v>ERR14661060</v>
      </c>
      <c r="L390" t="str">
        <f>HYPERLINK("https://www.ebi.ac.uk/ena/browser/view/GCA_965181945","GCA_965181945")</f>
        <v>GCA_965181945</v>
      </c>
      <c r="M390" t="str">
        <f>HYPERLINK("https://www.ncbi.nlm.nih.gov/datasets/genome/GCA_965181945","CBCYIP010000001-CBCYIP010000144")</f>
        <v>CBCYIP010000001-CBCYIP010000144</v>
      </c>
    </row>
    <row r="391" spans="1:13" x14ac:dyDescent="0.35">
      <c r="A391" t="s">
        <v>1757</v>
      </c>
      <c r="B391" t="s">
        <v>25</v>
      </c>
      <c r="C391" t="s">
        <v>26</v>
      </c>
      <c r="D391" t="s">
        <v>17</v>
      </c>
      <c r="E391" t="s">
        <v>863</v>
      </c>
      <c r="F391" t="s">
        <v>864</v>
      </c>
      <c r="G391" t="s">
        <v>1758</v>
      </c>
      <c r="H391" t="s">
        <v>1759</v>
      </c>
      <c r="I391" t="s">
        <v>1760</v>
      </c>
      <c r="J391" t="s">
        <v>1761</v>
      </c>
      <c r="K391" t="str">
        <f>HYPERLINK("https://www.ebi.ac.uk/ena/browser/view/ERR14661061","ERR14661061")</f>
        <v>ERR14661061</v>
      </c>
      <c r="L391" t="str">
        <f>HYPERLINK("https://www.ebi.ac.uk/ena/browser/view/GCA_965180565","GCA_965180565")</f>
        <v>GCA_965180565</v>
      </c>
      <c r="M391" t="str">
        <f>HYPERLINK("https://www.ncbi.nlm.nih.gov/datasets/genome/GCA_965180565","CBCYDK010000001-CBCYDK010000077")</f>
        <v>CBCYDK010000001-CBCYDK010000077</v>
      </c>
    </row>
    <row r="392" spans="1:13" x14ac:dyDescent="0.35">
      <c r="A392" t="s">
        <v>1762</v>
      </c>
      <c r="B392" t="s">
        <v>25</v>
      </c>
      <c r="C392" t="s">
        <v>26</v>
      </c>
      <c r="D392" t="s">
        <v>17</v>
      </c>
      <c r="E392" t="s">
        <v>863</v>
      </c>
      <c r="F392" t="s">
        <v>864</v>
      </c>
      <c r="G392" t="s">
        <v>1589</v>
      </c>
      <c r="H392" t="s">
        <v>1763</v>
      </c>
      <c r="I392" t="s">
        <v>1764</v>
      </c>
      <c r="J392" t="s">
        <v>1765</v>
      </c>
      <c r="K392" t="str">
        <f>HYPERLINK("https://www.ebi.ac.uk/ena/browser/view/ERR14661091","ERR14661091")</f>
        <v>ERR14661091</v>
      </c>
      <c r="L392" t="str">
        <f>HYPERLINK("https://www.ebi.ac.uk/ena/browser/view/GCA_965182095","GCA_965182095")</f>
        <v>GCA_965182095</v>
      </c>
      <c r="M392" t="str">
        <f>HYPERLINK("https://www.ncbi.nlm.nih.gov/datasets/genome/GCA_965182095","CBCYJZ010000001-CBCYJZ010000065")</f>
        <v>CBCYJZ010000001-CBCYJZ010000065</v>
      </c>
    </row>
    <row r="393" spans="1:13" x14ac:dyDescent="0.35">
      <c r="A393" t="s">
        <v>1766</v>
      </c>
      <c r="B393" t="s">
        <v>25</v>
      </c>
      <c r="C393" t="s">
        <v>26</v>
      </c>
      <c r="D393" t="s">
        <v>17</v>
      </c>
      <c r="E393" t="s">
        <v>863</v>
      </c>
      <c r="F393" t="s">
        <v>864</v>
      </c>
      <c r="G393" t="s">
        <v>1599</v>
      </c>
      <c r="H393" t="s">
        <v>1767</v>
      </c>
      <c r="I393" t="s">
        <v>1768</v>
      </c>
      <c r="J393" t="s">
        <v>1769</v>
      </c>
      <c r="K393" t="str">
        <f>HYPERLINK("https://www.ebi.ac.uk/ena/browser/view/ERR14661064","ERR14661064")</f>
        <v>ERR14661064</v>
      </c>
      <c r="L393" t="str">
        <f>HYPERLINK("https://www.ebi.ac.uk/ena/browser/view/GCA_965182175","GCA_965182175")</f>
        <v>GCA_965182175</v>
      </c>
      <c r="M393" t="str">
        <f>HYPERLINK("https://www.ncbi.nlm.nih.gov/datasets/genome/GCA_965182175","CBCYKH010000001-CBCYKH010000054")</f>
        <v>CBCYKH010000001-CBCYKH010000054</v>
      </c>
    </row>
    <row r="394" spans="1:13" x14ac:dyDescent="0.35">
      <c r="A394" t="s">
        <v>1770</v>
      </c>
      <c r="B394" t="s">
        <v>25</v>
      </c>
      <c r="C394" t="s">
        <v>26</v>
      </c>
      <c r="D394" t="s">
        <v>17</v>
      </c>
      <c r="E394" t="s">
        <v>94</v>
      </c>
      <c r="F394" t="s">
        <v>77</v>
      </c>
      <c r="G394" t="s">
        <v>1771</v>
      </c>
      <c r="H394" t="s">
        <v>1772</v>
      </c>
      <c r="I394" t="s">
        <v>1773</v>
      </c>
      <c r="J394" t="s">
        <v>1774</v>
      </c>
      <c r="K394" t="str">
        <f>HYPERLINK("https://www.ebi.ac.uk/ena/browser/view/ERR14661082","ERR14661082")</f>
        <v>ERR14661082</v>
      </c>
      <c r="L394" t="str">
        <f>HYPERLINK("https://www.ebi.ac.uk/ena/browser/view/GCA_965180185","GCA_965180185")</f>
        <v>GCA_965180185</v>
      </c>
      <c r="M394" t="str">
        <f>HYPERLINK("https://www.ncbi.nlm.nih.gov/datasets/genome/GCA_965180185","CBCYCE010000001-CBCYCE010000058")</f>
        <v>CBCYCE010000001-CBCYCE010000058</v>
      </c>
    </row>
    <row r="395" spans="1:13" x14ac:dyDescent="0.35">
      <c r="A395" t="s">
        <v>1775</v>
      </c>
      <c r="B395" t="s">
        <v>25</v>
      </c>
      <c r="C395" t="s">
        <v>26</v>
      </c>
      <c r="D395" t="s">
        <v>17</v>
      </c>
      <c r="E395" t="s">
        <v>180</v>
      </c>
      <c r="F395" t="s">
        <v>77</v>
      </c>
      <c r="G395" t="s">
        <v>181</v>
      </c>
      <c r="H395" t="s">
        <v>1776</v>
      </c>
      <c r="I395" t="s">
        <v>1777</v>
      </c>
      <c r="J395" t="s">
        <v>1778</v>
      </c>
      <c r="K395" t="str">
        <f>HYPERLINK("https://www.ebi.ac.uk/ena/browser/view/ERR14661101","ERR14661101")</f>
        <v>ERR14661101</v>
      </c>
      <c r="L395" t="str">
        <f>HYPERLINK("https://www.ebi.ac.uk/ena/browser/view/GCA_965181715","GCA_965181715")</f>
        <v>GCA_965181715</v>
      </c>
      <c r="M395" t="str">
        <f>HYPERLINK("https://www.ncbi.nlm.nih.gov/datasets/genome/GCA_965181715","CBCYHW010000001-CBCYHW010000093")</f>
        <v>CBCYHW010000001-CBCYHW010000093</v>
      </c>
    </row>
    <row r="396" spans="1:13" x14ac:dyDescent="0.35">
      <c r="A396" t="s">
        <v>1779</v>
      </c>
      <c r="B396" t="s">
        <v>25</v>
      </c>
      <c r="C396" t="s">
        <v>26</v>
      </c>
      <c r="D396" t="s">
        <v>17</v>
      </c>
      <c r="E396" t="s">
        <v>190</v>
      </c>
      <c r="F396" t="s">
        <v>191</v>
      </c>
      <c r="G396" t="s">
        <v>1382</v>
      </c>
      <c r="H396" t="s">
        <v>1780</v>
      </c>
      <c r="I396" t="s">
        <v>1781</v>
      </c>
      <c r="J396" t="s">
        <v>1782</v>
      </c>
      <c r="K396" t="str">
        <f>HYPERLINK("https://www.ebi.ac.uk/ena/browser/view/ERR14661102","ERR14661102")</f>
        <v>ERR14661102</v>
      </c>
      <c r="L396" t="str">
        <f>HYPERLINK("https://www.ebi.ac.uk/ena/browser/view/GCA_965181705","GCA_965181705")</f>
        <v>GCA_965181705</v>
      </c>
      <c r="M396" t="str">
        <f>HYPERLINK("https://www.ncbi.nlm.nih.gov/datasets/genome/GCA_965181705","CBCYHA010000001-CBCYHA010000070")</f>
        <v>CBCYHA010000001-CBCYHA010000070</v>
      </c>
    </row>
    <row r="397" spans="1:13" x14ac:dyDescent="0.35">
      <c r="A397" t="s">
        <v>1783</v>
      </c>
      <c r="B397" t="s">
        <v>25</v>
      </c>
      <c r="C397" t="s">
        <v>26</v>
      </c>
      <c r="D397" t="s">
        <v>17</v>
      </c>
      <c r="E397" t="s">
        <v>839</v>
      </c>
      <c r="F397" t="s">
        <v>840</v>
      </c>
      <c r="G397" t="s">
        <v>1784</v>
      </c>
      <c r="H397" t="s">
        <v>1785</v>
      </c>
      <c r="I397" t="s">
        <v>1786</v>
      </c>
      <c r="J397" t="s">
        <v>1787</v>
      </c>
      <c r="K397" t="str">
        <f>HYPERLINK("https://www.ebi.ac.uk/ena/browser/view/ERR14661109","ERR14661109")</f>
        <v>ERR14661109</v>
      </c>
      <c r="L397" t="str">
        <f>HYPERLINK("https://www.ebi.ac.uk/ena/browser/view/GCA_965182255","GCA_965182255")</f>
        <v>GCA_965182255</v>
      </c>
      <c r="M397" t="str">
        <f>HYPERLINK("https://www.ncbi.nlm.nih.gov/datasets/genome/GCA_965182255","CBCYMV010000001-CBCYMV010000167")</f>
        <v>CBCYMV010000001-CBCYMV010000167</v>
      </c>
    </row>
    <row r="398" spans="1:13" x14ac:dyDescent="0.35">
      <c r="A398" t="s">
        <v>1788</v>
      </c>
      <c r="B398" t="s">
        <v>25</v>
      </c>
      <c r="C398" t="s">
        <v>26</v>
      </c>
      <c r="D398" t="s">
        <v>17</v>
      </c>
      <c r="E398" t="s">
        <v>863</v>
      </c>
      <c r="F398" t="s">
        <v>864</v>
      </c>
      <c r="G398" t="s">
        <v>1789</v>
      </c>
      <c r="H398" t="s">
        <v>1790</v>
      </c>
      <c r="I398" t="s">
        <v>1791</v>
      </c>
      <c r="J398" t="s">
        <v>1792</v>
      </c>
      <c r="K398" t="str">
        <f>HYPERLINK("https://www.ebi.ac.uk/ena/browser/view/ERR14661098","ERR14661098")</f>
        <v>ERR14661098</v>
      </c>
      <c r="L398" t="str">
        <f>HYPERLINK("https://www.ebi.ac.uk/ena/browser/view/GCA_965180175","GCA_965180175")</f>
        <v>GCA_965180175</v>
      </c>
      <c r="M398" t="str">
        <f>HYPERLINK("https://www.ncbi.nlm.nih.gov/datasets/genome/GCA_965180175","CBCYCN010000001-CBCYCN010000074")</f>
        <v>CBCYCN010000001-CBCYCN010000074</v>
      </c>
    </row>
    <row r="399" spans="1:13" x14ac:dyDescent="0.35">
      <c r="A399" t="s">
        <v>1793</v>
      </c>
      <c r="B399" t="s">
        <v>25</v>
      </c>
      <c r="C399" t="s">
        <v>26</v>
      </c>
      <c r="D399" t="s">
        <v>17</v>
      </c>
      <c r="E399" t="s">
        <v>190</v>
      </c>
      <c r="F399" t="s">
        <v>191</v>
      </c>
      <c r="G399" t="s">
        <v>1794</v>
      </c>
      <c r="H399" t="s">
        <v>1795</v>
      </c>
      <c r="I399" t="s">
        <v>1796</v>
      </c>
      <c r="J399" t="s">
        <v>1797</v>
      </c>
      <c r="K399" t="str">
        <f>HYPERLINK("https://www.ebi.ac.uk/ena/browser/view/ERR14661081","ERR14661081")</f>
        <v>ERR14661081</v>
      </c>
      <c r="L399" t="str">
        <f>HYPERLINK("https://www.ebi.ac.uk/ena/browser/view/GCA_965182975","GCA_965182975")</f>
        <v>GCA_965182975</v>
      </c>
      <c r="M399" t="str">
        <f>HYPERLINK("https://www.ncbi.nlm.nih.gov/datasets/genome/GCA_965182975","CBCZNN010000001-CBCZNN010000142")</f>
        <v>CBCZNN010000001-CBCZNN010000142</v>
      </c>
    </row>
    <row r="400" spans="1:13" x14ac:dyDescent="0.35">
      <c r="A400" t="s">
        <v>1798</v>
      </c>
      <c r="B400" t="s">
        <v>25</v>
      </c>
      <c r="C400" t="s">
        <v>26</v>
      </c>
      <c r="D400" t="s">
        <v>17</v>
      </c>
      <c r="E400" t="s">
        <v>190</v>
      </c>
      <c r="F400" t="s">
        <v>191</v>
      </c>
      <c r="G400" t="s">
        <v>211</v>
      </c>
      <c r="H400" t="s">
        <v>1799</v>
      </c>
      <c r="I400" t="s">
        <v>1800</v>
      </c>
      <c r="J400" t="s">
        <v>1801</v>
      </c>
      <c r="K400" t="str">
        <f>HYPERLINK("https://www.ebi.ac.uk/ena/browser/view/ERR14661095","ERR14661095")</f>
        <v>ERR14661095</v>
      </c>
      <c r="L400" t="str">
        <f>HYPERLINK("https://www.ebi.ac.uk/ena/browser/view/GCA_965183245","GCA_965183245")</f>
        <v>GCA_965183245</v>
      </c>
      <c r="M400" t="str">
        <f>HYPERLINK("https://www.ncbi.nlm.nih.gov/datasets/genome/GCA_965183245","CBDABX010000001-CBDABX010000171")</f>
        <v>CBDABX010000001-CBDABX010000171</v>
      </c>
    </row>
    <row r="401" spans="1:13" x14ac:dyDescent="0.35">
      <c r="A401" t="s">
        <v>1802</v>
      </c>
      <c r="B401" t="s">
        <v>25</v>
      </c>
      <c r="C401" t="s">
        <v>26</v>
      </c>
      <c r="D401" t="s">
        <v>17</v>
      </c>
      <c r="E401" t="s">
        <v>18</v>
      </c>
      <c r="F401" t="s">
        <v>19</v>
      </c>
      <c r="G401" t="s">
        <v>27</v>
      </c>
      <c r="H401" t="s">
        <v>1803</v>
      </c>
      <c r="I401" t="s">
        <v>1804</v>
      </c>
      <c r="J401" t="s">
        <v>1805</v>
      </c>
      <c r="K401" t="str">
        <f>HYPERLINK("https://www.ebi.ac.uk/ena/browser/view/ERR14661085","ERR14661085")</f>
        <v>ERR14661085</v>
      </c>
      <c r="L401" t="str">
        <f>HYPERLINK("https://www.ebi.ac.uk/ena/browser/view/GCA_965182505","GCA_965182505")</f>
        <v>GCA_965182505</v>
      </c>
      <c r="M401" t="str">
        <f>HYPERLINK("https://www.ncbi.nlm.nih.gov/datasets/genome/GCA_965182505","CBCYLB010000001-CBCYLB010000130")</f>
        <v>CBCYLB010000001-CBCYLB010000130</v>
      </c>
    </row>
    <row r="402" spans="1:13" x14ac:dyDescent="0.35">
      <c r="A402" t="s">
        <v>1806</v>
      </c>
      <c r="B402" t="s">
        <v>25</v>
      </c>
      <c r="C402" t="s">
        <v>26</v>
      </c>
      <c r="D402" t="s">
        <v>17</v>
      </c>
      <c r="E402" t="s">
        <v>18</v>
      </c>
      <c r="F402" t="s">
        <v>19</v>
      </c>
      <c r="G402" t="s">
        <v>1807</v>
      </c>
      <c r="H402" t="s">
        <v>1808</v>
      </c>
      <c r="I402" t="s">
        <v>1809</v>
      </c>
      <c r="J402" t="s">
        <v>1810</v>
      </c>
      <c r="K402" t="str">
        <f>HYPERLINK("https://www.ebi.ac.uk/ena/browser/view/ERR14661078","ERR14661078")</f>
        <v>ERR14661078</v>
      </c>
      <c r="L402" t="str">
        <f>HYPERLINK("https://www.ebi.ac.uk/ena/browser/view/GCA_965182985","GCA_965182985")</f>
        <v>GCA_965182985</v>
      </c>
      <c r="M402" t="str">
        <f>HYPERLINK("https://www.ncbi.nlm.nih.gov/datasets/genome/GCA_965182985","CBDAAW010000001-CBDAAW010000099")</f>
        <v>CBDAAW010000001-CBDAAW010000099</v>
      </c>
    </row>
    <row r="403" spans="1:13" x14ac:dyDescent="0.35">
      <c r="A403" t="s">
        <v>1811</v>
      </c>
      <c r="B403" t="s">
        <v>25</v>
      </c>
      <c r="C403" t="s">
        <v>26</v>
      </c>
      <c r="D403" t="s">
        <v>17</v>
      </c>
      <c r="E403" t="s">
        <v>863</v>
      </c>
      <c r="F403" t="s">
        <v>864</v>
      </c>
      <c r="G403" t="s">
        <v>1812</v>
      </c>
      <c r="H403" t="s">
        <v>1813</v>
      </c>
      <c r="I403" t="s">
        <v>1814</v>
      </c>
      <c r="J403" t="s">
        <v>1815</v>
      </c>
      <c r="K403" t="str">
        <f>HYPERLINK("https://www.ebi.ac.uk/ena/browser/view/ERR14661111","ERR14661111")</f>
        <v>ERR14661111</v>
      </c>
      <c r="L403" t="str">
        <f>HYPERLINK("https://www.ebi.ac.uk/ena/browser/view/GCA_965182245","GCA_965182245")</f>
        <v>GCA_965182245</v>
      </c>
      <c r="M403" t="str">
        <f>HYPERLINK("https://www.ncbi.nlm.nih.gov/datasets/genome/GCA_965182245","CBCYKK010000001-CBCYKK010000055")</f>
        <v>CBCYKK010000001-CBCYKK010000055</v>
      </c>
    </row>
    <row r="404" spans="1:13" x14ac:dyDescent="0.35">
      <c r="A404" t="s">
        <v>1816</v>
      </c>
      <c r="B404" t="s">
        <v>25</v>
      </c>
      <c r="C404" t="s">
        <v>26</v>
      </c>
      <c r="D404" t="s">
        <v>17</v>
      </c>
      <c r="E404" t="s">
        <v>863</v>
      </c>
      <c r="F404" t="s">
        <v>864</v>
      </c>
      <c r="G404" t="s">
        <v>1817</v>
      </c>
      <c r="H404" t="s">
        <v>1818</v>
      </c>
      <c r="I404" t="s">
        <v>1819</v>
      </c>
      <c r="J404" t="s">
        <v>1820</v>
      </c>
      <c r="K404" t="str">
        <f>HYPERLINK("https://www.ebi.ac.uk/ena/browser/view/ERR14661170","ERR14661170")</f>
        <v>ERR14661170</v>
      </c>
      <c r="L404" t="str">
        <f>HYPERLINK("https://www.ebi.ac.uk/ena/browser/view/GCA_965183035","GCA_965183035")</f>
        <v>GCA_965183035</v>
      </c>
      <c r="M404" t="str">
        <f>HYPERLINK("https://www.ncbi.nlm.nih.gov/datasets/genome/GCA_965183035","CBDABH010000001-CBDABH010000099")</f>
        <v>CBDABH010000001-CBDABH010000099</v>
      </c>
    </row>
    <row r="405" spans="1:13" x14ac:dyDescent="0.35">
      <c r="A405" t="s">
        <v>1821</v>
      </c>
      <c r="B405" t="s">
        <v>25</v>
      </c>
      <c r="C405" t="s">
        <v>26</v>
      </c>
      <c r="D405" t="s">
        <v>17</v>
      </c>
      <c r="E405" t="s">
        <v>1822</v>
      </c>
      <c r="F405" t="s">
        <v>77</v>
      </c>
      <c r="G405" t="s">
        <v>1823</v>
      </c>
      <c r="H405" t="s">
        <v>1824</v>
      </c>
      <c r="I405" t="s">
        <v>1825</v>
      </c>
      <c r="J405" t="s">
        <v>1826</v>
      </c>
      <c r="K405" t="str">
        <f>HYPERLINK("https://www.ebi.ac.uk/ena/browser/view/ERR14661117","ERR14661117")</f>
        <v>ERR14661117</v>
      </c>
      <c r="L405" t="str">
        <f>HYPERLINK("https://www.ebi.ac.uk/ena/browser/view/GCA_965180075","GCA_965180075")</f>
        <v>GCA_965180075</v>
      </c>
      <c r="M405" t="str">
        <f>HYPERLINK("https://www.ncbi.nlm.nih.gov/datasets/genome/GCA_965180075","CBCYBC010000001-CBCYBC010000144")</f>
        <v>CBCYBC010000001-CBCYBC010000144</v>
      </c>
    </row>
    <row r="406" spans="1:13" x14ac:dyDescent="0.35">
      <c r="A406" t="s">
        <v>1827</v>
      </c>
      <c r="B406" t="s">
        <v>25</v>
      </c>
      <c r="C406" t="s">
        <v>26</v>
      </c>
      <c r="D406" t="s">
        <v>17</v>
      </c>
      <c r="E406" t="s">
        <v>190</v>
      </c>
      <c r="F406" t="s">
        <v>191</v>
      </c>
      <c r="G406" t="s">
        <v>1828</v>
      </c>
      <c r="H406" t="s">
        <v>1829</v>
      </c>
      <c r="I406" t="s">
        <v>1830</v>
      </c>
      <c r="J406" t="s">
        <v>1831</v>
      </c>
      <c r="K406" t="str">
        <f>HYPERLINK("https://www.ebi.ac.uk/ena/browser/view/ERR14661065","ERR14661065")</f>
        <v>ERR14661065</v>
      </c>
      <c r="L406" t="str">
        <f>HYPERLINK("https://www.ebi.ac.uk/ena/browser/view/GCA_965182155","GCA_965182155")</f>
        <v>GCA_965182155</v>
      </c>
      <c r="M406" t="str">
        <f>HYPERLINK("https://www.ncbi.nlm.nih.gov/datasets/genome/GCA_965182155","CBCYIX010000001-CBCYIX010000124")</f>
        <v>CBCYIX010000001-CBCYIX010000124</v>
      </c>
    </row>
    <row r="407" spans="1:13" x14ac:dyDescent="0.35">
      <c r="A407" t="s">
        <v>1832</v>
      </c>
      <c r="B407" t="s">
        <v>25</v>
      </c>
      <c r="C407" t="s">
        <v>26</v>
      </c>
      <c r="D407" t="s">
        <v>17</v>
      </c>
      <c r="E407" t="s">
        <v>863</v>
      </c>
      <c r="F407" t="s">
        <v>864</v>
      </c>
      <c r="G407" t="s">
        <v>1833</v>
      </c>
      <c r="H407" t="s">
        <v>1834</v>
      </c>
      <c r="I407" t="s">
        <v>1835</v>
      </c>
      <c r="J407" t="s">
        <v>1836</v>
      </c>
      <c r="K407" t="str">
        <f>HYPERLINK("https://www.ebi.ac.uk/ena/browser/view/ERR14661062","ERR14661062")</f>
        <v>ERR14661062</v>
      </c>
      <c r="L407" t="str">
        <f>HYPERLINK("https://www.ebi.ac.uk/ena/browser/view/GCA_965180855","GCA_965180855")</f>
        <v>GCA_965180855</v>
      </c>
      <c r="M407" t="str">
        <f>HYPERLINK("https://www.ncbi.nlm.nih.gov/datasets/genome/GCA_965180855","CBCYFK010000001-CBCYFK010000141")</f>
        <v>CBCYFK010000001-CBCYFK010000141</v>
      </c>
    </row>
    <row r="408" spans="1:13" x14ac:dyDescent="0.35">
      <c r="A408" t="s">
        <v>1837</v>
      </c>
      <c r="B408" t="s">
        <v>25</v>
      </c>
      <c r="C408" t="s">
        <v>26</v>
      </c>
      <c r="D408" t="s">
        <v>17</v>
      </c>
      <c r="E408" t="s">
        <v>190</v>
      </c>
      <c r="F408" t="s">
        <v>191</v>
      </c>
      <c r="G408" t="s">
        <v>1584</v>
      </c>
      <c r="H408" t="s">
        <v>1838</v>
      </c>
      <c r="I408" t="s">
        <v>1839</v>
      </c>
      <c r="J408" t="s">
        <v>1840</v>
      </c>
      <c r="K408" t="str">
        <f>HYPERLINK("https://www.ebi.ac.uk/ena/browser/view/ERR14661083","ERR14661083")</f>
        <v>ERR14661083</v>
      </c>
      <c r="L408" t="str">
        <f>HYPERLINK("https://www.ebi.ac.uk/ena/browser/view/GCA_965180955","GCA_965180955")</f>
        <v>GCA_965180955</v>
      </c>
      <c r="M408" t="str">
        <f>HYPERLINK("https://www.ncbi.nlm.nih.gov/datasets/genome/GCA_965180955","CBCYEX010000001-CBCYEX010000205")</f>
        <v>CBCYEX010000001-CBCYEX010000205</v>
      </c>
    </row>
    <row r="409" spans="1:13" x14ac:dyDescent="0.35">
      <c r="A409" t="s">
        <v>1841</v>
      </c>
      <c r="B409" t="s">
        <v>25</v>
      </c>
      <c r="C409" t="s">
        <v>26</v>
      </c>
      <c r="D409" t="s">
        <v>17</v>
      </c>
      <c r="E409" t="s">
        <v>190</v>
      </c>
      <c r="F409" t="s">
        <v>191</v>
      </c>
      <c r="G409" t="s">
        <v>647</v>
      </c>
      <c r="H409" t="s">
        <v>1842</v>
      </c>
      <c r="I409" t="s">
        <v>1843</v>
      </c>
      <c r="J409" t="s">
        <v>1844</v>
      </c>
      <c r="K409" t="str">
        <f>HYPERLINK("https://www.ebi.ac.uk/ena/browser/view/ERR14661097","ERR14661097")</f>
        <v>ERR14661097</v>
      </c>
      <c r="L409" t="str">
        <f>HYPERLINK("https://www.ebi.ac.uk/ena/browser/view/GCA_965183275","GCA_965183275")</f>
        <v>GCA_965183275</v>
      </c>
      <c r="M409" t="str">
        <f>HYPERLINK("https://www.ncbi.nlm.nih.gov/datasets/genome/GCA_965183275","CBDABV010000001-CBDABV010000199")</f>
        <v>CBDABV010000001-CBDABV010000199</v>
      </c>
    </row>
    <row r="410" spans="1:13" x14ac:dyDescent="0.35">
      <c r="A410" t="s">
        <v>1845</v>
      </c>
      <c r="B410" t="s">
        <v>25</v>
      </c>
      <c r="C410" t="s">
        <v>26</v>
      </c>
      <c r="D410" t="s">
        <v>17</v>
      </c>
      <c r="E410" t="s">
        <v>180</v>
      </c>
      <c r="F410" t="s">
        <v>77</v>
      </c>
      <c r="G410" t="s">
        <v>181</v>
      </c>
      <c r="H410" t="s">
        <v>1846</v>
      </c>
      <c r="I410" t="s">
        <v>1847</v>
      </c>
      <c r="J410" t="s">
        <v>1848</v>
      </c>
      <c r="K410" t="str">
        <f>HYPERLINK("https://www.ebi.ac.uk/ena/browser/view/ERR14661112","ERR14661112")</f>
        <v>ERR14661112</v>
      </c>
      <c r="L410" t="str">
        <f>HYPERLINK("https://www.ebi.ac.uk/ena/browser/view/GCA_965182825","GCA_965182825")</f>
        <v>GCA_965182825</v>
      </c>
      <c r="M410" t="str">
        <f>HYPERLINK("https://www.ncbi.nlm.nih.gov/datasets/genome/GCA_965182825","CBCYMY010000001-CBCYMY010000093")</f>
        <v>CBCYMY010000001-CBCYMY010000093</v>
      </c>
    </row>
    <row r="411" spans="1:13" x14ac:dyDescent="0.35">
      <c r="A411" t="s">
        <v>1849</v>
      </c>
      <c r="B411" t="s">
        <v>25</v>
      </c>
      <c r="C411" t="s">
        <v>26</v>
      </c>
      <c r="D411" t="s">
        <v>17</v>
      </c>
      <c r="E411" t="s">
        <v>863</v>
      </c>
      <c r="F411" t="s">
        <v>864</v>
      </c>
      <c r="G411" t="s">
        <v>133</v>
      </c>
      <c r="H411" t="s">
        <v>1850</v>
      </c>
      <c r="I411" t="s">
        <v>1851</v>
      </c>
      <c r="J411" t="s">
        <v>1852</v>
      </c>
      <c r="K411" t="str">
        <f>HYPERLINK("https://www.ebi.ac.uk/ena/browser/view/ERR14661092","ERR14661092")</f>
        <v>ERR14661092</v>
      </c>
      <c r="L411" t="str">
        <f>HYPERLINK("https://www.ebi.ac.uk/ena/browser/view/GCA_965183235","GCA_965183235")</f>
        <v>GCA_965183235</v>
      </c>
      <c r="M411" t="str">
        <f>HYPERLINK("https://www.ncbi.nlm.nih.gov/datasets/genome/GCA_965183235","CBDACG010000001-CBDACG010000102")</f>
        <v>CBDACG010000001-CBDACG010000102</v>
      </c>
    </row>
    <row r="412" spans="1:13" x14ac:dyDescent="0.35">
      <c r="A412" t="s">
        <v>1853</v>
      </c>
      <c r="B412" t="s">
        <v>25</v>
      </c>
      <c r="C412" t="s">
        <v>26</v>
      </c>
      <c r="D412" t="s">
        <v>17</v>
      </c>
      <c r="E412" t="s">
        <v>94</v>
      </c>
      <c r="F412" t="s">
        <v>77</v>
      </c>
      <c r="G412" t="s">
        <v>157</v>
      </c>
      <c r="H412" t="s">
        <v>1854</v>
      </c>
      <c r="I412" t="s">
        <v>1855</v>
      </c>
      <c r="J412" t="s">
        <v>1856</v>
      </c>
      <c r="K412" t="str">
        <f>HYPERLINK("https://www.ebi.ac.uk/ena/browser/view/ERR14661088","ERR14661088")</f>
        <v>ERR14661088</v>
      </c>
      <c r="L412" t="str">
        <f>HYPERLINK("https://www.ebi.ac.uk/ena/browser/view/GCA_965181775","GCA_965181775")</f>
        <v>GCA_965181775</v>
      </c>
      <c r="M412" t="str">
        <f>HYPERLINK("https://www.ncbi.nlm.nih.gov/datasets/genome/GCA_965181775","CBCYHR010000001-CBCYHR010000058")</f>
        <v>CBCYHR010000001-CBCYHR010000058</v>
      </c>
    </row>
    <row r="413" spans="1:13" x14ac:dyDescent="0.35">
      <c r="A413" t="s">
        <v>1857</v>
      </c>
      <c r="B413" t="s">
        <v>25</v>
      </c>
      <c r="C413" t="s">
        <v>26</v>
      </c>
      <c r="D413" t="s">
        <v>17</v>
      </c>
      <c r="E413" t="s">
        <v>863</v>
      </c>
      <c r="F413" t="s">
        <v>864</v>
      </c>
      <c r="G413" t="s">
        <v>1789</v>
      </c>
      <c r="H413" t="s">
        <v>1858</v>
      </c>
      <c r="I413" t="s">
        <v>1859</v>
      </c>
      <c r="J413" t="s">
        <v>1860</v>
      </c>
      <c r="K413" t="str">
        <f>HYPERLINK("https://www.ebi.ac.uk/ena/browser/view/ERR14661068","ERR14661068")</f>
        <v>ERR14661068</v>
      </c>
      <c r="L413" t="str">
        <f>HYPERLINK("https://www.ebi.ac.uk/ena/browser/view/GCA_965182935","GCA_965182935")</f>
        <v>GCA_965182935</v>
      </c>
      <c r="M413" t="str">
        <f>HYPERLINK("https://www.ncbi.nlm.nih.gov/datasets/genome/GCA_965182935","CBCYOX010000001-CBCYOX010000094")</f>
        <v>CBCYOX010000001-CBCYOX010000094</v>
      </c>
    </row>
    <row r="414" spans="1:13" x14ac:dyDescent="0.35">
      <c r="A414" t="s">
        <v>1861</v>
      </c>
      <c r="B414" t="s">
        <v>25</v>
      </c>
      <c r="C414" t="s">
        <v>26</v>
      </c>
      <c r="D414" t="s">
        <v>17</v>
      </c>
      <c r="E414" t="s">
        <v>180</v>
      </c>
      <c r="F414" t="s">
        <v>77</v>
      </c>
      <c r="G414" t="s">
        <v>181</v>
      </c>
      <c r="H414" t="s">
        <v>1862</v>
      </c>
      <c r="I414" t="s">
        <v>1863</v>
      </c>
      <c r="J414" t="s">
        <v>1864</v>
      </c>
      <c r="K414" t="str">
        <f>HYPERLINK("https://www.ebi.ac.uk/ena/browser/view/ERR14661099","ERR14661099")</f>
        <v>ERR14661099</v>
      </c>
      <c r="L414" t="str">
        <f>HYPERLINK("https://www.ebi.ac.uk/ena/browser/view/GCA_965181935","GCA_965181935")</f>
        <v>GCA_965181935</v>
      </c>
      <c r="M414" t="str">
        <f>HYPERLINK("https://www.ncbi.nlm.nih.gov/datasets/genome/GCA_965181935","CBCYJA010000001-CBCYJA010000122")</f>
        <v>CBCYJA010000001-CBCYJA010000122</v>
      </c>
    </row>
    <row r="415" spans="1:13" x14ac:dyDescent="0.35">
      <c r="A415" t="s">
        <v>1865</v>
      </c>
      <c r="B415" t="s">
        <v>25</v>
      </c>
      <c r="C415" t="s">
        <v>26</v>
      </c>
      <c r="D415" t="s">
        <v>17</v>
      </c>
      <c r="E415" t="s">
        <v>1866</v>
      </c>
      <c r="F415" t="s">
        <v>19</v>
      </c>
      <c r="G415" t="s">
        <v>133</v>
      </c>
      <c r="H415" t="s">
        <v>1867</v>
      </c>
      <c r="I415" t="s">
        <v>1868</v>
      </c>
      <c r="J415" t="s">
        <v>1869</v>
      </c>
      <c r="K415" t="str">
        <f>HYPERLINK("https://www.ebi.ac.uk/ena/browser/view/ERR14661090","ERR14661090")</f>
        <v>ERR14661090</v>
      </c>
      <c r="L415" t="str">
        <f>HYPERLINK("https://www.ebi.ac.uk/ena/browser/view/GCA_965181765","GCA_965181765")</f>
        <v>GCA_965181765</v>
      </c>
      <c r="M415" t="str">
        <f>HYPERLINK("https://www.ncbi.nlm.nih.gov/datasets/genome/GCA_965181765","CBCYHZ010000001-CBCYHZ010000110")</f>
        <v>CBCYHZ010000001-CBCYHZ010000110</v>
      </c>
    </row>
    <row r="416" spans="1:13" x14ac:dyDescent="0.35">
      <c r="A416" t="s">
        <v>1870</v>
      </c>
      <c r="B416" t="s">
        <v>25</v>
      </c>
      <c r="C416" t="s">
        <v>26</v>
      </c>
      <c r="D416" t="s">
        <v>17</v>
      </c>
      <c r="E416" t="s">
        <v>839</v>
      </c>
      <c r="F416" t="s">
        <v>840</v>
      </c>
      <c r="G416" t="s">
        <v>841</v>
      </c>
      <c r="H416" t="s">
        <v>1871</v>
      </c>
      <c r="I416" t="s">
        <v>1872</v>
      </c>
      <c r="J416" t="s">
        <v>1873</v>
      </c>
      <c r="K416" t="str">
        <f>HYPERLINK("https://www.ebi.ac.uk/ena/browser/view/ERR14661105","ERR14661105")</f>
        <v>ERR14661105</v>
      </c>
      <c r="L416" t="str">
        <f>HYPERLINK("https://www.ebi.ac.uk/ena/browser/view/GCA_965183615","GCA_965183615")</f>
        <v>GCA_965183615</v>
      </c>
      <c r="M416" t="str">
        <f>HYPERLINK("https://www.ncbi.nlm.nih.gov/datasets/genome/GCA_965183615","CBDADJ010000001-CBDADJ010000162")</f>
        <v>CBDADJ010000001-CBDADJ010000162</v>
      </c>
    </row>
    <row r="417" spans="1:13" x14ac:dyDescent="0.35">
      <c r="A417" t="s">
        <v>1874</v>
      </c>
      <c r="B417" t="s">
        <v>25</v>
      </c>
      <c r="C417" t="s">
        <v>26</v>
      </c>
      <c r="D417" t="s">
        <v>17</v>
      </c>
      <c r="E417" t="s">
        <v>76</v>
      </c>
      <c r="F417" t="s">
        <v>77</v>
      </c>
      <c r="G417" t="s">
        <v>133</v>
      </c>
      <c r="H417" t="s">
        <v>1875</v>
      </c>
      <c r="I417" t="s">
        <v>1876</v>
      </c>
      <c r="J417" t="s">
        <v>1877</v>
      </c>
      <c r="K417" t="str">
        <f>HYPERLINK("https://www.ebi.ac.uk/ena/browser/view/ERR14661100","ERR14661100")</f>
        <v>ERR14661100</v>
      </c>
      <c r="L417" t="str">
        <f>HYPERLINK("https://www.ebi.ac.uk/ena/browser/view/GCA_965183635","GCA_965183635")</f>
        <v>GCA_965183635</v>
      </c>
      <c r="M417" t="str">
        <f>HYPERLINK("https://www.ncbi.nlm.nih.gov/datasets/genome/GCA_965183635","CBDACT010000001-CBDACT010000061")</f>
        <v>CBDACT010000001-CBDACT010000061</v>
      </c>
    </row>
    <row r="418" spans="1:13" x14ac:dyDescent="0.35">
      <c r="A418" t="s">
        <v>1878</v>
      </c>
      <c r="B418" t="s">
        <v>25</v>
      </c>
      <c r="C418" t="s">
        <v>26</v>
      </c>
      <c r="D418" t="s">
        <v>17</v>
      </c>
      <c r="E418" t="s">
        <v>190</v>
      </c>
      <c r="F418" t="s">
        <v>191</v>
      </c>
      <c r="G418" t="s">
        <v>1879</v>
      </c>
      <c r="H418" t="s">
        <v>1880</v>
      </c>
      <c r="I418" t="s">
        <v>1881</v>
      </c>
      <c r="J418" t="s">
        <v>1882</v>
      </c>
      <c r="K418" t="str">
        <f>HYPERLINK("https://www.ebi.ac.uk/ena/browser/view/ERR14661059","ERR14661059")</f>
        <v>ERR14661059</v>
      </c>
      <c r="L418" t="str">
        <f>HYPERLINK("https://www.ebi.ac.uk/ena/browser/view/GCA_965179865","GCA_965179865")</f>
        <v>GCA_965179865</v>
      </c>
      <c r="M418" t="str">
        <f>HYPERLINK("https://www.ncbi.nlm.nih.gov/datasets/genome/GCA_965179865","CBCYBA010000001-CBCYBA010000077")</f>
        <v>CBCYBA010000001-CBCYBA010000077</v>
      </c>
    </row>
    <row r="419" spans="1:13" x14ac:dyDescent="0.35">
      <c r="A419" t="s">
        <v>1883</v>
      </c>
      <c r="B419" t="s">
        <v>25</v>
      </c>
      <c r="C419" t="s">
        <v>26</v>
      </c>
      <c r="D419" t="s">
        <v>17</v>
      </c>
      <c r="E419" t="s">
        <v>180</v>
      </c>
      <c r="F419" t="s">
        <v>77</v>
      </c>
      <c r="G419" t="s">
        <v>181</v>
      </c>
      <c r="H419" t="s">
        <v>1884</v>
      </c>
      <c r="I419" t="s">
        <v>1885</v>
      </c>
      <c r="J419" t="s">
        <v>1886</v>
      </c>
      <c r="K419" t="str">
        <f>HYPERLINK("https://www.ebi.ac.uk/ena/browser/view/ERR14661084","ERR14661084")</f>
        <v>ERR14661084</v>
      </c>
      <c r="L419" t="str">
        <f>HYPERLINK("https://www.ebi.ac.uk/ena/browser/view/GCA_965182485","GCA_965182485")</f>
        <v>GCA_965182485</v>
      </c>
      <c r="M419" t="str">
        <f>HYPERLINK("https://www.ncbi.nlm.nih.gov/datasets/genome/GCA_965182485","CBCYLA010000001-CBCYLA010000093")</f>
        <v>CBCYLA010000001-CBCYLA010000093</v>
      </c>
    </row>
    <row r="420" spans="1:13" x14ac:dyDescent="0.35">
      <c r="A420" t="s">
        <v>1887</v>
      </c>
      <c r="B420" t="s">
        <v>25</v>
      </c>
      <c r="C420" t="s">
        <v>26</v>
      </c>
      <c r="D420" t="s">
        <v>17</v>
      </c>
      <c r="E420" t="s">
        <v>190</v>
      </c>
      <c r="F420" t="s">
        <v>191</v>
      </c>
      <c r="G420" t="s">
        <v>1888</v>
      </c>
      <c r="H420" t="s">
        <v>1889</v>
      </c>
      <c r="I420" t="s">
        <v>1890</v>
      </c>
      <c r="J420" t="s">
        <v>1891</v>
      </c>
      <c r="K420" t="str">
        <f>HYPERLINK("https://www.ebi.ac.uk/ena/browser/view/ERR14661076","ERR14661076")</f>
        <v>ERR14661076</v>
      </c>
      <c r="L420" t="str">
        <f>HYPERLINK("https://www.ebi.ac.uk/ena/browser/view/GCA_965180655","GCA_965180655")</f>
        <v>GCA_965180655</v>
      </c>
      <c r="M420" t="str">
        <f>HYPERLINK("https://www.ncbi.nlm.nih.gov/datasets/genome/GCA_965180655","CBCYEA010000001-CBCYEA010000220")</f>
        <v>CBCYEA010000001-CBCYEA010000220</v>
      </c>
    </row>
    <row r="421" spans="1:13" x14ac:dyDescent="0.35">
      <c r="A421" t="s">
        <v>1892</v>
      </c>
      <c r="B421" t="s">
        <v>25</v>
      </c>
      <c r="C421" t="s">
        <v>26</v>
      </c>
      <c r="D421" t="s">
        <v>17</v>
      </c>
      <c r="E421" t="s">
        <v>190</v>
      </c>
      <c r="F421" t="s">
        <v>191</v>
      </c>
      <c r="G421" t="s">
        <v>656</v>
      </c>
      <c r="H421" t="s">
        <v>1893</v>
      </c>
      <c r="I421" t="s">
        <v>1894</v>
      </c>
      <c r="J421" t="s">
        <v>1895</v>
      </c>
      <c r="K421" t="str">
        <f>HYPERLINK("https://www.ebi.ac.uk/ena/browser/view/ERR14661103","ERR14661103")</f>
        <v>ERR14661103</v>
      </c>
      <c r="L421" t="str">
        <f>HYPERLINK("https://www.ebi.ac.uk/ena/browser/view/GCA_965183625","GCA_965183625")</f>
        <v>GCA_965183625</v>
      </c>
      <c r="M421" t="str">
        <f>HYPERLINK("https://www.ncbi.nlm.nih.gov/datasets/genome/GCA_965183625","CBDACE010000001-CBDACE010000145")</f>
        <v>CBDACE010000001-CBDACE010000145</v>
      </c>
    </row>
    <row r="422" spans="1:13" x14ac:dyDescent="0.35">
      <c r="A422" t="s">
        <v>1896</v>
      </c>
      <c r="B422" t="s">
        <v>25</v>
      </c>
      <c r="C422" t="s">
        <v>26</v>
      </c>
      <c r="D422" t="s">
        <v>17</v>
      </c>
      <c r="E422" t="s">
        <v>190</v>
      </c>
      <c r="F422" t="s">
        <v>191</v>
      </c>
      <c r="G422" t="s">
        <v>359</v>
      </c>
      <c r="H422" t="s">
        <v>1897</v>
      </c>
      <c r="I422" t="s">
        <v>1898</v>
      </c>
      <c r="J422" t="s">
        <v>1899</v>
      </c>
      <c r="K422" t="str">
        <f>HYPERLINK("https://www.ebi.ac.uk/ena/browser/view/ERR14661063","ERR14661063")</f>
        <v>ERR14661063</v>
      </c>
      <c r="L422" t="str">
        <f>HYPERLINK("https://www.ebi.ac.uk/ena/browser/view/GCA_965183045","GCA_965183045")</f>
        <v>GCA_965183045</v>
      </c>
      <c r="M422" t="str">
        <f>HYPERLINK("https://www.ncbi.nlm.nih.gov/datasets/genome/GCA_965183045","CBCZWA010000001-CBCZWA010000143")</f>
        <v>CBCZWA010000001-CBCZWA010000143</v>
      </c>
    </row>
    <row r="423" spans="1:13" x14ac:dyDescent="0.35">
      <c r="A423" t="s">
        <v>1900</v>
      </c>
      <c r="B423" t="s">
        <v>25</v>
      </c>
      <c r="C423" t="s">
        <v>26</v>
      </c>
      <c r="D423" t="s">
        <v>17</v>
      </c>
      <c r="E423" t="s">
        <v>94</v>
      </c>
      <c r="F423" t="s">
        <v>77</v>
      </c>
      <c r="G423" t="s">
        <v>138</v>
      </c>
      <c r="H423" t="s">
        <v>1901</v>
      </c>
      <c r="I423" t="s">
        <v>1902</v>
      </c>
      <c r="J423" t="s">
        <v>1903</v>
      </c>
      <c r="K423" t="str">
        <f>HYPERLINK("https://www.ebi.ac.uk/ena/browser/view/ERR14661071","ERR14661071")</f>
        <v>ERR14661071</v>
      </c>
      <c r="L423" t="str">
        <f>HYPERLINK("https://www.ebi.ac.uk/ena/browser/view/GCA_965182955","GCA_965182955")</f>
        <v>GCA_965182955</v>
      </c>
      <c r="M423" t="str">
        <f>HYPERLINK("https://www.ncbi.nlm.nih.gov/datasets/genome/GCA_965182955","CBCZNO010000001-CBCZNO010000064")</f>
        <v>CBCZNO010000001-CBCZNO010000064</v>
      </c>
    </row>
    <row r="424" spans="1:13" x14ac:dyDescent="0.35">
      <c r="A424" t="s">
        <v>1904</v>
      </c>
      <c r="B424" t="s">
        <v>25</v>
      </c>
      <c r="C424" t="s">
        <v>26</v>
      </c>
      <c r="D424" t="s">
        <v>17</v>
      </c>
      <c r="E424" t="s">
        <v>94</v>
      </c>
      <c r="F424" t="s">
        <v>77</v>
      </c>
      <c r="G424" t="s">
        <v>157</v>
      </c>
      <c r="H424" t="s">
        <v>1905</v>
      </c>
      <c r="I424" t="s">
        <v>1906</v>
      </c>
      <c r="J424" t="s">
        <v>1907</v>
      </c>
      <c r="K424" t="str">
        <f>HYPERLINK("https://www.ebi.ac.uk/ena/browser/view/ERR14661108","ERR14661108")</f>
        <v>ERR14661108</v>
      </c>
      <c r="L424" t="str">
        <f>HYPERLINK("https://www.ebi.ac.uk/ena/browser/view/GCA_965181675","GCA_965181675")</f>
        <v>GCA_965181675</v>
      </c>
      <c r="M424" t="str">
        <f>HYPERLINK("https://www.ncbi.nlm.nih.gov/datasets/genome/GCA_965181675","CBCYHG010000001-CBCYHG010000050")</f>
        <v>CBCYHG010000001-CBCYHG010000050</v>
      </c>
    </row>
    <row r="425" spans="1:13" x14ac:dyDescent="0.35">
      <c r="A425" t="s">
        <v>1908</v>
      </c>
      <c r="B425" t="s">
        <v>25</v>
      </c>
      <c r="C425" t="s">
        <v>26</v>
      </c>
      <c r="D425" t="s">
        <v>17</v>
      </c>
      <c r="E425" t="s">
        <v>863</v>
      </c>
      <c r="F425" t="s">
        <v>864</v>
      </c>
      <c r="G425" t="s">
        <v>953</v>
      </c>
      <c r="H425" t="s">
        <v>1909</v>
      </c>
      <c r="I425" t="s">
        <v>1910</v>
      </c>
      <c r="J425" t="s">
        <v>1911</v>
      </c>
      <c r="K425" t="str">
        <f>HYPERLINK("https://www.ebi.ac.uk/ena/browser/view/ERR14661069","ERR14661069")</f>
        <v>ERR14661069</v>
      </c>
      <c r="L425" t="str">
        <f>HYPERLINK("https://www.ebi.ac.uk/ena/browser/view/GCA_965182945","GCA_965182945")</f>
        <v>GCA_965182945</v>
      </c>
      <c r="M425" t="str">
        <f>HYPERLINK("https://www.ncbi.nlm.nih.gov/datasets/genome/GCA_965182945","CBCYWX010000001-CBCYWX010000078")</f>
        <v>CBCYWX010000001-CBCYWX010000078</v>
      </c>
    </row>
    <row r="426" spans="1:13" x14ac:dyDescent="0.35">
      <c r="A426" t="s">
        <v>1912</v>
      </c>
      <c r="B426" t="s">
        <v>25</v>
      </c>
      <c r="C426" t="s">
        <v>26</v>
      </c>
      <c r="D426" t="s">
        <v>17</v>
      </c>
      <c r="E426" t="s">
        <v>863</v>
      </c>
      <c r="F426" t="s">
        <v>864</v>
      </c>
      <c r="G426" t="s">
        <v>953</v>
      </c>
      <c r="H426" t="s">
        <v>1913</v>
      </c>
      <c r="I426" t="s">
        <v>1914</v>
      </c>
      <c r="J426" t="s">
        <v>1915</v>
      </c>
      <c r="K426" t="str">
        <f>HYPERLINK("https://www.ebi.ac.uk/ena/browser/view/ERR14661070","ERR14661070")</f>
        <v>ERR14661070</v>
      </c>
      <c r="L426" t="str">
        <f>HYPERLINK("https://www.ebi.ac.uk/ena/browser/view/GCA_965179945","GCA_965179945")</f>
        <v>GCA_965179945</v>
      </c>
      <c r="M426" t="str">
        <f>HYPERLINK("https://www.ncbi.nlm.nih.gov/datasets/genome/GCA_965179945","CBCYBU010000001-CBCYBU010000079")</f>
        <v>CBCYBU010000001-CBCYBU010000079</v>
      </c>
    </row>
    <row r="427" spans="1:13" x14ac:dyDescent="0.35">
      <c r="A427" t="s">
        <v>1916</v>
      </c>
      <c r="B427" t="s">
        <v>25</v>
      </c>
      <c r="C427" t="s">
        <v>26</v>
      </c>
      <c r="D427" t="s">
        <v>17</v>
      </c>
      <c r="E427" t="s">
        <v>180</v>
      </c>
      <c r="F427" t="s">
        <v>77</v>
      </c>
      <c r="G427" t="s">
        <v>1917</v>
      </c>
      <c r="H427" t="s">
        <v>1918</v>
      </c>
      <c r="I427" t="s">
        <v>1919</v>
      </c>
      <c r="J427" t="s">
        <v>1920</v>
      </c>
      <c r="K427" t="str">
        <f>HYPERLINK("https://www.ebi.ac.uk/ena/browser/view/ERR14661072","ERR14661072")</f>
        <v>ERR14661072</v>
      </c>
      <c r="L427" t="str">
        <f>HYPERLINK("https://www.ebi.ac.uk/ena/browser/view/GCA_965179935","GCA_965179935")</f>
        <v>GCA_965179935</v>
      </c>
      <c r="M427" t="str">
        <f>HYPERLINK("https://www.ncbi.nlm.nih.gov/datasets/genome/GCA_965179935","CBCYBN010000001-CBCYBN010000068")</f>
        <v>CBCYBN010000001-CBCYBN010000068</v>
      </c>
    </row>
    <row r="428" spans="1:13" x14ac:dyDescent="0.35">
      <c r="A428" t="s">
        <v>1921</v>
      </c>
      <c r="B428" t="s">
        <v>15</v>
      </c>
      <c r="C428" t="s">
        <v>16</v>
      </c>
      <c r="D428" t="s">
        <v>17</v>
      </c>
      <c r="E428" t="s">
        <v>94</v>
      </c>
      <c r="F428" t="s">
        <v>77</v>
      </c>
      <c r="G428" t="s">
        <v>133</v>
      </c>
      <c r="H428" t="s">
        <v>1922</v>
      </c>
      <c r="I428" t="s">
        <v>1923</v>
      </c>
      <c r="J428" t="s">
        <v>1924</v>
      </c>
      <c r="K428" t="str">
        <f>HYPERLINK("https://www.ebi.ac.uk/ena/browser/view/ERR14661051","ERR14661051")</f>
        <v>ERR14661051</v>
      </c>
      <c r="L428" t="str">
        <f>HYPERLINK("https://www.ebi.ac.uk/ena/browser/view/GCA_965180895","GCA_965180895")</f>
        <v>GCA_965180895</v>
      </c>
      <c r="M428" t="str">
        <f>HYPERLINK("https://www.ncbi.nlm.nih.gov/datasets/genome/GCA_965180895","CBCYET010000001-CBCYET010000079")</f>
        <v>CBCYET010000001-CBCYET010000079</v>
      </c>
    </row>
    <row r="429" spans="1:13" x14ac:dyDescent="0.35">
      <c r="A429" t="s">
        <v>1925</v>
      </c>
      <c r="B429" t="s">
        <v>25</v>
      </c>
      <c r="C429" t="s">
        <v>174</v>
      </c>
      <c r="D429" t="s">
        <v>17</v>
      </c>
      <c r="E429" t="s">
        <v>94</v>
      </c>
      <c r="F429" t="s">
        <v>77</v>
      </c>
      <c r="G429" t="s">
        <v>138</v>
      </c>
      <c r="H429" t="s">
        <v>1926</v>
      </c>
      <c r="I429" t="s">
        <v>1927</v>
      </c>
      <c r="J429" t="s">
        <v>1928</v>
      </c>
      <c r="K429" t="str">
        <f>HYPERLINK("https://www.ebi.ac.uk/ena/browser/view/ERR14661122","ERR14661122")</f>
        <v>ERR14661122</v>
      </c>
      <c r="L429" t="str">
        <f>HYPERLINK("https://www.ebi.ac.uk/ena/browser/view/GCA_965180045","GCA_965180045")</f>
        <v>GCA_965180045</v>
      </c>
      <c r="M429" t="str">
        <f>HYPERLINK("https://www.ncbi.nlm.nih.gov/datasets/genome/GCA_965180045","CBCYBO010000001-CBCYBO010000067")</f>
        <v>CBCYBO010000001-CBCYBO010000067</v>
      </c>
    </row>
    <row r="430" spans="1:13" x14ac:dyDescent="0.35">
      <c r="A430" t="s">
        <v>1929</v>
      </c>
      <c r="B430" t="s">
        <v>25</v>
      </c>
      <c r="C430" t="s">
        <v>26</v>
      </c>
      <c r="D430" t="s">
        <v>17</v>
      </c>
      <c r="E430" t="s">
        <v>18</v>
      </c>
      <c r="F430" t="s">
        <v>19</v>
      </c>
      <c r="G430" t="s">
        <v>27</v>
      </c>
      <c r="H430" t="s">
        <v>1930</v>
      </c>
      <c r="I430" t="s">
        <v>1931</v>
      </c>
      <c r="J430" t="s">
        <v>1932</v>
      </c>
      <c r="K430" t="str">
        <f>HYPERLINK("https://www.ebi.ac.uk/ena/browser/view/ERR14661089","ERR14661089")</f>
        <v>ERR14661089</v>
      </c>
      <c r="L430" t="str">
        <f>HYPERLINK("https://www.ebi.ac.uk/ena/browser/view/GCA_965182805","GCA_965182805")</f>
        <v>GCA_965182805</v>
      </c>
      <c r="M430" t="str">
        <f>HYPERLINK("https://www.ncbi.nlm.nih.gov/datasets/genome/GCA_965182805","CBCYMT010000001-CBCYMT010000105")</f>
        <v>CBCYMT010000001-CBCYMT010000105</v>
      </c>
    </row>
    <row r="431" spans="1:13" x14ac:dyDescent="0.35">
      <c r="A431" t="s">
        <v>1933</v>
      </c>
      <c r="B431" t="s">
        <v>25</v>
      </c>
      <c r="C431" t="s">
        <v>26</v>
      </c>
      <c r="D431" t="s">
        <v>17</v>
      </c>
      <c r="E431" t="s">
        <v>190</v>
      </c>
      <c r="F431" t="s">
        <v>191</v>
      </c>
      <c r="G431" t="s">
        <v>133</v>
      </c>
      <c r="H431" t="s">
        <v>1934</v>
      </c>
      <c r="I431" t="s">
        <v>1935</v>
      </c>
      <c r="J431" t="s">
        <v>1936</v>
      </c>
      <c r="K431" t="str">
        <f>HYPERLINK("https://www.ebi.ac.uk/ena/browser/view/ERR14661075","ERR14661075")</f>
        <v>ERR14661075</v>
      </c>
      <c r="L431" t="str">
        <f>HYPERLINK("https://www.ebi.ac.uk/ena/browser/view/GCA_965180665","GCA_965180665")</f>
        <v>GCA_965180665</v>
      </c>
      <c r="M431" t="str">
        <f>HYPERLINK("https://www.ncbi.nlm.nih.gov/datasets/genome/GCA_965180665","CBCYDI010000001-CBCYDI010000065")</f>
        <v>CBCYDI010000001-CBCYDI010000065</v>
      </c>
    </row>
    <row r="432" spans="1:13" x14ac:dyDescent="0.35">
      <c r="A432" t="s">
        <v>1937</v>
      </c>
      <c r="B432" t="s">
        <v>25</v>
      </c>
      <c r="C432" t="s">
        <v>26</v>
      </c>
      <c r="D432" t="s">
        <v>17</v>
      </c>
      <c r="E432" t="s">
        <v>94</v>
      </c>
      <c r="F432" t="s">
        <v>77</v>
      </c>
      <c r="G432" t="s">
        <v>1938</v>
      </c>
      <c r="H432" t="s">
        <v>1939</v>
      </c>
      <c r="I432" t="s">
        <v>1940</v>
      </c>
      <c r="J432" t="s">
        <v>1941</v>
      </c>
      <c r="K432" t="str">
        <f>HYPERLINK("https://www.ebi.ac.uk/ena/browser/view/ERR14661116","ERR14661116")</f>
        <v>ERR14661116</v>
      </c>
      <c r="L432" t="str">
        <f>HYPERLINK("https://www.ebi.ac.uk/ena/browser/view/GCA_965180315","GCA_965180315")</f>
        <v>GCA_965180315</v>
      </c>
      <c r="M432" t="str">
        <f>HYPERLINK("https://www.ncbi.nlm.nih.gov/datasets/genome/GCA_965180315","CBCYBT010000001-CBCYBT010000045")</f>
        <v>CBCYBT010000001-CBCYBT010000045</v>
      </c>
    </row>
    <row r="433" spans="1:13" x14ac:dyDescent="0.35">
      <c r="A433" t="s">
        <v>1942</v>
      </c>
      <c r="B433" t="s">
        <v>15</v>
      </c>
      <c r="C433" t="s">
        <v>16</v>
      </c>
      <c r="D433" t="s">
        <v>17</v>
      </c>
      <c r="E433" t="s">
        <v>997</v>
      </c>
      <c r="F433" t="s">
        <v>864</v>
      </c>
      <c r="G433" t="s">
        <v>1943</v>
      </c>
      <c r="H433" t="s">
        <v>1944</v>
      </c>
      <c r="I433" t="s">
        <v>1945</v>
      </c>
      <c r="J433" t="s">
        <v>1946</v>
      </c>
      <c r="K433" t="str">
        <f>HYPERLINK("https://www.ebi.ac.uk/ena/browser/view/ERR14661041","ERR14661041")</f>
        <v>ERR14661041</v>
      </c>
      <c r="L433" t="str">
        <f>HYPERLINK("https://www.ebi.ac.uk/ena/browser/view/GCA_965179615","GCA_965179615")</f>
        <v>GCA_965179615</v>
      </c>
      <c r="M433" t="str">
        <f>HYPERLINK("https://www.ncbi.nlm.nih.gov/datasets/genome/GCA_965179615","CBCYAD010000001-CBCYAD010000081")</f>
        <v>CBCYAD010000001-CBCYAD010000081</v>
      </c>
    </row>
    <row r="434" spans="1:13" x14ac:dyDescent="0.35">
      <c r="A434" t="s">
        <v>1947</v>
      </c>
      <c r="B434" t="s">
        <v>15</v>
      </c>
      <c r="C434" t="s">
        <v>16</v>
      </c>
      <c r="D434" t="s">
        <v>17</v>
      </c>
      <c r="E434" t="s">
        <v>190</v>
      </c>
      <c r="F434" t="s">
        <v>191</v>
      </c>
      <c r="G434" t="s">
        <v>1948</v>
      </c>
      <c r="H434" t="s">
        <v>1949</v>
      </c>
      <c r="I434" t="s">
        <v>1950</v>
      </c>
      <c r="J434" t="s">
        <v>1951</v>
      </c>
      <c r="K434" t="str">
        <f>HYPERLINK("https://www.ebi.ac.uk/ena/browser/view/ERR14661040","ERR14661040")</f>
        <v>ERR14661040</v>
      </c>
      <c r="L434" t="str">
        <f>HYPERLINK("https://www.ebi.ac.uk/ena/browser/view/GCA_965181365","GCA_965181365")</f>
        <v>GCA_965181365</v>
      </c>
      <c r="M434" t="str">
        <f>HYPERLINK("https://www.ncbi.nlm.nih.gov/datasets/genome/GCA_965181365","CBCYGV010000001-CBCYGV010000099")</f>
        <v>CBCYGV010000001-CBCYGV010000099</v>
      </c>
    </row>
    <row r="435" spans="1:13" x14ac:dyDescent="0.35">
      <c r="A435" t="s">
        <v>1952</v>
      </c>
      <c r="B435" t="s">
        <v>15</v>
      </c>
      <c r="C435" t="s">
        <v>16</v>
      </c>
      <c r="D435" t="s">
        <v>17</v>
      </c>
      <c r="E435" t="s">
        <v>190</v>
      </c>
      <c r="F435" t="s">
        <v>191</v>
      </c>
      <c r="G435" t="s">
        <v>778</v>
      </c>
      <c r="H435" t="s">
        <v>1953</v>
      </c>
      <c r="I435" t="s">
        <v>1954</v>
      </c>
      <c r="J435" t="s">
        <v>1955</v>
      </c>
      <c r="K435" t="str">
        <f>HYPERLINK("https://www.ebi.ac.uk/ena/browser/view/ERR14661043","ERR14661043")</f>
        <v>ERR14661043</v>
      </c>
      <c r="L435" t="str">
        <f>HYPERLINK("https://www.ebi.ac.uk/ena/browser/view/GCA_965179635","GCA_965179635")</f>
        <v>GCA_965179635</v>
      </c>
      <c r="M435" t="str">
        <f>HYPERLINK("https://www.ncbi.nlm.nih.gov/datasets/genome/GCA_965179635","CBCXZW010000001-CBCXZW010000135")</f>
        <v>CBCXZW010000001-CBCXZW010000135</v>
      </c>
    </row>
    <row r="436" spans="1:13" x14ac:dyDescent="0.35">
      <c r="A436" t="s">
        <v>1956</v>
      </c>
      <c r="B436" t="s">
        <v>15</v>
      </c>
      <c r="C436" t="s">
        <v>16</v>
      </c>
      <c r="D436" t="s">
        <v>17</v>
      </c>
      <c r="E436" t="s">
        <v>190</v>
      </c>
      <c r="F436" t="s">
        <v>191</v>
      </c>
      <c r="G436" t="s">
        <v>332</v>
      </c>
      <c r="H436" t="s">
        <v>1957</v>
      </c>
      <c r="I436" t="s">
        <v>1958</v>
      </c>
      <c r="J436" t="s">
        <v>1959</v>
      </c>
      <c r="K436" t="str">
        <f>HYPERLINK("https://www.ebi.ac.uk/ena/browser/view/ERR14661045","ERR14661045")</f>
        <v>ERR14661045</v>
      </c>
      <c r="L436" t="str">
        <f>HYPERLINK("https://www.ebi.ac.uk/ena/browser/view/GCA_965182355","GCA_965182355")</f>
        <v>GCA_965182355</v>
      </c>
      <c r="M436" t="str">
        <f>HYPERLINK("https://www.ncbi.nlm.nih.gov/datasets/genome/GCA_965182355","CBCYJX010000001-CBCYJX010000112")</f>
        <v>CBCYJX010000001-CBCYJX010000112</v>
      </c>
    </row>
    <row r="437" spans="1:13" x14ac:dyDescent="0.35">
      <c r="A437" t="s">
        <v>1960</v>
      </c>
      <c r="B437" t="s">
        <v>15</v>
      </c>
      <c r="C437" t="s">
        <v>16</v>
      </c>
      <c r="D437" t="s">
        <v>17</v>
      </c>
      <c r="E437" t="s">
        <v>94</v>
      </c>
      <c r="F437" t="s">
        <v>77</v>
      </c>
      <c r="G437" t="s">
        <v>133</v>
      </c>
      <c r="H437" t="s">
        <v>1961</v>
      </c>
      <c r="I437" t="s">
        <v>1962</v>
      </c>
      <c r="J437" t="s">
        <v>1963</v>
      </c>
      <c r="K437" t="str">
        <f>HYPERLINK("https://www.ebi.ac.uk/ena/browser/view/ERR14661042","ERR14661042")</f>
        <v>ERR14661042</v>
      </c>
      <c r="L437" t="str">
        <f>HYPERLINK("https://www.ebi.ac.uk/ena/browser/view/GCA_965182375","GCA_965182375")</f>
        <v>GCA_965182375</v>
      </c>
      <c r="M437" t="str">
        <f>HYPERLINK("https://www.ncbi.nlm.nih.gov/datasets/genome/GCA_965182375","CBCYJS010000001-CBCYJS010000071")</f>
        <v>CBCYJS010000001-CBCYJS010000071</v>
      </c>
    </row>
    <row r="438" spans="1:13" x14ac:dyDescent="0.35">
      <c r="A438" t="s">
        <v>1964</v>
      </c>
      <c r="B438" t="s">
        <v>15</v>
      </c>
      <c r="C438" t="s">
        <v>16</v>
      </c>
      <c r="D438" t="s">
        <v>17</v>
      </c>
      <c r="E438" t="s">
        <v>190</v>
      </c>
      <c r="F438" t="s">
        <v>191</v>
      </c>
      <c r="G438" t="s">
        <v>1965</v>
      </c>
      <c r="H438" t="s">
        <v>1966</v>
      </c>
      <c r="I438" t="s">
        <v>1967</v>
      </c>
      <c r="J438" t="s">
        <v>1968</v>
      </c>
      <c r="K438" t="str">
        <f>HYPERLINK("https://www.ebi.ac.uk/ena/browser/view/ERR14661046","ERR14661046")</f>
        <v>ERR14661046</v>
      </c>
      <c r="L438" t="str">
        <f>HYPERLINK("https://www.ebi.ac.uk/ena/browser/view/GCA_965179745","GCA_965179745")</f>
        <v>GCA_965179745</v>
      </c>
      <c r="M438" t="str">
        <f>HYPERLINK("https://www.ncbi.nlm.nih.gov/datasets/genome/GCA_965179745","CBCXZR010000001-CBCXZR010000146")</f>
        <v>CBCXZR010000001-CBCXZR010000146</v>
      </c>
    </row>
    <row r="439" spans="1:13" x14ac:dyDescent="0.35">
      <c r="A439" t="s">
        <v>1969</v>
      </c>
      <c r="B439" t="s">
        <v>15</v>
      </c>
      <c r="C439" t="s">
        <v>16</v>
      </c>
      <c r="D439" t="s">
        <v>17</v>
      </c>
      <c r="E439" t="s">
        <v>863</v>
      </c>
      <c r="F439" t="s">
        <v>864</v>
      </c>
      <c r="G439" t="s">
        <v>870</v>
      </c>
      <c r="H439" t="s">
        <v>1970</v>
      </c>
      <c r="I439" t="s">
        <v>1971</v>
      </c>
      <c r="J439" t="s">
        <v>1972</v>
      </c>
      <c r="K439" t="str">
        <f>HYPERLINK("https://www.ebi.ac.uk/ena/browser/view/ERR14661052","ERR14661052")</f>
        <v>ERR14661052</v>
      </c>
      <c r="L439" t="str">
        <f>HYPERLINK("https://www.ebi.ac.uk/ena/browser/view/GCA_965180085","GCA_965180085")</f>
        <v>GCA_965180085</v>
      </c>
      <c r="M439" t="str">
        <f>HYPERLINK("https://www.ncbi.nlm.nih.gov/datasets/genome/GCA_965180085","CBCYCP010000001-CBCYCP010000133")</f>
        <v>CBCYCP010000001-CBCYCP010000133</v>
      </c>
    </row>
    <row r="440" spans="1:13" x14ac:dyDescent="0.35">
      <c r="A440" t="s">
        <v>1973</v>
      </c>
      <c r="B440" t="s">
        <v>15</v>
      </c>
      <c r="C440" t="s">
        <v>16</v>
      </c>
      <c r="D440" t="s">
        <v>17</v>
      </c>
      <c r="E440" t="s">
        <v>190</v>
      </c>
      <c r="F440" t="s">
        <v>191</v>
      </c>
      <c r="G440" t="s">
        <v>546</v>
      </c>
      <c r="H440" t="s">
        <v>1974</v>
      </c>
      <c r="I440" t="s">
        <v>1975</v>
      </c>
      <c r="J440" t="s">
        <v>1976</v>
      </c>
      <c r="K440" t="str">
        <f>HYPERLINK("https://www.ebi.ac.uk/ena/browser/view/ERR14661053","ERR14661053")</f>
        <v>ERR14661053</v>
      </c>
      <c r="L440" t="str">
        <f>HYPERLINK("https://www.ebi.ac.uk/ena/browser/view/GCA_965180875","GCA_965180875")</f>
        <v>GCA_965180875</v>
      </c>
      <c r="M440" t="str">
        <f>HYPERLINK("https://www.ncbi.nlm.nih.gov/datasets/genome/GCA_965180875","CBCYES010000001-CBCYES010000163")</f>
        <v>CBCYES010000001-CBCYES010000163</v>
      </c>
    </row>
    <row r="441" spans="1:13" x14ac:dyDescent="0.35">
      <c r="A441" t="s">
        <v>1977</v>
      </c>
      <c r="B441" t="s">
        <v>15</v>
      </c>
      <c r="C441" t="s">
        <v>16</v>
      </c>
      <c r="D441" t="s">
        <v>17</v>
      </c>
      <c r="E441" t="s">
        <v>190</v>
      </c>
      <c r="F441" t="s">
        <v>191</v>
      </c>
      <c r="G441" t="s">
        <v>546</v>
      </c>
      <c r="H441" t="s">
        <v>1978</v>
      </c>
      <c r="I441" t="s">
        <v>1979</v>
      </c>
      <c r="J441" t="s">
        <v>1980</v>
      </c>
      <c r="K441" t="str">
        <f>HYPERLINK("https://www.ebi.ac.uk/ena/browser/view/ERR14661054","ERR14661054")</f>
        <v>ERR14661054</v>
      </c>
      <c r="L441" t="str">
        <f>HYPERLINK("https://www.ebi.ac.uk/ena/browser/view/GCA_965179605","GCA_965179605")</f>
        <v>GCA_965179605</v>
      </c>
      <c r="M441" t="str">
        <f>HYPERLINK("https://www.ncbi.nlm.nih.gov/datasets/genome/GCA_965179605","CBCXZX010000001-CBCXZX010000171")</f>
        <v>CBCXZX010000001-CBCXZX010000171</v>
      </c>
    </row>
    <row r="442" spans="1:13" x14ac:dyDescent="0.35">
      <c r="A442" t="s">
        <v>1981</v>
      </c>
      <c r="B442" t="s">
        <v>15</v>
      </c>
      <c r="C442" t="s">
        <v>16</v>
      </c>
      <c r="D442" t="s">
        <v>17</v>
      </c>
      <c r="E442" t="s">
        <v>863</v>
      </c>
      <c r="F442" t="s">
        <v>864</v>
      </c>
      <c r="G442" t="s">
        <v>1982</v>
      </c>
      <c r="H442" t="s">
        <v>1983</v>
      </c>
      <c r="I442" t="s">
        <v>1984</v>
      </c>
      <c r="J442" t="s">
        <v>1985</v>
      </c>
      <c r="K442" t="str">
        <f>HYPERLINK("https://www.ebi.ac.uk/ena/browser/view/ERR14661044","ERR14661044")</f>
        <v>ERR14661044</v>
      </c>
      <c r="L442" t="str">
        <f>HYPERLINK("https://www.ebi.ac.uk/ena/browser/view/GCA_965182365","GCA_965182365")</f>
        <v>GCA_965182365</v>
      </c>
      <c r="M442" t="str">
        <f>HYPERLINK("https://www.ncbi.nlm.nih.gov/datasets/genome/GCA_965182365","CBCYLG010000001-CBCYLG010000163")</f>
        <v>CBCYLG010000001-CBCYLG010000163</v>
      </c>
    </row>
    <row r="443" spans="1:13" x14ac:dyDescent="0.35">
      <c r="A443" t="s">
        <v>1986</v>
      </c>
      <c r="B443" t="s">
        <v>15</v>
      </c>
      <c r="C443" t="s">
        <v>16</v>
      </c>
      <c r="D443" t="s">
        <v>17</v>
      </c>
      <c r="E443" t="s">
        <v>190</v>
      </c>
      <c r="F443" t="s">
        <v>191</v>
      </c>
      <c r="G443" t="s">
        <v>1987</v>
      </c>
      <c r="H443" t="s">
        <v>1988</v>
      </c>
      <c r="I443" t="s">
        <v>1989</v>
      </c>
      <c r="J443" t="s">
        <v>1990</v>
      </c>
      <c r="K443" t="str">
        <f>HYPERLINK("https://www.ebi.ac.uk/ena/browser/view/ERR14661049","ERR14661049")</f>
        <v>ERR14661049</v>
      </c>
      <c r="L443" t="str">
        <f>HYPERLINK("https://www.ebi.ac.uk/ena/browser/view/GCA_965182345","GCA_965182345")</f>
        <v>GCA_965182345</v>
      </c>
      <c r="M443" t="str">
        <f>HYPERLINK("https://www.ncbi.nlm.nih.gov/datasets/genome/GCA_965182345","CBCYJU010000001-CBCYJU010000080")</f>
        <v>CBCYJU010000001-CBCYJU010000080</v>
      </c>
    </row>
    <row r="444" spans="1:13" x14ac:dyDescent="0.35">
      <c r="A444" t="s">
        <v>1991</v>
      </c>
      <c r="B444" t="s">
        <v>15</v>
      </c>
      <c r="C444" t="s">
        <v>16</v>
      </c>
      <c r="D444" t="s">
        <v>17</v>
      </c>
      <c r="E444" t="s">
        <v>190</v>
      </c>
      <c r="F444" t="s">
        <v>191</v>
      </c>
      <c r="G444" t="s">
        <v>133</v>
      </c>
      <c r="H444" t="s">
        <v>1992</v>
      </c>
      <c r="I444" t="s">
        <v>1993</v>
      </c>
      <c r="J444" t="s">
        <v>1994</v>
      </c>
      <c r="K444" t="str">
        <f>HYPERLINK("https://www.ebi.ac.uk/ena/browser/view/ERR14661050","ERR14661050")</f>
        <v>ERR14661050</v>
      </c>
      <c r="L444" t="str">
        <f>HYPERLINK("https://www.ebi.ac.uk/ena/browser/view/GCA_965182675","GCA_965182675")</f>
        <v>GCA_965182675</v>
      </c>
      <c r="M444" t="str">
        <f>HYPERLINK("https://www.ncbi.nlm.nih.gov/datasets/genome/GCA_965182675","CBCYLQ010000001-CBCYLQ010000152")</f>
        <v>CBCYLQ010000001-CBCYLQ010000152</v>
      </c>
    </row>
    <row r="445" spans="1:13" x14ac:dyDescent="0.35">
      <c r="A445" t="s">
        <v>1995</v>
      </c>
      <c r="B445" t="s">
        <v>15</v>
      </c>
      <c r="C445" t="s">
        <v>16</v>
      </c>
      <c r="D445" t="s">
        <v>17</v>
      </c>
      <c r="E445" t="s">
        <v>1996</v>
      </c>
      <c r="F445" t="s">
        <v>77</v>
      </c>
      <c r="G445" t="s">
        <v>1997</v>
      </c>
      <c r="H445" t="s">
        <v>1998</v>
      </c>
      <c r="I445" t="s">
        <v>1999</v>
      </c>
      <c r="J445" t="s">
        <v>2000</v>
      </c>
      <c r="K445" t="str">
        <f>HYPERLINK("https://www.ebi.ac.uk/ena/browser/view/ERR14661056","ERR14661056")</f>
        <v>ERR14661056</v>
      </c>
      <c r="L445" t="str">
        <f>HYPERLINK("https://www.ebi.ac.uk/ena/browser/view/GCA_965179755","GCA_965179755")</f>
        <v>GCA_965179755</v>
      </c>
      <c r="M445" t="str">
        <f>HYPERLINK("https://www.ncbi.nlm.nih.gov/datasets/genome/GCA_965179755","CBCYAB010000001-CBCYAB010000184")</f>
        <v>CBCYAB010000001-CBCYAB010000184</v>
      </c>
    </row>
    <row r="446" spans="1:13" x14ac:dyDescent="0.35">
      <c r="A446" t="s">
        <v>2001</v>
      </c>
      <c r="B446" t="s">
        <v>15</v>
      </c>
      <c r="C446" t="s">
        <v>16</v>
      </c>
      <c r="D446" t="s">
        <v>17</v>
      </c>
      <c r="E446" t="s">
        <v>863</v>
      </c>
      <c r="F446" t="s">
        <v>864</v>
      </c>
      <c r="G446" t="s">
        <v>1599</v>
      </c>
      <c r="H446" t="s">
        <v>2002</v>
      </c>
      <c r="I446" t="s">
        <v>2003</v>
      </c>
      <c r="J446" t="s">
        <v>2004</v>
      </c>
      <c r="K446" t="str">
        <f>HYPERLINK("https://www.ebi.ac.uk/ena/browser/view/ERR14661048","ERR14661048")</f>
        <v>ERR14661048</v>
      </c>
      <c r="L446" t="str">
        <f>HYPERLINK("https://www.ebi.ac.uk/ena/browser/view/GCA_965179725","GCA_965179725")</f>
        <v>GCA_965179725</v>
      </c>
      <c r="M446" t="str">
        <f>HYPERLINK("https://www.ncbi.nlm.nih.gov/datasets/genome/GCA_965179725","CBCYAC010000001-CBCYAC010000079")</f>
        <v>CBCYAC010000001-CBCYAC010000079</v>
      </c>
    </row>
    <row r="447" spans="1:13" x14ac:dyDescent="0.35">
      <c r="A447" t="s">
        <v>2005</v>
      </c>
      <c r="B447" t="s">
        <v>25</v>
      </c>
      <c r="C447" t="s">
        <v>174</v>
      </c>
      <c r="D447" t="s">
        <v>17</v>
      </c>
      <c r="E447" t="s">
        <v>94</v>
      </c>
      <c r="F447" t="s">
        <v>77</v>
      </c>
      <c r="G447" t="s">
        <v>133</v>
      </c>
      <c r="H447" t="s">
        <v>2006</v>
      </c>
      <c r="I447" t="s">
        <v>2007</v>
      </c>
      <c r="J447" t="s">
        <v>2008</v>
      </c>
      <c r="K447" t="str">
        <f>HYPERLINK("https://www.ebi.ac.uk/ena/browser/view/ERR14661150","ERR14661150")</f>
        <v>ERR14661150</v>
      </c>
      <c r="L447" t="str">
        <f>HYPERLINK("https://www.ebi.ac.uk/ena/browser/view/GCA_965182965","GCA_965182965")</f>
        <v>GCA_965182965</v>
      </c>
      <c r="M447" t="str">
        <f>HYPERLINK("https://www.ncbi.nlm.nih.gov/datasets/genome/GCA_965182965","CBCZNM010000001-CBCZNM010000064")</f>
        <v>CBCZNM010000001-CBCZNM010000064</v>
      </c>
    </row>
    <row r="448" spans="1:13" x14ac:dyDescent="0.35">
      <c r="A448" t="s">
        <v>2009</v>
      </c>
      <c r="B448" t="s">
        <v>25</v>
      </c>
      <c r="C448" t="s">
        <v>174</v>
      </c>
      <c r="D448" t="s">
        <v>17</v>
      </c>
      <c r="E448" t="s">
        <v>863</v>
      </c>
      <c r="F448" t="s">
        <v>864</v>
      </c>
      <c r="G448" t="s">
        <v>1789</v>
      </c>
      <c r="H448" t="s">
        <v>2010</v>
      </c>
      <c r="I448" t="s">
        <v>2011</v>
      </c>
      <c r="J448" t="s">
        <v>2012</v>
      </c>
      <c r="K448" t="str">
        <f>HYPERLINK("https://www.ebi.ac.uk/ena/browser/view/ERR14661154","ERR14661154")</f>
        <v>ERR14661154</v>
      </c>
      <c r="L448" t="str">
        <f>HYPERLINK("https://www.ebi.ac.uk/ena/browser/view/GCA_965182115","GCA_965182115")</f>
        <v>GCA_965182115</v>
      </c>
      <c r="M448" t="str">
        <f>HYPERLINK("https://www.ncbi.nlm.nih.gov/datasets/genome/GCA_965182115","CBCYKC010000001-CBCYKC010000074")</f>
        <v>CBCYKC010000001-CBCYKC010000074</v>
      </c>
    </row>
    <row r="449" spans="1:13" x14ac:dyDescent="0.35">
      <c r="A449" t="s">
        <v>2013</v>
      </c>
      <c r="B449" t="s">
        <v>25</v>
      </c>
      <c r="C449" t="s">
        <v>174</v>
      </c>
      <c r="D449" t="s">
        <v>17</v>
      </c>
      <c r="E449" t="s">
        <v>94</v>
      </c>
      <c r="F449" t="s">
        <v>77</v>
      </c>
      <c r="G449" t="s">
        <v>133</v>
      </c>
      <c r="H449" t="s">
        <v>2014</v>
      </c>
      <c r="I449" t="s">
        <v>2015</v>
      </c>
      <c r="J449" t="s">
        <v>2016</v>
      </c>
      <c r="K449" t="str">
        <f>HYPERLINK("https://www.ebi.ac.uk/ena/browser/view/ERR14661151","ERR14661151")</f>
        <v>ERR14661151</v>
      </c>
      <c r="L449" t="str">
        <f>HYPERLINK("https://www.ebi.ac.uk/ena/browser/view/GCA_965182625","GCA_965182625")</f>
        <v>GCA_965182625</v>
      </c>
      <c r="M449" t="str">
        <f>HYPERLINK("https://www.ncbi.nlm.nih.gov/datasets/genome/GCA_965182625","CBCYKQ010000001-CBCYKQ010000067")</f>
        <v>CBCYKQ010000001-CBCYKQ010000067</v>
      </c>
    </row>
    <row r="450" spans="1:13" x14ac:dyDescent="0.35">
      <c r="A450" t="s">
        <v>2017</v>
      </c>
      <c r="B450" t="s">
        <v>25</v>
      </c>
      <c r="C450" t="s">
        <v>174</v>
      </c>
      <c r="D450" t="s">
        <v>17</v>
      </c>
      <c r="E450" t="s">
        <v>76</v>
      </c>
      <c r="F450" t="s">
        <v>77</v>
      </c>
      <c r="G450" t="s">
        <v>133</v>
      </c>
      <c r="H450" t="s">
        <v>2018</v>
      </c>
      <c r="I450" t="s">
        <v>2019</v>
      </c>
      <c r="J450" t="s">
        <v>2020</v>
      </c>
      <c r="K450" t="str">
        <f>HYPERLINK("https://www.ebi.ac.uk/ena/browser/view/ERR14661118","ERR14661118")</f>
        <v>ERR14661118</v>
      </c>
      <c r="L450" t="str">
        <f>HYPERLINK("https://www.ebi.ac.uk/ena/browser/view/GCA_965180065","GCA_965180065")</f>
        <v>GCA_965180065</v>
      </c>
      <c r="M450" t="str">
        <f>HYPERLINK("https://www.ncbi.nlm.nih.gov/datasets/genome/GCA_965180065","CBCYAU010000001-CBCYAU010000036")</f>
        <v>CBCYAU010000001-CBCYAU010000036</v>
      </c>
    </row>
    <row r="451" spans="1:13" x14ac:dyDescent="0.35">
      <c r="A451" t="s">
        <v>2021</v>
      </c>
      <c r="B451" t="s">
        <v>25</v>
      </c>
      <c r="C451" t="s">
        <v>174</v>
      </c>
      <c r="D451" t="s">
        <v>17</v>
      </c>
      <c r="E451" t="s">
        <v>839</v>
      </c>
      <c r="F451" t="s">
        <v>840</v>
      </c>
      <c r="G451" t="s">
        <v>133</v>
      </c>
      <c r="H451" t="s">
        <v>2022</v>
      </c>
      <c r="I451" t="s">
        <v>2023</v>
      </c>
      <c r="J451" t="s">
        <v>2024</v>
      </c>
      <c r="K451" t="str">
        <f>HYPERLINK("https://www.ebi.ac.uk/ena/browser/view/ERR14661124","ERR14661124")</f>
        <v>ERR14661124</v>
      </c>
      <c r="L451" t="str">
        <f>HYPERLINK("https://www.ebi.ac.uk/ena/browser/view/GCA_965180035","GCA_965180035")</f>
        <v>GCA_965180035</v>
      </c>
      <c r="M451" t="str">
        <f>HYPERLINK("https://www.ncbi.nlm.nih.gov/datasets/genome/GCA_965180035","CBCYCT010000001-CBCYCT010000064")</f>
        <v>CBCYCT010000001-CBCYCT010000064</v>
      </c>
    </row>
    <row r="452" spans="1:13" x14ac:dyDescent="0.35">
      <c r="A452" t="s">
        <v>2025</v>
      </c>
      <c r="B452" t="s">
        <v>25</v>
      </c>
      <c r="C452" t="s">
        <v>174</v>
      </c>
      <c r="D452" t="s">
        <v>17</v>
      </c>
      <c r="E452" t="s">
        <v>190</v>
      </c>
      <c r="F452" t="s">
        <v>191</v>
      </c>
      <c r="G452" t="s">
        <v>656</v>
      </c>
      <c r="H452" t="s">
        <v>2026</v>
      </c>
      <c r="I452" t="s">
        <v>2027</v>
      </c>
      <c r="J452" t="s">
        <v>2028</v>
      </c>
      <c r="K452" t="str">
        <f>HYPERLINK("https://www.ebi.ac.uk/ena/browser/view/ERR14661123","ERR14661123")</f>
        <v>ERR14661123</v>
      </c>
      <c r="L452" t="str">
        <f>HYPERLINK("https://www.ebi.ac.uk/ena/browser/view/GCA_965179855","GCA_965179855")</f>
        <v>GCA_965179855</v>
      </c>
      <c r="M452" t="str">
        <f>HYPERLINK("https://www.ncbi.nlm.nih.gov/datasets/genome/GCA_965179855","CBCYAV010000001-CBCYAV010000058")</f>
        <v>CBCYAV010000001-CBCYAV010000058</v>
      </c>
    </row>
    <row r="453" spans="1:13" x14ac:dyDescent="0.35">
      <c r="A453" t="s">
        <v>2029</v>
      </c>
      <c r="B453" t="s">
        <v>25</v>
      </c>
      <c r="C453" t="s">
        <v>174</v>
      </c>
      <c r="D453" t="s">
        <v>17</v>
      </c>
      <c r="E453" t="s">
        <v>839</v>
      </c>
      <c r="F453" t="s">
        <v>840</v>
      </c>
      <c r="G453" t="s">
        <v>133</v>
      </c>
      <c r="H453" t="s">
        <v>2030</v>
      </c>
      <c r="I453" t="s">
        <v>2031</v>
      </c>
      <c r="J453" t="s">
        <v>2032</v>
      </c>
      <c r="K453" t="str">
        <f>HYPERLINK("https://www.ebi.ac.uk/ena/browser/view/ERR14661120","ERR14661120")</f>
        <v>ERR14661120</v>
      </c>
      <c r="L453" t="str">
        <f>HYPERLINK("https://www.ebi.ac.uk/ena/browser/view/GCA_965179845","GCA_965179845")</f>
        <v>GCA_965179845</v>
      </c>
      <c r="M453" t="str">
        <f>HYPERLINK("https://www.ncbi.nlm.nih.gov/datasets/genome/GCA_965179845","CBCYDJ010000001-CBCYDJ010000097")</f>
        <v>CBCYDJ010000001-CBCYDJ010000097</v>
      </c>
    </row>
    <row r="454" spans="1:13" x14ac:dyDescent="0.35">
      <c r="A454" t="s">
        <v>2033</v>
      </c>
      <c r="B454" t="s">
        <v>25</v>
      </c>
      <c r="C454" t="s">
        <v>174</v>
      </c>
      <c r="D454" t="s">
        <v>17</v>
      </c>
      <c r="E454" t="s">
        <v>94</v>
      </c>
      <c r="F454" t="s">
        <v>77</v>
      </c>
      <c r="G454" t="s">
        <v>138</v>
      </c>
      <c r="H454" t="s">
        <v>2034</v>
      </c>
      <c r="I454" t="s">
        <v>2035</v>
      </c>
      <c r="J454" t="s">
        <v>2036</v>
      </c>
      <c r="K454" t="str">
        <f>HYPERLINK("https://www.ebi.ac.uk/ena/browser/view/ERR14661121","ERR14661121")</f>
        <v>ERR14661121</v>
      </c>
      <c r="L454" t="str">
        <f>HYPERLINK("https://www.ebi.ac.uk/ena/browser/view/GCA_965180055","GCA_965180055")</f>
        <v>GCA_965180055</v>
      </c>
      <c r="M454" t="str">
        <f>HYPERLINK("https://www.ncbi.nlm.nih.gov/datasets/genome/GCA_965180055","CBCYBK010000001-CBCYBK010000065")</f>
        <v>CBCYBK010000001-CBCYBK010000065</v>
      </c>
    </row>
    <row r="455" spans="1:13" x14ac:dyDescent="0.35">
      <c r="A455" t="s">
        <v>2037</v>
      </c>
      <c r="B455" t="s">
        <v>25</v>
      </c>
      <c r="C455" t="s">
        <v>174</v>
      </c>
      <c r="D455" t="s">
        <v>17</v>
      </c>
      <c r="E455" t="s">
        <v>863</v>
      </c>
      <c r="F455" t="s">
        <v>864</v>
      </c>
      <c r="G455" t="s">
        <v>1789</v>
      </c>
      <c r="H455" t="s">
        <v>2038</v>
      </c>
      <c r="I455" t="s">
        <v>2039</v>
      </c>
      <c r="J455" t="s">
        <v>2040</v>
      </c>
      <c r="K455" t="str">
        <f>HYPERLINK("https://www.ebi.ac.uk/ena/browser/view/ERR14661149","ERR14661149")</f>
        <v>ERR14661149</v>
      </c>
      <c r="L455" t="str">
        <f>HYPERLINK("https://www.ebi.ac.uk/ena/browser/view/GCA_965180555","GCA_965180555")</f>
        <v>GCA_965180555</v>
      </c>
      <c r="M455" t="str">
        <f>HYPERLINK("https://www.ncbi.nlm.nih.gov/datasets/genome/GCA_965180555","CBCYDV010000001-CBCYDV010000069")</f>
        <v>CBCYDV010000001-CBCYDV010000069</v>
      </c>
    </row>
    <row r="456" spans="1:13" x14ac:dyDescent="0.35">
      <c r="A456" t="s">
        <v>2041</v>
      </c>
      <c r="B456" t="s">
        <v>25</v>
      </c>
      <c r="C456" t="s">
        <v>174</v>
      </c>
      <c r="D456" t="s">
        <v>17</v>
      </c>
      <c r="E456" t="s">
        <v>190</v>
      </c>
      <c r="F456" t="s">
        <v>191</v>
      </c>
      <c r="G456" t="s">
        <v>1100</v>
      </c>
      <c r="H456" t="s">
        <v>2042</v>
      </c>
      <c r="I456" t="s">
        <v>2043</v>
      </c>
      <c r="J456" t="s">
        <v>2044</v>
      </c>
      <c r="K456" t="str">
        <f>HYPERLINK("https://www.ebi.ac.uk/ena/browser/view/ERR14661119","ERR14661119")</f>
        <v>ERR14661119</v>
      </c>
      <c r="L456" t="str">
        <f>HYPERLINK("https://www.ebi.ac.uk/ena/browser/view/GCA_965179835","GCA_965179835")</f>
        <v>GCA_965179835</v>
      </c>
      <c r="M456" t="str">
        <f>HYPERLINK("https://www.ncbi.nlm.nih.gov/datasets/genome/GCA_965179835","CBCYAO010000001-CBCYAO010000076")</f>
        <v>CBCYAO010000001-CBCYAO010000076</v>
      </c>
    </row>
    <row r="457" spans="1:13" x14ac:dyDescent="0.35">
      <c r="A457" t="s">
        <v>2045</v>
      </c>
      <c r="B457" t="s">
        <v>15</v>
      </c>
      <c r="C457" t="s">
        <v>16</v>
      </c>
      <c r="D457" t="s">
        <v>17</v>
      </c>
      <c r="E457" t="s">
        <v>65</v>
      </c>
      <c r="F457" t="s">
        <v>19</v>
      </c>
      <c r="G457" t="s">
        <v>66</v>
      </c>
      <c r="H457" t="s">
        <v>2046</v>
      </c>
      <c r="I457" t="s">
        <v>2047</v>
      </c>
      <c r="J457" t="s">
        <v>2048</v>
      </c>
      <c r="K457" t="str">
        <f>HYPERLINK("https://www.ebi.ac.uk/ena/browser/view/ERR14660667","ERR14660667")</f>
        <v>ERR14660667</v>
      </c>
      <c r="L457" t="str">
        <f>HYPERLINK("https://www.ebi.ac.uk/ena/browser/view/GCA_965179135","GCA_965179135")</f>
        <v>GCA_965179135</v>
      </c>
      <c r="M457" t="str">
        <f>HYPERLINK("https://www.ncbi.nlm.nih.gov/datasets/genome/GCA_965179135","CBCXXY010000001-CBCXXY010000065")</f>
        <v>CBCXXY010000001-CBCXXY010000065</v>
      </c>
    </row>
    <row r="458" spans="1:13" x14ac:dyDescent="0.35">
      <c r="A458" t="s">
        <v>2049</v>
      </c>
      <c r="B458" t="s">
        <v>15</v>
      </c>
      <c r="C458" t="s">
        <v>16</v>
      </c>
      <c r="D458" t="s">
        <v>17</v>
      </c>
      <c r="E458" t="s">
        <v>94</v>
      </c>
      <c r="F458" t="s">
        <v>77</v>
      </c>
      <c r="G458" t="s">
        <v>2050</v>
      </c>
      <c r="H458" t="s">
        <v>2051</v>
      </c>
      <c r="I458" t="s">
        <v>2052</v>
      </c>
      <c r="J458" t="s">
        <v>2053</v>
      </c>
      <c r="K458" t="str">
        <f>HYPERLINK("https://www.ebi.ac.uk/ena/browser/view/ERR14660669","ERR14660669")</f>
        <v>ERR14660669</v>
      </c>
      <c r="L458" t="str">
        <f>HYPERLINK("https://www.ebi.ac.uk/ena/browser/view/GCA_965179145","GCA_965179145")</f>
        <v>GCA_965179145</v>
      </c>
      <c r="M458" t="str">
        <f>HYPERLINK("https://www.ncbi.nlm.nih.gov/datasets/genome/GCA_965179145","CBCXYK010000001-CBCXYK010000094")</f>
        <v>CBCXYK010000001-CBCXYK010000094</v>
      </c>
    </row>
    <row r="459" spans="1:13" x14ac:dyDescent="0.35">
      <c r="A459" t="s">
        <v>2054</v>
      </c>
      <c r="B459" t="s">
        <v>15</v>
      </c>
      <c r="C459" t="s">
        <v>16</v>
      </c>
      <c r="D459" t="s">
        <v>17</v>
      </c>
      <c r="E459" t="s">
        <v>1996</v>
      </c>
      <c r="F459" t="s">
        <v>77</v>
      </c>
      <c r="G459" t="s">
        <v>133</v>
      </c>
      <c r="H459" t="s">
        <v>2055</v>
      </c>
      <c r="I459" t="s">
        <v>2056</v>
      </c>
      <c r="J459" t="s">
        <v>2057</v>
      </c>
      <c r="K459" t="str">
        <f>HYPERLINK("https://www.ebi.ac.uk/ena/browser/view/ERR14660674","ERR14660674")</f>
        <v>ERR14660674</v>
      </c>
      <c r="L459" t="str">
        <f>HYPERLINK("https://www.ebi.ac.uk/ena/browser/view/GCA_965179355","GCA_965179355")</f>
        <v>GCA_965179355</v>
      </c>
      <c r="M459" t="str">
        <f>HYPERLINK("https://www.ncbi.nlm.nih.gov/datasets/genome/GCA_965179355","CBCXXU010000001-CBCXXU010000035")</f>
        <v>CBCXXU010000001-CBCXXU010000035</v>
      </c>
    </row>
    <row r="460" spans="1:13" x14ac:dyDescent="0.35">
      <c r="A460" t="s">
        <v>2058</v>
      </c>
      <c r="B460" t="s">
        <v>15</v>
      </c>
      <c r="C460" t="s">
        <v>16</v>
      </c>
      <c r="D460" t="s">
        <v>32</v>
      </c>
      <c r="E460" t="s">
        <v>190</v>
      </c>
      <c r="F460" t="s">
        <v>191</v>
      </c>
      <c r="G460" t="s">
        <v>230</v>
      </c>
      <c r="H460" t="s">
        <v>2059</v>
      </c>
      <c r="I460" t="s">
        <v>2060</v>
      </c>
      <c r="J460" t="s">
        <v>2061</v>
      </c>
      <c r="K460" t="str">
        <f>HYPERLINK("https://www.ebi.ac.uk/ena/browser/view/ERR14660904","ERR14660904")</f>
        <v>ERR14660904</v>
      </c>
      <c r="L460" t="str">
        <f>HYPERLINK("https://www.ebi.ac.uk/ena/browser/view/GCA_965182565","GCA_965182565")</f>
        <v>GCA_965182565</v>
      </c>
      <c r="M460" t="str">
        <f>HYPERLINK("https://www.ncbi.nlm.nih.gov/datasets/genome/GCA_965182565","CBCYKW010000001-CBCYKW010000091")</f>
        <v>CBCYKW010000001-CBCYKW010000091</v>
      </c>
    </row>
    <row r="461" spans="1:13" x14ac:dyDescent="0.35">
      <c r="A461" t="s">
        <v>2062</v>
      </c>
      <c r="B461" t="s">
        <v>15</v>
      </c>
      <c r="C461" t="s">
        <v>16</v>
      </c>
      <c r="D461" t="s">
        <v>32</v>
      </c>
      <c r="E461" t="s">
        <v>190</v>
      </c>
      <c r="F461" t="s">
        <v>191</v>
      </c>
      <c r="G461" t="s">
        <v>359</v>
      </c>
      <c r="H461" t="s">
        <v>2063</v>
      </c>
      <c r="I461" t="s">
        <v>2064</v>
      </c>
      <c r="J461" t="s">
        <v>2065</v>
      </c>
      <c r="K461" t="str">
        <f>HYPERLINK("https://www.ebi.ac.uk/ena/browser/view/ERR14660908","ERR14660908")</f>
        <v>ERR14660908</v>
      </c>
      <c r="L461" t="str">
        <f>HYPERLINK("https://www.ebi.ac.uk/ena/browser/view/GCA_965180125","GCA_965180125")</f>
        <v>GCA_965180125</v>
      </c>
      <c r="M461" t="str">
        <f>HYPERLINK("https://www.ncbi.nlm.nih.gov/datasets/genome/GCA_965180125","CBCYBE010000001-CBCYBE010000068")</f>
        <v>CBCYBE010000001-CBCYBE010000068</v>
      </c>
    </row>
    <row r="462" spans="1:13" x14ac:dyDescent="0.35">
      <c r="A462" t="s">
        <v>2066</v>
      </c>
      <c r="B462" t="s">
        <v>15</v>
      </c>
      <c r="C462" t="s">
        <v>16</v>
      </c>
      <c r="D462" t="s">
        <v>17</v>
      </c>
      <c r="E462" t="s">
        <v>190</v>
      </c>
      <c r="F462" t="s">
        <v>191</v>
      </c>
      <c r="G462" t="s">
        <v>230</v>
      </c>
      <c r="H462" t="s">
        <v>2067</v>
      </c>
      <c r="I462" t="s">
        <v>2068</v>
      </c>
      <c r="J462" t="s">
        <v>2069</v>
      </c>
      <c r="K462" t="str">
        <f>HYPERLINK("https://www.ebi.ac.uk/ena/browser/view/ERR14660719","ERR14660719")</f>
        <v>ERR14660719</v>
      </c>
      <c r="L462" t="str">
        <f>HYPERLINK("https://www.ebi.ac.uk/ena/browser/view/GCA_965179245","GCA_965179245")</f>
        <v>GCA_965179245</v>
      </c>
      <c r="M462" t="str">
        <f>HYPERLINK("https://www.ncbi.nlm.nih.gov/datasets/genome/GCA_965179245","CBCXZM010000001-CBCXZM010000131")</f>
        <v>CBCXZM010000001-CBCXZM010000131</v>
      </c>
    </row>
    <row r="463" spans="1:13" x14ac:dyDescent="0.35">
      <c r="A463" t="s">
        <v>2070</v>
      </c>
      <c r="B463" t="s">
        <v>15</v>
      </c>
      <c r="C463" t="s">
        <v>16</v>
      </c>
      <c r="D463" t="s">
        <v>17</v>
      </c>
      <c r="E463" t="s">
        <v>190</v>
      </c>
      <c r="F463" t="s">
        <v>191</v>
      </c>
      <c r="G463" t="s">
        <v>2071</v>
      </c>
      <c r="H463" t="s">
        <v>2072</v>
      </c>
      <c r="I463" t="s">
        <v>2073</v>
      </c>
      <c r="J463" t="s">
        <v>2074</v>
      </c>
      <c r="K463" t="str">
        <f>HYPERLINK("https://www.ebi.ac.uk/ena/browser/view/ERR14660727","ERR14660727")</f>
        <v>ERR14660727</v>
      </c>
      <c r="L463" t="str">
        <f>HYPERLINK("https://www.ebi.ac.uk/ena/browser/view/GCA_965178895","GCA_965178895")</f>
        <v>GCA_965178895</v>
      </c>
      <c r="M463" t="str">
        <f>HYPERLINK("https://www.ncbi.nlm.nih.gov/datasets/genome/GCA_965178895","CBCXZO010000001-CBCXZO010000116")</f>
        <v>CBCXZO010000001-CBCXZO010000116</v>
      </c>
    </row>
    <row r="464" spans="1:13" x14ac:dyDescent="0.35">
      <c r="A464" t="s">
        <v>2075</v>
      </c>
      <c r="B464" t="s">
        <v>15</v>
      </c>
      <c r="C464" t="s">
        <v>16</v>
      </c>
      <c r="D464" t="s">
        <v>32</v>
      </c>
      <c r="E464" t="s">
        <v>190</v>
      </c>
      <c r="F464" t="s">
        <v>191</v>
      </c>
      <c r="G464" t="s">
        <v>2076</v>
      </c>
      <c r="H464" t="s">
        <v>2077</v>
      </c>
      <c r="I464" t="s">
        <v>2078</v>
      </c>
      <c r="J464" t="s">
        <v>2079</v>
      </c>
      <c r="K464" t="str">
        <f>HYPERLINK("https://www.ebi.ac.uk/ena/browser/view/ERR14660911","ERR14660911")</f>
        <v>ERR14660911</v>
      </c>
      <c r="L464" t="str">
        <f>HYPERLINK("https://www.ebi.ac.uk/ena/browser/view/GCA_965179825","GCA_965179825")</f>
        <v>GCA_965179825</v>
      </c>
      <c r="M464" t="str">
        <f>HYPERLINK("https://www.ncbi.nlm.nih.gov/datasets/genome/GCA_965179825","CBCYAZ010000001-CBCYAZ010000124")</f>
        <v>CBCYAZ010000001-CBCYAZ010000124</v>
      </c>
    </row>
    <row r="465" spans="1:13" x14ac:dyDescent="0.35">
      <c r="A465" t="s">
        <v>2080</v>
      </c>
      <c r="B465" t="s">
        <v>15</v>
      </c>
      <c r="C465" t="s">
        <v>16</v>
      </c>
      <c r="D465" t="s">
        <v>17</v>
      </c>
      <c r="E465" t="s">
        <v>190</v>
      </c>
      <c r="F465" t="s">
        <v>191</v>
      </c>
      <c r="G465" t="s">
        <v>175</v>
      </c>
      <c r="H465" t="s">
        <v>2081</v>
      </c>
      <c r="I465" t="s">
        <v>2082</v>
      </c>
      <c r="J465" t="s">
        <v>2083</v>
      </c>
      <c r="K465" t="str">
        <f>HYPERLINK("https://www.ebi.ac.uk/ena/browser/view/ERR14660733","ERR14660733")</f>
        <v>ERR14660733</v>
      </c>
      <c r="L465" t="str">
        <f>HYPERLINK("https://www.ebi.ac.uk/ena/browser/view/GCA_965180795","GCA_965180795")</f>
        <v>GCA_965180795</v>
      </c>
      <c r="M465" t="str">
        <f>HYPERLINK("https://www.ncbi.nlm.nih.gov/datasets/genome/GCA_965180795","CBCYEJ010000001-CBCYEJ010000165")</f>
        <v>CBCYEJ010000001-CBCYEJ010000165</v>
      </c>
    </row>
    <row r="466" spans="1:13" x14ac:dyDescent="0.35">
      <c r="A466" t="s">
        <v>2084</v>
      </c>
      <c r="B466" t="s">
        <v>15</v>
      </c>
      <c r="C466" t="s">
        <v>16</v>
      </c>
      <c r="D466" t="s">
        <v>32</v>
      </c>
      <c r="E466" t="s">
        <v>190</v>
      </c>
      <c r="F466" t="s">
        <v>191</v>
      </c>
      <c r="G466" t="s">
        <v>1584</v>
      </c>
      <c r="H466" t="s">
        <v>2085</v>
      </c>
      <c r="I466" t="s">
        <v>2086</v>
      </c>
      <c r="J466" t="s">
        <v>2087</v>
      </c>
      <c r="K466" t="str">
        <f>HYPERLINK("https://www.ebi.ac.uk/ena/browser/view/ERR14660737","ERR14660737")</f>
        <v>ERR14660737</v>
      </c>
      <c r="L466" t="str">
        <f>HYPERLINK("https://www.ebi.ac.uk/ena/browser/view/GCA_965180765","GCA_965180765")</f>
        <v>GCA_965180765</v>
      </c>
      <c r="M466" t="str">
        <f>HYPERLINK("https://www.ncbi.nlm.nih.gov/datasets/genome/GCA_965180765","CBCYEF010000001-CBCYEF010000182")</f>
        <v>CBCYEF010000001-CBCYEF010000182</v>
      </c>
    </row>
    <row r="467" spans="1:13" x14ac:dyDescent="0.35">
      <c r="A467" t="s">
        <v>2088</v>
      </c>
      <c r="B467" t="s">
        <v>15</v>
      </c>
      <c r="C467" t="s">
        <v>16</v>
      </c>
      <c r="D467" t="s">
        <v>17</v>
      </c>
      <c r="E467" t="s">
        <v>190</v>
      </c>
      <c r="F467" t="s">
        <v>191</v>
      </c>
      <c r="G467" t="s">
        <v>546</v>
      </c>
      <c r="H467" t="s">
        <v>2089</v>
      </c>
      <c r="I467" t="s">
        <v>2090</v>
      </c>
      <c r="J467" t="s">
        <v>2091</v>
      </c>
      <c r="K467" t="str">
        <f>HYPERLINK("https://www.ebi.ac.uk/ena/browser/view/ERR14661055","ERR14661055")</f>
        <v>ERR14661055</v>
      </c>
      <c r="L467" t="str">
        <f>HYPERLINK("https://www.ebi.ac.uk/ena/browser/view/GCA_965180965","GCA_965180965")</f>
        <v>GCA_965180965</v>
      </c>
      <c r="M467" t="str">
        <f>HYPERLINK("https://www.ncbi.nlm.nih.gov/datasets/genome/GCA_965180965","CBCYFB010000001-CBCYFB010000151")</f>
        <v>CBCYFB010000001-CBCYFB010000151</v>
      </c>
    </row>
    <row r="468" spans="1:13" x14ac:dyDescent="0.35">
      <c r="A468" t="s">
        <v>2092</v>
      </c>
      <c r="B468" t="s">
        <v>15</v>
      </c>
      <c r="C468" t="s">
        <v>16</v>
      </c>
      <c r="D468" t="s">
        <v>32</v>
      </c>
      <c r="E468" t="s">
        <v>190</v>
      </c>
      <c r="F468" t="s">
        <v>191</v>
      </c>
      <c r="G468" t="s">
        <v>133</v>
      </c>
      <c r="H468" t="s">
        <v>2093</v>
      </c>
      <c r="I468" t="s">
        <v>2094</v>
      </c>
      <c r="J468" t="s">
        <v>2095</v>
      </c>
      <c r="K468" t="str">
        <f>HYPERLINK("https://www.ebi.ac.uk/ena/browser/view/ERR14660756","ERR14660756")</f>
        <v>ERR14660756</v>
      </c>
      <c r="L468" t="str">
        <f>HYPERLINK("https://www.ebi.ac.uk/ena/browser/view/GCA_965180375","GCA_965180375")</f>
        <v>GCA_965180375</v>
      </c>
      <c r="M468" t="str">
        <f>HYPERLINK("https://www.ncbi.nlm.nih.gov/datasets/genome/GCA_965180375","CBCYDD010000001-CBCYDD010000114")</f>
        <v>CBCYDD010000001-CBCYDD010000114</v>
      </c>
    </row>
    <row r="469" spans="1:13" x14ac:dyDescent="0.35">
      <c r="A469" t="s">
        <v>2096</v>
      </c>
      <c r="B469" t="s">
        <v>15</v>
      </c>
      <c r="C469" t="s">
        <v>16</v>
      </c>
      <c r="D469" t="s">
        <v>32</v>
      </c>
      <c r="E469" t="s">
        <v>190</v>
      </c>
      <c r="F469" t="s">
        <v>191</v>
      </c>
      <c r="G469" t="s">
        <v>206</v>
      </c>
      <c r="H469" t="s">
        <v>2097</v>
      </c>
      <c r="I469" t="s">
        <v>2098</v>
      </c>
      <c r="J469" t="s">
        <v>2099</v>
      </c>
      <c r="K469" t="str">
        <f>HYPERLINK("https://www.ebi.ac.uk/ena/browser/view/ERR14660914","ERR14660914")</f>
        <v>ERR14660914</v>
      </c>
      <c r="L469" t="str">
        <f>HYPERLINK("https://www.ebi.ac.uk/ena/browser/view/GCA_965183355","GCA_965183355")</f>
        <v>GCA_965183355</v>
      </c>
      <c r="M469" t="str">
        <f>HYPERLINK("https://www.ncbi.nlm.nih.gov/datasets/genome/GCA_965183355","CBDABM010000001-CBDABM010000117")</f>
        <v>CBDABM010000001-CBDABM010000117</v>
      </c>
    </row>
    <row r="470" spans="1:13" x14ac:dyDescent="0.35">
      <c r="A470" t="s">
        <v>2100</v>
      </c>
      <c r="B470" t="s">
        <v>25</v>
      </c>
      <c r="C470" t="s">
        <v>26</v>
      </c>
      <c r="D470" t="s">
        <v>17</v>
      </c>
      <c r="E470" t="s">
        <v>2101</v>
      </c>
      <c r="F470" t="s">
        <v>133</v>
      </c>
      <c r="G470" t="s">
        <v>133</v>
      </c>
      <c r="H470" t="s">
        <v>2102</v>
      </c>
      <c r="I470" t="s">
        <v>2103</v>
      </c>
      <c r="J470" t="s">
        <v>2104</v>
      </c>
      <c r="K470" t="str">
        <f>HYPERLINK("https://www.ebi.ac.uk/ena/browser/view/ERR14660795","ERR14660795")</f>
        <v>ERR14660795</v>
      </c>
      <c r="L470" t="str">
        <f>HYPERLINK("https://www.ebi.ac.uk/ena/browser/view/GCA_965182305","GCA_965182305")</f>
        <v>GCA_965182305</v>
      </c>
      <c r="M470" t="str">
        <f>HYPERLINK("https://www.ncbi.nlm.nih.gov/datasets/genome/GCA_965182305","CBCYJM010000001-CBCYJM010000052")</f>
        <v>CBCYJM010000001-CBCYJM010000052</v>
      </c>
    </row>
    <row r="471" spans="1:13" x14ac:dyDescent="0.35">
      <c r="A471" t="s">
        <v>2105</v>
      </c>
      <c r="B471" t="s">
        <v>15</v>
      </c>
      <c r="C471" t="s">
        <v>16</v>
      </c>
      <c r="D471" t="s">
        <v>17</v>
      </c>
      <c r="E471" t="s">
        <v>94</v>
      </c>
      <c r="F471" t="s">
        <v>77</v>
      </c>
      <c r="G471" t="s">
        <v>105</v>
      </c>
      <c r="H471" t="s">
        <v>2106</v>
      </c>
      <c r="I471" t="s">
        <v>2107</v>
      </c>
      <c r="J471" t="s">
        <v>2108</v>
      </c>
      <c r="K471" t="str">
        <f>HYPERLINK("https://www.ebi.ac.uk/ena/browser/view/ERR14660741","ERR14660741")</f>
        <v>ERR14660741</v>
      </c>
      <c r="L471" t="str">
        <f>HYPERLINK("https://www.ebi.ac.uk/ena/browser/view/GCA_965182915","GCA_965182915")</f>
        <v>GCA_965182915</v>
      </c>
      <c r="M471" t="str">
        <f>HYPERLINK("https://www.ncbi.nlm.nih.gov/datasets/genome/GCA_965182915","CBCYMU010000001-CBCYMU010000036")</f>
        <v>CBCYMU010000001-CBCYMU010000036</v>
      </c>
    </row>
    <row r="472" spans="1:13" x14ac:dyDescent="0.35">
      <c r="A472" t="s">
        <v>2109</v>
      </c>
      <c r="B472" t="s">
        <v>15</v>
      </c>
      <c r="C472" t="s">
        <v>16</v>
      </c>
      <c r="D472" t="s">
        <v>32</v>
      </c>
      <c r="E472" t="s">
        <v>190</v>
      </c>
      <c r="F472" t="s">
        <v>191</v>
      </c>
      <c r="G472" t="s">
        <v>2110</v>
      </c>
      <c r="H472" t="s">
        <v>2111</v>
      </c>
      <c r="I472" t="s">
        <v>2112</v>
      </c>
      <c r="J472" t="s">
        <v>2113</v>
      </c>
      <c r="K472" t="str">
        <f>HYPERLINK("https://www.ebi.ac.uk/ena/browser/view/ERR14660710","ERR14660710")</f>
        <v>ERR14660710</v>
      </c>
      <c r="L472" t="str">
        <f>HYPERLINK("https://www.ebi.ac.uk/ena/browser/view/GCA_965178755","GCA_965178755")</f>
        <v>GCA_965178755</v>
      </c>
      <c r="M472" t="str">
        <f>HYPERLINK("https://www.ncbi.nlm.nih.gov/datasets/genome/GCA_965178755","CBCXYJ010000001-CBCXYJ010000167")</f>
        <v>CBCXYJ010000001-CBCXYJ010000167</v>
      </c>
    </row>
    <row r="473" spans="1:13" x14ac:dyDescent="0.35">
      <c r="A473" t="s">
        <v>2114</v>
      </c>
      <c r="B473" t="s">
        <v>25</v>
      </c>
      <c r="C473" t="s">
        <v>26</v>
      </c>
      <c r="D473" t="s">
        <v>17</v>
      </c>
      <c r="E473" t="s">
        <v>190</v>
      </c>
      <c r="F473" t="s">
        <v>191</v>
      </c>
      <c r="G473" t="s">
        <v>1382</v>
      </c>
      <c r="H473" t="s">
        <v>2115</v>
      </c>
      <c r="I473" t="s">
        <v>2116</v>
      </c>
      <c r="J473" t="s">
        <v>2117</v>
      </c>
      <c r="K473" t="str">
        <f>HYPERLINK("https://www.ebi.ac.uk/ena/browser/view/ERR14660789","ERR14660789")</f>
        <v>ERR14660789</v>
      </c>
      <c r="L473" t="str">
        <f>HYPERLINK("https://www.ebi.ac.uk/ena/browser/view/GCA_965179895","GCA_965179895")</f>
        <v>GCA_965179895</v>
      </c>
      <c r="M473" t="str">
        <f>HYPERLINK("https://www.ncbi.nlm.nih.gov/datasets/genome/GCA_965179895","CBCYAR010000001-CBCYAR010000076")</f>
        <v>CBCYAR010000001-CBCYAR010000076</v>
      </c>
    </row>
    <row r="474" spans="1:13" x14ac:dyDescent="0.35">
      <c r="A474" t="s">
        <v>2118</v>
      </c>
      <c r="B474" t="s">
        <v>15</v>
      </c>
      <c r="C474" t="s">
        <v>16</v>
      </c>
      <c r="D474" t="s">
        <v>17</v>
      </c>
      <c r="E474" t="s">
        <v>2119</v>
      </c>
      <c r="F474" t="s">
        <v>2120</v>
      </c>
      <c r="G474" t="s">
        <v>2121</v>
      </c>
      <c r="H474" t="s">
        <v>2122</v>
      </c>
      <c r="I474" t="s">
        <v>2123</v>
      </c>
      <c r="J474" t="s">
        <v>2124</v>
      </c>
      <c r="K474" t="str">
        <f>HYPERLINK("https://www.ebi.ac.uk/ena/browser/view/ERR14660717","ERR14660717")</f>
        <v>ERR14660717</v>
      </c>
      <c r="L474" t="str">
        <f>HYPERLINK("https://www.ebi.ac.uk/ena/browser/view/GCA_965178825","GCA_965178825")</f>
        <v>GCA_965178825</v>
      </c>
      <c r="M474" t="str">
        <f>HYPERLINK("https://www.ncbi.nlm.nih.gov/datasets/genome/GCA_965178825","CBCXYB010000001-CBCXYB010000048")</f>
        <v>CBCXYB010000001-CBCXYB010000048</v>
      </c>
    </row>
    <row r="475" spans="1:13" x14ac:dyDescent="0.35">
      <c r="A475" t="s">
        <v>2125</v>
      </c>
      <c r="B475" t="s">
        <v>25</v>
      </c>
      <c r="C475" t="s">
        <v>26</v>
      </c>
      <c r="D475" t="s">
        <v>17</v>
      </c>
      <c r="E475" t="s">
        <v>863</v>
      </c>
      <c r="F475" t="s">
        <v>864</v>
      </c>
      <c r="G475" t="s">
        <v>1594</v>
      </c>
      <c r="H475" t="s">
        <v>2126</v>
      </c>
      <c r="I475" t="s">
        <v>2127</v>
      </c>
      <c r="J475" t="s">
        <v>2128</v>
      </c>
      <c r="K475" t="str">
        <f>HYPERLINK("https://www.ebi.ac.uk/ena/browser/view/ERR14660776","ERR14660776")</f>
        <v>ERR14660776</v>
      </c>
      <c r="L475" t="str">
        <f>HYPERLINK("https://www.ebi.ac.uk/ena/browser/view/GCA_965181485","GCA_965181485")</f>
        <v>GCA_965181485</v>
      </c>
      <c r="M475" t="str">
        <f>HYPERLINK("https://www.ncbi.nlm.nih.gov/datasets/genome/GCA_965181485","CBCYHJ010000001-CBCYHJ010000055")</f>
        <v>CBCYHJ010000001-CBCYHJ010000055</v>
      </c>
    </row>
    <row r="476" spans="1:13" x14ac:dyDescent="0.35">
      <c r="A476" t="s">
        <v>2129</v>
      </c>
      <c r="B476" t="s">
        <v>15</v>
      </c>
      <c r="C476" t="s">
        <v>16</v>
      </c>
      <c r="D476" t="s">
        <v>17</v>
      </c>
      <c r="E476" t="s">
        <v>997</v>
      </c>
      <c r="F476" t="s">
        <v>864</v>
      </c>
      <c r="G476" t="s">
        <v>1943</v>
      </c>
      <c r="H476" t="s">
        <v>2130</v>
      </c>
      <c r="I476" t="s">
        <v>2131</v>
      </c>
      <c r="J476" t="s">
        <v>2132</v>
      </c>
      <c r="K476" t="str">
        <f>HYPERLINK("https://www.ebi.ac.uk/ena/browser/view/ERR14660685","ERR14660685")</f>
        <v>ERR14660685</v>
      </c>
      <c r="L476" t="str">
        <f>HYPERLINK("https://www.ebi.ac.uk/ena/browser/view/GCA_965179305","GCA_965179305")</f>
        <v>GCA_965179305</v>
      </c>
      <c r="M476" t="str">
        <f>HYPERLINK("https://www.ncbi.nlm.nih.gov/datasets/genome/GCA_965179305","CBCXYS010000001-CBCXYS010000067")</f>
        <v>CBCXYS010000001-CBCXYS010000067</v>
      </c>
    </row>
    <row r="477" spans="1:13" x14ac:dyDescent="0.35">
      <c r="A477" t="s">
        <v>2133</v>
      </c>
      <c r="B477" t="s">
        <v>25</v>
      </c>
      <c r="C477" t="s">
        <v>26</v>
      </c>
      <c r="D477" t="s">
        <v>17</v>
      </c>
      <c r="E477" t="s">
        <v>2134</v>
      </c>
      <c r="F477" t="s">
        <v>133</v>
      </c>
      <c r="G477" t="s">
        <v>133</v>
      </c>
      <c r="H477" t="s">
        <v>2135</v>
      </c>
      <c r="I477" t="s">
        <v>2136</v>
      </c>
      <c r="J477" t="s">
        <v>2137</v>
      </c>
      <c r="K477" t="str">
        <f>HYPERLINK("https://www.ebi.ac.uk/ena/browser/view/ERR14686640","ERR14686640")</f>
        <v>ERR14686640</v>
      </c>
      <c r="L477" t="str">
        <f>HYPERLINK("https://www.ebi.ac.uk/ena/browser/view/GCA_965195765","GCA_965195765")</f>
        <v>GCA_965195765</v>
      </c>
      <c r="M477" t="str">
        <f>HYPERLINK("https://www.ncbi.nlm.nih.gov/datasets/genome/GCA_965195765","CBDAHN010000001-CBDAHN010000093")</f>
        <v>CBDAHN010000001-CBDAHN010000093</v>
      </c>
    </row>
    <row r="478" spans="1:13" x14ac:dyDescent="0.35">
      <c r="A478" t="s">
        <v>2138</v>
      </c>
      <c r="B478" t="s">
        <v>25</v>
      </c>
      <c r="C478" t="s">
        <v>26</v>
      </c>
      <c r="D478" t="s">
        <v>17</v>
      </c>
      <c r="E478" t="s">
        <v>2139</v>
      </c>
      <c r="F478" t="s">
        <v>133</v>
      </c>
      <c r="G478" t="s">
        <v>133</v>
      </c>
      <c r="H478" t="s">
        <v>2140</v>
      </c>
      <c r="I478" t="s">
        <v>2141</v>
      </c>
      <c r="J478" t="s">
        <v>2142</v>
      </c>
      <c r="K478" t="str">
        <f>HYPERLINK("https://www.ebi.ac.uk/ena/browser/view/ERR14660839","ERR14660839")</f>
        <v>ERR14660839</v>
      </c>
      <c r="L478" t="str">
        <f>HYPERLINK("https://www.ebi.ac.uk/ena/browser/view/GCA_965179695","GCA_965179695")</f>
        <v>GCA_965179695</v>
      </c>
      <c r="M478" t="str">
        <f>HYPERLINK("https://www.ncbi.nlm.nih.gov/datasets/genome/GCA_965179695","CBCXZU010000001-CBCXZU010000064")</f>
        <v>CBCXZU010000001-CBCXZU010000064</v>
      </c>
    </row>
    <row r="479" spans="1:13" x14ac:dyDescent="0.35">
      <c r="A479" t="s">
        <v>2143</v>
      </c>
      <c r="B479" t="s">
        <v>25</v>
      </c>
      <c r="C479" t="s">
        <v>26</v>
      </c>
      <c r="D479" t="s">
        <v>17</v>
      </c>
      <c r="E479" t="s">
        <v>2144</v>
      </c>
      <c r="F479" t="s">
        <v>133</v>
      </c>
      <c r="G479" t="s">
        <v>133</v>
      </c>
      <c r="H479" t="s">
        <v>2145</v>
      </c>
      <c r="I479" t="s">
        <v>2146</v>
      </c>
      <c r="J479" t="s">
        <v>2147</v>
      </c>
      <c r="K479" t="str">
        <f>HYPERLINK("https://www.ebi.ac.uk/ena/browser/view/ERR14660780","ERR14660780")</f>
        <v>ERR14660780</v>
      </c>
      <c r="L479" t="str">
        <f>HYPERLINK("https://www.ebi.ac.uk/ena/browser/view/GCA_965180365","GCA_965180365")</f>
        <v>GCA_965180365</v>
      </c>
      <c r="M479" t="str">
        <f>HYPERLINK("https://www.ncbi.nlm.nih.gov/datasets/genome/GCA_965180365","CBCYAQ010000001-CBCYAQ010000087")</f>
        <v>CBCYAQ010000001-CBCYAQ010000087</v>
      </c>
    </row>
    <row r="480" spans="1:13" x14ac:dyDescent="0.35">
      <c r="A480" t="s">
        <v>2148</v>
      </c>
      <c r="B480" t="s">
        <v>25</v>
      </c>
      <c r="C480" t="s">
        <v>26</v>
      </c>
      <c r="D480" t="s">
        <v>32</v>
      </c>
      <c r="E480" t="s">
        <v>2144</v>
      </c>
      <c r="F480" t="s">
        <v>133</v>
      </c>
      <c r="G480" t="s">
        <v>133</v>
      </c>
      <c r="H480" t="s">
        <v>2149</v>
      </c>
      <c r="I480" t="s">
        <v>2150</v>
      </c>
      <c r="J480" t="s">
        <v>2151</v>
      </c>
      <c r="K480" t="str">
        <f>HYPERLINK("https://www.ebi.ac.uk/ena/browser/view/ERR14660803","ERR14660803")</f>
        <v>ERR14660803</v>
      </c>
      <c r="L480" t="str">
        <f>HYPERLINK("https://www.ebi.ac.uk/ena/browser/view/GCA_965183455","GCA_965183455")</f>
        <v>GCA_965183455</v>
      </c>
      <c r="M480" t="str">
        <f>HYPERLINK("https://www.ncbi.nlm.nih.gov/datasets/genome/GCA_965183455","CBDAAV010000001-CBDAAV010000068")</f>
        <v>CBDAAV010000001-CBDAAV010000068</v>
      </c>
    </row>
    <row r="481" spans="1:13" x14ac:dyDescent="0.35">
      <c r="A481" t="s">
        <v>2152</v>
      </c>
      <c r="B481" t="s">
        <v>25</v>
      </c>
      <c r="C481" t="s">
        <v>26</v>
      </c>
      <c r="D481" t="s">
        <v>32</v>
      </c>
      <c r="E481" t="s">
        <v>94</v>
      </c>
      <c r="F481" t="s">
        <v>77</v>
      </c>
      <c r="G481" t="s">
        <v>1938</v>
      </c>
      <c r="H481" t="s">
        <v>2153</v>
      </c>
      <c r="I481" t="s">
        <v>2154</v>
      </c>
      <c r="J481" t="s">
        <v>2155</v>
      </c>
      <c r="K481" t="str">
        <f>HYPERLINK("https://www.ebi.ac.uk/ena/browser/view/ERR14660922","ERR14660922")</f>
        <v>ERR14660922</v>
      </c>
      <c r="L481" t="str">
        <f>HYPERLINK("https://www.ebi.ac.uk/ena/browser/view/GCA_965183305","GCA_965183305")</f>
        <v>GCA_965183305</v>
      </c>
      <c r="M481" t="str">
        <f>HYPERLINK("https://www.ncbi.nlm.nih.gov/datasets/genome/GCA_965183305","CBDABQ010000001-CBDABQ010000034")</f>
        <v>CBDABQ010000001-CBDABQ010000034</v>
      </c>
    </row>
    <row r="482" spans="1:13" x14ac:dyDescent="0.35">
      <c r="A482" t="s">
        <v>2156</v>
      </c>
      <c r="B482" t="s">
        <v>25</v>
      </c>
      <c r="C482" t="s">
        <v>26</v>
      </c>
      <c r="D482" t="s">
        <v>32</v>
      </c>
      <c r="E482" t="s">
        <v>863</v>
      </c>
      <c r="F482" t="s">
        <v>864</v>
      </c>
      <c r="G482" t="s">
        <v>1689</v>
      </c>
      <c r="H482" t="s">
        <v>2157</v>
      </c>
      <c r="I482" t="s">
        <v>2158</v>
      </c>
      <c r="J482" t="s">
        <v>2159</v>
      </c>
      <c r="K482" t="str">
        <f>HYPERLINK("https://www.ebi.ac.uk/ena/browser/view/ERR14660965","ERR14660965")</f>
        <v>ERR14660965</v>
      </c>
      <c r="L482" t="str">
        <f>HYPERLINK("https://www.ebi.ac.uk/ena/browser/view/GCA_965180525","GCA_965180525")</f>
        <v>GCA_965180525</v>
      </c>
      <c r="M482" t="str">
        <f>HYPERLINK("https://www.ncbi.nlm.nih.gov/datasets/genome/GCA_965180525","CBCYDU010000001-CBCYDU010000109")</f>
        <v>CBCYDU010000001-CBCYDU010000109</v>
      </c>
    </row>
    <row r="483" spans="1:13" x14ac:dyDescent="0.35">
      <c r="A483" t="s">
        <v>2160</v>
      </c>
      <c r="B483" t="s">
        <v>25</v>
      </c>
      <c r="C483" t="s">
        <v>26</v>
      </c>
      <c r="D483" t="s">
        <v>32</v>
      </c>
      <c r="E483" t="s">
        <v>2161</v>
      </c>
      <c r="F483" t="s">
        <v>133</v>
      </c>
      <c r="G483" t="s">
        <v>133</v>
      </c>
      <c r="H483" t="s">
        <v>2162</v>
      </c>
      <c r="I483" t="s">
        <v>2163</v>
      </c>
      <c r="J483" t="s">
        <v>2164</v>
      </c>
      <c r="K483" t="str">
        <f>HYPERLINK("https://www.ebi.ac.uk/ena/browser/view/ERR14686637","ERR14686637")</f>
        <v>ERR14686637</v>
      </c>
      <c r="L483" t="str">
        <f>HYPERLINK("https://www.ebi.ac.uk/ena/browser/view/GCA_965195605","GCA_965195605")</f>
        <v>GCA_965195605</v>
      </c>
      <c r="M483" t="str">
        <f>HYPERLINK("https://www.ncbi.nlm.nih.gov/datasets/genome/GCA_965195605","CBDAHM010000001-CBDAHM010000041")</f>
        <v>CBDAHM010000001-CBDAHM010000041</v>
      </c>
    </row>
    <row r="484" spans="1:13" x14ac:dyDescent="0.35">
      <c r="A484" t="s">
        <v>2165</v>
      </c>
      <c r="B484" t="s">
        <v>25</v>
      </c>
      <c r="C484" t="s">
        <v>26</v>
      </c>
      <c r="D484" t="s">
        <v>32</v>
      </c>
      <c r="E484" t="s">
        <v>2144</v>
      </c>
      <c r="F484" t="s">
        <v>133</v>
      </c>
      <c r="G484" t="s">
        <v>133</v>
      </c>
      <c r="H484" t="s">
        <v>2166</v>
      </c>
      <c r="I484" t="s">
        <v>2167</v>
      </c>
      <c r="J484" t="s">
        <v>2168</v>
      </c>
      <c r="K484" t="str">
        <f>HYPERLINK("https://www.ebi.ac.uk/ena/browser/view/ERR14660920","ERR14660920")</f>
        <v>ERR14660920</v>
      </c>
      <c r="L484" t="str">
        <f>HYPERLINK("https://www.ebi.ac.uk/ena/browser/view/GCA_965183335","GCA_965183335")</f>
        <v>GCA_965183335</v>
      </c>
      <c r="M484" t="str">
        <f>HYPERLINK("https://www.ncbi.nlm.nih.gov/datasets/genome/GCA_965183335","CBDAAE010000001-CBDAAE010000135")</f>
        <v>CBDAAE010000001-CBDAAE010000135</v>
      </c>
    </row>
    <row r="485" spans="1:13" x14ac:dyDescent="0.35">
      <c r="A485" t="s">
        <v>2169</v>
      </c>
      <c r="B485" t="s">
        <v>25</v>
      </c>
      <c r="C485" t="s">
        <v>174</v>
      </c>
      <c r="D485" t="s">
        <v>17</v>
      </c>
      <c r="E485" t="s">
        <v>2144</v>
      </c>
      <c r="F485" t="s">
        <v>133</v>
      </c>
      <c r="G485" t="s">
        <v>133</v>
      </c>
      <c r="H485" t="s">
        <v>2170</v>
      </c>
      <c r="I485" t="s">
        <v>2171</v>
      </c>
      <c r="J485" t="s">
        <v>2172</v>
      </c>
      <c r="K485" t="str">
        <f>HYPERLINK("https://www.ebi.ac.uk/ena/browser/view/ERR14661153","ERR14661153")</f>
        <v>ERR14661153</v>
      </c>
      <c r="L485" t="str">
        <f>HYPERLINK("https://www.ebi.ac.uk/ena/browser/view/GCA_965182125","GCA_965182125")</f>
        <v>GCA_965182125</v>
      </c>
      <c r="M485" t="str">
        <f>HYPERLINK("https://www.ncbi.nlm.nih.gov/datasets/genome/GCA_965182125","CBCYIR010000001-CBCYIR010000144")</f>
        <v>CBCYIR010000001-CBCYIR010000144</v>
      </c>
    </row>
    <row r="486" spans="1:13" x14ac:dyDescent="0.35">
      <c r="A486" t="s">
        <v>2173</v>
      </c>
      <c r="B486" t="s">
        <v>25</v>
      </c>
      <c r="C486" t="s">
        <v>26</v>
      </c>
      <c r="D486" t="s">
        <v>17</v>
      </c>
      <c r="E486" t="s">
        <v>18</v>
      </c>
      <c r="F486" t="s">
        <v>19</v>
      </c>
      <c r="G486" t="s">
        <v>27</v>
      </c>
      <c r="H486" t="s">
        <v>2174</v>
      </c>
      <c r="I486" t="s">
        <v>2175</v>
      </c>
      <c r="J486" t="s">
        <v>2176</v>
      </c>
      <c r="K486" t="str">
        <f>HYPERLINK("https://www.ebi.ac.uk/ena/browser/view/ERR14661093","ERR14661093")</f>
        <v>ERR14661093</v>
      </c>
      <c r="L486" t="str">
        <f>HYPERLINK("https://www.ebi.ac.uk/ena/browser/view/GCA_965181755","GCA_965181755")</f>
        <v>GCA_965181755</v>
      </c>
      <c r="M486" t="str">
        <f>HYPERLINK("https://www.ncbi.nlm.nih.gov/datasets/genome/GCA_965181755","CBCYIA010000001-CBCYIA010000101")</f>
        <v>CBCYIA010000001-CBCYIA010000101</v>
      </c>
    </row>
    <row r="487" spans="1:13" x14ac:dyDescent="0.35">
      <c r="A487" t="s">
        <v>2177</v>
      </c>
      <c r="B487" t="s">
        <v>25</v>
      </c>
      <c r="C487" t="s">
        <v>26</v>
      </c>
      <c r="D487" t="s">
        <v>17</v>
      </c>
      <c r="E487" t="s">
        <v>180</v>
      </c>
      <c r="F487" t="s">
        <v>77</v>
      </c>
      <c r="G487" t="s">
        <v>181</v>
      </c>
      <c r="H487" t="s">
        <v>2178</v>
      </c>
      <c r="I487" t="s">
        <v>2179</v>
      </c>
      <c r="J487" t="s">
        <v>2180</v>
      </c>
      <c r="K487" t="str">
        <f>HYPERLINK("https://www.ebi.ac.uk/ena/browser/view/ERR14661066","ERR14661066")</f>
        <v>ERR14661066</v>
      </c>
      <c r="L487" t="str">
        <f>HYPERLINK("https://www.ebi.ac.uk/ena/browser/view/GCA_965183015","GCA_965183015")</f>
        <v>GCA_965183015</v>
      </c>
      <c r="M487" t="str">
        <f>HYPERLINK("https://www.ncbi.nlm.nih.gov/datasets/genome/GCA_965183015","CBDABB010000001-CBDABB010000100")</f>
        <v>CBDABB010000001-CBDABB010000100</v>
      </c>
    </row>
    <row r="488" spans="1:13" x14ac:dyDescent="0.35">
      <c r="A488" t="s">
        <v>2181</v>
      </c>
      <c r="B488" t="s">
        <v>25</v>
      </c>
      <c r="C488" t="s">
        <v>26</v>
      </c>
      <c r="D488" t="s">
        <v>17</v>
      </c>
      <c r="E488" t="s">
        <v>863</v>
      </c>
      <c r="F488" t="s">
        <v>864</v>
      </c>
      <c r="G488" t="s">
        <v>988</v>
      </c>
      <c r="H488" t="s">
        <v>2182</v>
      </c>
      <c r="I488" t="s">
        <v>2183</v>
      </c>
      <c r="J488" t="s">
        <v>2184</v>
      </c>
      <c r="K488" t="str">
        <f>HYPERLINK("https://www.ebi.ac.uk/ena/browser/view/ERR14661073","ERR14661073")</f>
        <v>ERR14661073</v>
      </c>
      <c r="L488" t="str">
        <f>HYPERLINK("https://www.ebi.ac.uk/ena/browser/view/GCA_965179925","GCA_965179925")</f>
        <v>GCA_965179925</v>
      </c>
      <c r="M488" t="str">
        <f>HYPERLINK("https://www.ncbi.nlm.nih.gov/datasets/genome/GCA_965179925","CBCYBW010000001-CBCYBW010000054")</f>
        <v>CBCYBW010000001-CBCYBW010000054</v>
      </c>
    </row>
    <row r="489" spans="1:13" x14ac:dyDescent="0.35">
      <c r="A489" t="s">
        <v>2185</v>
      </c>
      <c r="B489" t="s">
        <v>25</v>
      </c>
      <c r="C489" t="s">
        <v>26</v>
      </c>
      <c r="D489" t="s">
        <v>17</v>
      </c>
      <c r="E489" t="s">
        <v>2186</v>
      </c>
      <c r="F489" t="s">
        <v>133</v>
      </c>
      <c r="G489" t="s">
        <v>133</v>
      </c>
      <c r="H489" t="s">
        <v>2187</v>
      </c>
      <c r="I489" t="s">
        <v>2188</v>
      </c>
      <c r="J489" t="s">
        <v>2189</v>
      </c>
      <c r="K489" t="str">
        <f>HYPERLINK("https://www.ebi.ac.uk/ena/browser/view/ERR14661096","ERR14661096")</f>
        <v>ERR14661096</v>
      </c>
      <c r="L489" t="str">
        <f>HYPERLINK("https://www.ebi.ac.uk/ena/browser/view/GCA_965181635","GCA_965181635")</f>
        <v>GCA_965181635</v>
      </c>
      <c r="M489" t="str">
        <f>HYPERLINK("https://www.ncbi.nlm.nih.gov/datasets/genome/GCA_965181635","CBCYII010000001-CBCYII010000128")</f>
        <v>CBCYII010000001-CBCYII010000128</v>
      </c>
    </row>
    <row r="490" spans="1:13" x14ac:dyDescent="0.35">
      <c r="A490" t="s">
        <v>2190</v>
      </c>
      <c r="B490" t="s">
        <v>25</v>
      </c>
      <c r="C490" t="s">
        <v>26</v>
      </c>
      <c r="D490" t="s">
        <v>17</v>
      </c>
      <c r="E490" t="s">
        <v>2139</v>
      </c>
      <c r="F490" t="s">
        <v>133</v>
      </c>
      <c r="G490" t="s">
        <v>133</v>
      </c>
      <c r="H490" t="s">
        <v>2191</v>
      </c>
      <c r="I490" t="s">
        <v>2192</v>
      </c>
      <c r="J490" t="s">
        <v>2193</v>
      </c>
      <c r="K490" t="str">
        <f>HYPERLINK("https://www.ebi.ac.uk/ena/browser/view/ERR14661080","ERR14661080")</f>
        <v>ERR14661080</v>
      </c>
      <c r="L490" t="str">
        <f>HYPERLINK("https://www.ebi.ac.uk/ena/browser/view/GCA_965180195","GCA_965180195")</f>
        <v>GCA_965180195</v>
      </c>
      <c r="M490" t="str">
        <f>HYPERLINK("https://www.ncbi.nlm.nih.gov/datasets/genome/GCA_965180195","CBCYCG010000001-CBCYCG010000083")</f>
        <v>CBCYCG010000001-CBCYCG010000083</v>
      </c>
    </row>
    <row r="491" spans="1:13" x14ac:dyDescent="0.35">
      <c r="A491" t="s">
        <v>2194</v>
      </c>
      <c r="B491" t="s">
        <v>25</v>
      </c>
      <c r="C491" t="s">
        <v>26</v>
      </c>
      <c r="D491" t="s">
        <v>17</v>
      </c>
      <c r="E491" t="s">
        <v>997</v>
      </c>
      <c r="F491" t="s">
        <v>864</v>
      </c>
      <c r="G491" t="s">
        <v>1022</v>
      </c>
      <c r="H491" t="s">
        <v>2195</v>
      </c>
      <c r="I491" t="s">
        <v>2196</v>
      </c>
      <c r="J491" t="s">
        <v>2197</v>
      </c>
      <c r="K491" t="str">
        <f>HYPERLINK("https://www.ebi.ac.uk/ena/browser/view/ERR14661115","ERR14661115")</f>
        <v>ERR14661115</v>
      </c>
      <c r="L491" t="str">
        <f>HYPERLINK("https://www.ebi.ac.uk/ena/browser/view/GCA_965182885","GCA_965182885")</f>
        <v>GCA_965182885</v>
      </c>
      <c r="M491" t="str">
        <f>HYPERLINK("https://www.ncbi.nlm.nih.gov/datasets/genome/GCA_965182885","CBCYNE010000001-CBCYNE010000089")</f>
        <v>CBCYNE010000001-CBCYNE010000089</v>
      </c>
    </row>
    <row r="492" spans="1:13" x14ac:dyDescent="0.35">
      <c r="A492" t="s">
        <v>2198</v>
      </c>
      <c r="B492" t="s">
        <v>25</v>
      </c>
      <c r="C492" t="s">
        <v>26</v>
      </c>
      <c r="D492" t="s">
        <v>17</v>
      </c>
      <c r="E492" t="s">
        <v>2144</v>
      </c>
      <c r="F492" t="s">
        <v>133</v>
      </c>
      <c r="G492" t="s">
        <v>133</v>
      </c>
      <c r="H492" t="s">
        <v>2199</v>
      </c>
      <c r="I492" t="s">
        <v>2200</v>
      </c>
      <c r="J492" t="s">
        <v>2201</v>
      </c>
      <c r="K492" t="str">
        <f>HYPERLINK("https://www.ebi.ac.uk/ena/browser/view/ERR14661086","ERR14661086")</f>
        <v>ERR14661086</v>
      </c>
      <c r="L492" t="str">
        <f>HYPERLINK("https://www.ebi.ac.uk/ena/browser/view/GCA_965182595","GCA_965182595")</f>
        <v>GCA_965182595</v>
      </c>
      <c r="M492" t="str">
        <f>HYPERLINK("https://www.ncbi.nlm.nih.gov/datasets/genome/GCA_965182595","CBCYJK010000001-CBCYJK010000116")</f>
        <v>CBCYJK010000001-CBCYJK010000116</v>
      </c>
    </row>
    <row r="493" spans="1:13" x14ac:dyDescent="0.35">
      <c r="A493" t="s">
        <v>2202</v>
      </c>
      <c r="B493" t="s">
        <v>25</v>
      </c>
      <c r="C493" t="s">
        <v>26</v>
      </c>
      <c r="D493" t="s">
        <v>17</v>
      </c>
      <c r="E493" t="s">
        <v>94</v>
      </c>
      <c r="F493" t="s">
        <v>77</v>
      </c>
      <c r="G493" t="s">
        <v>157</v>
      </c>
      <c r="H493" t="s">
        <v>2203</v>
      </c>
      <c r="I493" t="s">
        <v>2204</v>
      </c>
      <c r="J493" t="s">
        <v>2205</v>
      </c>
      <c r="K493" t="str">
        <f>HYPERLINK("https://www.ebi.ac.uk/ena/browser/view/ERR14661074","ERR14661074")</f>
        <v>ERR14661074</v>
      </c>
      <c r="L493" t="str">
        <f>HYPERLINK("https://www.ebi.ac.uk/ena/browser/view/GCA_965183005","GCA_965183005")</f>
        <v>GCA_965183005</v>
      </c>
      <c r="M493" t="str">
        <f>HYPERLINK("https://www.ncbi.nlm.nih.gov/datasets/genome/GCA_965183005","CBCZQI010000001-CBCZQI010000052")</f>
        <v>CBCZQI010000001-CBCZQI010000052</v>
      </c>
    </row>
    <row r="494" spans="1:13" x14ac:dyDescent="0.35">
      <c r="A494" t="s">
        <v>2206</v>
      </c>
      <c r="B494" t="s">
        <v>25</v>
      </c>
      <c r="C494" t="s">
        <v>26</v>
      </c>
      <c r="D494" t="s">
        <v>17</v>
      </c>
      <c r="E494" t="s">
        <v>180</v>
      </c>
      <c r="F494" t="s">
        <v>77</v>
      </c>
      <c r="G494" t="s">
        <v>181</v>
      </c>
      <c r="H494" t="s">
        <v>2207</v>
      </c>
      <c r="I494" t="s">
        <v>2208</v>
      </c>
      <c r="J494" t="s">
        <v>2209</v>
      </c>
      <c r="K494" t="str">
        <f>HYPERLINK("https://www.ebi.ac.uk/ena/browser/view/ERR14661087","ERR14661087")</f>
        <v>ERR14661087</v>
      </c>
      <c r="L494" t="str">
        <f>HYPERLINK("https://www.ebi.ac.uk/ena/browser/view/GCA_965182745","GCA_965182745")</f>
        <v>GCA_965182745</v>
      </c>
      <c r="M494" t="str">
        <f>HYPERLINK("https://www.ncbi.nlm.nih.gov/datasets/genome/GCA_965182745","CBCYMM010000001-CBCYMM010000101")</f>
        <v>CBCYMM010000001-CBCYMM010000101</v>
      </c>
    </row>
    <row r="495" spans="1:13" x14ac:dyDescent="0.35">
      <c r="A495" t="s">
        <v>2210</v>
      </c>
      <c r="B495" t="s">
        <v>25</v>
      </c>
      <c r="C495" t="s">
        <v>26</v>
      </c>
      <c r="D495" t="s">
        <v>17</v>
      </c>
      <c r="E495" t="s">
        <v>180</v>
      </c>
      <c r="F495" t="s">
        <v>77</v>
      </c>
      <c r="G495" t="s">
        <v>181</v>
      </c>
      <c r="H495" t="s">
        <v>2211</v>
      </c>
      <c r="I495" t="s">
        <v>2212</v>
      </c>
      <c r="J495" t="s">
        <v>2213</v>
      </c>
      <c r="K495" t="str">
        <f>HYPERLINK("https://www.ebi.ac.uk/ena/browser/view/ERR14661113","ERR14661113")</f>
        <v>ERR14661113</v>
      </c>
      <c r="L495" t="str">
        <f>HYPERLINK("https://www.ebi.ac.uk/ena/browser/view/GCA_965180325","GCA_965180325")</f>
        <v>GCA_965180325</v>
      </c>
      <c r="M495" t="str">
        <f>HYPERLINK("https://www.ncbi.nlm.nih.gov/datasets/genome/GCA_965180325","CBCYDA010000001-CBCYDA010000118")</f>
        <v>CBCYDA010000001-CBCYDA010000118</v>
      </c>
    </row>
    <row r="496" spans="1:13" x14ac:dyDescent="0.35">
      <c r="A496" t="s">
        <v>2214</v>
      </c>
      <c r="B496" t="s">
        <v>25</v>
      </c>
      <c r="C496" t="s">
        <v>26</v>
      </c>
      <c r="D496" t="s">
        <v>17</v>
      </c>
      <c r="E496" t="s">
        <v>2144</v>
      </c>
      <c r="F496" t="s">
        <v>133</v>
      </c>
      <c r="G496" t="s">
        <v>133</v>
      </c>
      <c r="H496" t="s">
        <v>2215</v>
      </c>
      <c r="I496" t="s">
        <v>2216</v>
      </c>
      <c r="J496" t="s">
        <v>2217</v>
      </c>
      <c r="K496" t="str">
        <f>HYPERLINK("https://www.ebi.ac.uk/ena/browser/view/ERR14661106","ERR14661106")</f>
        <v>ERR14661106</v>
      </c>
      <c r="L496" t="str">
        <f>HYPERLINK("https://www.ebi.ac.uk/ena/browser/view/GCA_965181685","GCA_965181685")</f>
        <v>GCA_965181685</v>
      </c>
      <c r="M496" t="str">
        <f>HYPERLINK("https://www.ncbi.nlm.nih.gov/datasets/genome/GCA_965181685","CBCYFQ010000001-CBCYFQ010000159")</f>
        <v>CBCYFQ010000001-CBCYFQ010000159</v>
      </c>
    </row>
    <row r="497" spans="1:13" x14ac:dyDescent="0.35">
      <c r="A497" t="s">
        <v>2218</v>
      </c>
      <c r="B497" t="s">
        <v>15</v>
      </c>
      <c r="C497" t="s">
        <v>16</v>
      </c>
      <c r="D497" t="s">
        <v>17</v>
      </c>
      <c r="E497" t="s">
        <v>863</v>
      </c>
      <c r="F497" t="s">
        <v>864</v>
      </c>
      <c r="G497" t="s">
        <v>2219</v>
      </c>
      <c r="H497" t="s">
        <v>2220</v>
      </c>
      <c r="I497" t="s">
        <v>2221</v>
      </c>
      <c r="J497" t="s">
        <v>2222</v>
      </c>
      <c r="K497" t="str">
        <f>HYPERLINK("https://www.ebi.ac.uk/ena/browser/view/ERR14661039","ERR14661039")</f>
        <v>ERR14661039</v>
      </c>
      <c r="L497" t="str">
        <f>HYPERLINK("https://www.ebi.ac.uk/ena/browser/view/GCA_965181375","GCA_965181375")</f>
        <v>GCA_965181375</v>
      </c>
      <c r="M497" t="str">
        <f>HYPERLINK("https://www.ncbi.nlm.nih.gov/datasets/genome/GCA_965181375","CBCYHE010000001-CBCYHE010000058")</f>
        <v>CBCYHE010000001-CBCYHE010000058</v>
      </c>
    </row>
    <row r="498" spans="1:13" x14ac:dyDescent="0.35">
      <c r="A498" t="s">
        <v>2223</v>
      </c>
      <c r="B498" t="s">
        <v>25</v>
      </c>
      <c r="C498" t="s">
        <v>174</v>
      </c>
      <c r="D498" t="s">
        <v>17</v>
      </c>
      <c r="E498" t="s">
        <v>2139</v>
      </c>
      <c r="F498" t="s">
        <v>133</v>
      </c>
      <c r="G498" t="s">
        <v>133</v>
      </c>
      <c r="H498" t="s">
        <v>2224</v>
      </c>
      <c r="I498" t="s">
        <v>2225</v>
      </c>
      <c r="J498" t="s">
        <v>2226</v>
      </c>
      <c r="K498" t="str">
        <f>HYPERLINK("https://www.ebi.ac.uk/ena/browser/view/ERR14661152","ERR14661152")</f>
        <v>ERR14661152</v>
      </c>
      <c r="L498" t="str">
        <f>HYPERLINK("https://www.ebi.ac.uk/ena/browser/view/GCA_965182135","GCA_965182135")</f>
        <v>GCA_965182135</v>
      </c>
      <c r="M498" t="str">
        <f>HYPERLINK("https://www.ncbi.nlm.nih.gov/datasets/genome/GCA_965182135","CBCYJT010000001-CBCYJT010000117")</f>
        <v>CBCYJT010000001-CBCYJT010000117</v>
      </c>
    </row>
    <row r="499" spans="1:13" x14ac:dyDescent="0.35">
      <c r="A499" t="s">
        <v>2227</v>
      </c>
      <c r="B499" t="s">
        <v>15</v>
      </c>
      <c r="C499" t="s">
        <v>16</v>
      </c>
      <c r="D499" t="s">
        <v>17</v>
      </c>
      <c r="E499" t="s">
        <v>190</v>
      </c>
      <c r="F499" t="s">
        <v>191</v>
      </c>
      <c r="G499" t="s">
        <v>221</v>
      </c>
      <c r="H499" t="s">
        <v>2228</v>
      </c>
      <c r="I499" t="s">
        <v>2229</v>
      </c>
      <c r="J499" t="s">
        <v>2230</v>
      </c>
      <c r="K499" t="str">
        <f>HYPERLINK("https://www.ebi.ac.uk/ena/browser/view/ERR14660736","ERR14660736")</f>
        <v>ERR14660736</v>
      </c>
      <c r="L499" t="str">
        <f>HYPERLINK("https://www.ebi.ac.uk/ena/browser/view/GCA_965180775","GCA_965180775")</f>
        <v>GCA_965180775</v>
      </c>
      <c r="M499" t="str">
        <f>HYPERLINK("https://www.ncbi.nlm.nih.gov/datasets/genome/GCA_965180775","CBCYEK010000001-CBCYEK010000120")</f>
        <v>CBCYEK010000001-CBCYEK010000120</v>
      </c>
    </row>
    <row r="500" spans="1:13" x14ac:dyDescent="0.35">
      <c r="A500" t="s">
        <v>2231</v>
      </c>
      <c r="B500" t="s">
        <v>15</v>
      </c>
      <c r="C500" t="s">
        <v>16</v>
      </c>
      <c r="D500" t="s">
        <v>32</v>
      </c>
      <c r="E500" t="s">
        <v>863</v>
      </c>
      <c r="F500" t="s">
        <v>864</v>
      </c>
      <c r="G500" t="s">
        <v>2232</v>
      </c>
      <c r="H500" t="s">
        <v>2233</v>
      </c>
      <c r="I500" t="s">
        <v>2234</v>
      </c>
      <c r="J500" t="s">
        <v>2235</v>
      </c>
      <c r="K500" t="str">
        <f>HYPERLINK("https://www.ebi.ac.uk/ena/browser/view/ERR14660679","ERR14660679")</f>
        <v>ERR14660679</v>
      </c>
      <c r="L500" t="str">
        <f>HYPERLINK("https://www.ebi.ac.uk/ena/browser/view/GCA_965178925","GCA_965178925")</f>
        <v>GCA_965178925</v>
      </c>
      <c r="M500" t="str">
        <f>HYPERLINK("https://www.ncbi.nlm.nih.gov/datasets/genome/GCA_965178925","CBCXZK010000001-CBCXZK010000098")</f>
        <v>CBCXZK010000001-CBCXZK010000098</v>
      </c>
    </row>
    <row r="501" spans="1:13" x14ac:dyDescent="0.35">
      <c r="A501" t="s">
        <v>2236</v>
      </c>
      <c r="B501" t="s">
        <v>15</v>
      </c>
      <c r="C501" t="s">
        <v>16</v>
      </c>
      <c r="D501" t="s">
        <v>17</v>
      </c>
      <c r="E501" t="s">
        <v>863</v>
      </c>
      <c r="F501" t="s">
        <v>864</v>
      </c>
      <c r="G501" t="s">
        <v>2237</v>
      </c>
      <c r="H501" t="s">
        <v>2238</v>
      </c>
      <c r="I501" t="s">
        <v>2239</v>
      </c>
      <c r="J501" t="s">
        <v>2240</v>
      </c>
      <c r="K501" t="str">
        <f>HYPERLINK("https://www.ebi.ac.uk/ena/browser/view/ERR14660690","ERR14660690")</f>
        <v>ERR14660690</v>
      </c>
      <c r="L501" t="str">
        <f>HYPERLINK("https://www.ebi.ac.uk/ena/browser/view/GCA_965179255","GCA_965179255")</f>
        <v>GCA_965179255</v>
      </c>
      <c r="M501" t="str">
        <f>HYPERLINK("https://www.ncbi.nlm.nih.gov/datasets/genome/GCA_965179255","CBCXZL010000001-CBCXZL010000082")</f>
        <v>CBCXZL010000001-CBCXZL010000082</v>
      </c>
    </row>
    <row r="502" spans="1:13" x14ac:dyDescent="0.35">
      <c r="A502" t="s">
        <v>2241</v>
      </c>
      <c r="B502" t="s">
        <v>25</v>
      </c>
      <c r="C502" t="s">
        <v>26</v>
      </c>
      <c r="D502" t="s">
        <v>17</v>
      </c>
      <c r="E502" t="s">
        <v>2242</v>
      </c>
      <c r="F502" t="s">
        <v>133</v>
      </c>
      <c r="G502" t="s">
        <v>133</v>
      </c>
      <c r="H502" t="s">
        <v>2243</v>
      </c>
      <c r="I502" t="s">
        <v>2244</v>
      </c>
      <c r="J502" t="s">
        <v>2245</v>
      </c>
      <c r="K502" t="str">
        <f>HYPERLINK("https://www.ebi.ac.uk/ena/browser/view/ERR14661067","ERR14661067")</f>
        <v>ERR14661067</v>
      </c>
      <c r="L502" t="str">
        <f>HYPERLINK("https://www.ebi.ac.uk/ena/browser/view/GCA_965182145","GCA_965182145")</f>
        <v>GCA_965182145</v>
      </c>
      <c r="M502" t="str">
        <f>HYPERLINK("https://www.ncbi.nlm.nih.gov/datasets/genome/GCA_965182145","CBCYIZ010000001-CBCYIZ010000067")</f>
        <v>CBCYIZ010000001-CBCYIZ010000067</v>
      </c>
    </row>
    <row r="503" spans="1:13" x14ac:dyDescent="0.35">
      <c r="A503" t="s">
        <v>2246</v>
      </c>
      <c r="B503" t="s">
        <v>15</v>
      </c>
      <c r="C503" t="s">
        <v>16</v>
      </c>
      <c r="D503" t="s">
        <v>17</v>
      </c>
      <c r="E503" t="s">
        <v>94</v>
      </c>
      <c r="F503" t="s">
        <v>77</v>
      </c>
      <c r="G503" t="s">
        <v>2247</v>
      </c>
      <c r="H503" t="s">
        <v>2248</v>
      </c>
      <c r="I503" t="s">
        <v>2249</v>
      </c>
      <c r="J503" t="s">
        <v>2250</v>
      </c>
      <c r="K503" t="str">
        <f>HYPERLINK("https://www.ebi.ac.uk/ena/browser/view/ERR14660755","ERR14660755")</f>
        <v>ERR14660755</v>
      </c>
      <c r="L503" t="str">
        <f>HYPERLINK("https://www.ebi.ac.uk/ena/browser/view/GCA_965180385","GCA_965180385")</f>
        <v>GCA_965180385</v>
      </c>
      <c r="M503" t="str">
        <f>HYPERLINK("https://www.ncbi.nlm.nih.gov/datasets/genome/GCA_965180385","CBCYBS010000001-CBCYBS010000056")</f>
        <v>CBCYBS010000001-CBCYBS010000056</v>
      </c>
    </row>
  </sheetData>
  <autoFilter ref="A2:J503" xr:uid="{00000000-0009-0000-0000-000000000000}"/>
  <mergeCells count="3">
    <mergeCell ref="A1:D1"/>
    <mergeCell ref="E1:G1"/>
    <mergeCell ref="H1:J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Sequences_info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abeaumon</dc:creator>
  <dc:description/>
  <cp:lastModifiedBy>Anne-Lise  BEAUMONT</cp:lastModifiedBy>
  <cp:revision>4</cp:revision>
  <dcterms:created xsi:type="dcterms:W3CDTF">2025-03-10T10:12:05Z</dcterms:created>
  <dcterms:modified xsi:type="dcterms:W3CDTF">2025-09-18T17:33:11Z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