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1"/>
  <workbookPr filterPrivacy="1"/>
  <xr:revisionPtr revIDLastSave="0" documentId="8_{24ED87A7-E195-6644-AF10-EF3538AA3632}" xr6:coauthVersionLast="47" xr6:coauthVersionMax="47" xr10:uidLastSave="{00000000-0000-0000-0000-000000000000}"/>
  <bookViews>
    <workbookView xWindow="-34560" yWindow="2000" windowWidth="28800" windowHeight="15440" firstSheet="1" activeTab="12" xr2:uid="{00000000-000D-0000-FFFF-FFFF00000000}"/>
  </bookViews>
  <sheets>
    <sheet name="Fig. 2b" sheetId="1" r:id="rId1"/>
    <sheet name="Fig. 2c" sheetId="2" r:id="rId2"/>
    <sheet name="Fig. 2d" sheetId="3" r:id="rId3"/>
    <sheet name="Fig. 3a" sheetId="5" r:id="rId4"/>
    <sheet name="Fig. 3b" sheetId="6" r:id="rId5"/>
    <sheet name="Fig. 4b" sheetId="7" r:id="rId6"/>
    <sheet name="Fig. 4c" sheetId="8" r:id="rId7"/>
    <sheet name="Fig. 4d" sheetId="9" r:id="rId8"/>
    <sheet name="Fig. 4e" sheetId="11" r:id="rId9"/>
    <sheet name="Fig. 4f" sheetId="12" r:id="rId10"/>
    <sheet name="Fig. 5c" sheetId="13" r:id="rId11"/>
    <sheet name="Fig. 5d" sheetId="14" r:id="rId12"/>
    <sheet name="Fig. S3a" sheetId="15" r:id="rId13"/>
    <sheet name="Fig. S3b" sheetId="16" r:id="rId14"/>
    <sheet name="Fig. S5" sheetId="17" r:id="rId15"/>
    <sheet name="Fig. S6" sheetId="18" r:id="rId16"/>
    <sheet name="Fig. S7a" sheetId="19" r:id="rId17"/>
    <sheet name="Fig. S7b" sheetId="20" r:id="rId18"/>
    <sheet name="Fig. S9" sheetId="21" r:id="rId19"/>
    <sheet name="Fig. S10" sheetId="22" r:id="rId20"/>
    <sheet name="Fig. S11" sheetId="23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5" l="1"/>
  <c r="E6" i="15"/>
  <c r="E5" i="15"/>
  <c r="E4" i="15"/>
  <c r="E3" i="15"/>
  <c r="E2" i="15"/>
  <c r="G3" i="6"/>
  <c r="G4" i="6"/>
  <c r="G5" i="6"/>
  <c r="G6" i="6"/>
  <c r="G7" i="6"/>
  <c r="G2" i="6"/>
  <c r="F3" i="6"/>
  <c r="F4" i="6"/>
  <c r="F5" i="6"/>
  <c r="F6" i="6"/>
  <c r="F7" i="6"/>
  <c r="F2" i="6"/>
  <c r="F8" i="1"/>
  <c r="E8" i="1"/>
  <c r="F7" i="1"/>
  <c r="E7" i="1"/>
  <c r="F6" i="1"/>
  <c r="E6" i="1"/>
  <c r="L4" i="23" l="1"/>
  <c r="L5" i="23"/>
  <c r="L3" i="23"/>
  <c r="K4" i="23"/>
  <c r="K5" i="23"/>
  <c r="K3" i="23"/>
  <c r="F4" i="23"/>
  <c r="F5" i="23"/>
  <c r="F3" i="23"/>
  <c r="E4" i="23"/>
  <c r="E5" i="23"/>
  <c r="E3" i="23"/>
  <c r="L4" i="22"/>
  <c r="L3" i="22"/>
  <c r="K4" i="22"/>
  <c r="K3" i="22"/>
  <c r="F4" i="22"/>
  <c r="F3" i="22"/>
  <c r="E4" i="22"/>
  <c r="E3" i="22"/>
  <c r="L4" i="21"/>
  <c r="L3" i="21"/>
  <c r="K4" i="21"/>
  <c r="K3" i="21"/>
  <c r="F4" i="21"/>
  <c r="F3" i="21"/>
  <c r="E4" i="21"/>
  <c r="E3" i="21"/>
  <c r="L3" i="20"/>
  <c r="L2" i="20"/>
  <c r="K3" i="20"/>
  <c r="K2" i="20"/>
  <c r="F3" i="20"/>
  <c r="F2" i="20"/>
  <c r="E3" i="20"/>
  <c r="E2" i="20"/>
  <c r="F4" i="18"/>
  <c r="F5" i="18"/>
  <c r="F6" i="18"/>
  <c r="F7" i="18"/>
  <c r="F3" i="18"/>
  <c r="E4" i="18"/>
  <c r="E5" i="18"/>
  <c r="E6" i="18"/>
  <c r="E7" i="18"/>
  <c r="E3" i="18"/>
  <c r="P31" i="17"/>
  <c r="O31" i="17"/>
  <c r="N31" i="17"/>
  <c r="M31" i="17"/>
  <c r="L31" i="17"/>
  <c r="K31" i="17"/>
  <c r="J31" i="17"/>
  <c r="I31" i="17"/>
  <c r="H31" i="17"/>
  <c r="G31" i="17"/>
  <c r="P28" i="17"/>
  <c r="O28" i="17"/>
  <c r="N28" i="17"/>
  <c r="M28" i="17"/>
  <c r="L28" i="17"/>
  <c r="K28" i="17"/>
  <c r="J28" i="17"/>
  <c r="I28" i="17"/>
  <c r="H28" i="17"/>
  <c r="G28" i="17"/>
  <c r="O25" i="17"/>
  <c r="M25" i="17"/>
  <c r="K25" i="17"/>
  <c r="I25" i="17"/>
  <c r="G25" i="17"/>
  <c r="P22" i="17"/>
  <c r="O22" i="17"/>
  <c r="N22" i="17"/>
  <c r="M22" i="17"/>
  <c r="L22" i="17"/>
  <c r="K22" i="17"/>
  <c r="J22" i="17"/>
  <c r="I22" i="17"/>
  <c r="H22" i="17"/>
  <c r="G22" i="17"/>
  <c r="P15" i="17"/>
  <c r="O15" i="17"/>
  <c r="N15" i="17"/>
  <c r="M15" i="17"/>
  <c r="D15" i="17"/>
  <c r="C15" i="17"/>
  <c r="J15" i="17" s="1"/>
  <c r="B15" i="17"/>
  <c r="D14" i="17"/>
  <c r="C14" i="17"/>
  <c r="B14" i="17"/>
  <c r="D13" i="17"/>
  <c r="C13" i="17"/>
  <c r="B13" i="17"/>
  <c r="P12" i="17"/>
  <c r="O12" i="17"/>
  <c r="N12" i="17"/>
  <c r="M12" i="17"/>
  <c r="D12" i="17"/>
  <c r="K12" i="17" s="1"/>
  <c r="C12" i="17"/>
  <c r="B12" i="17"/>
  <c r="D11" i="17"/>
  <c r="C11" i="17"/>
  <c r="B11" i="17"/>
  <c r="D10" i="17"/>
  <c r="C10" i="17"/>
  <c r="J12" i="17" s="1"/>
  <c r="B10" i="17"/>
  <c r="O9" i="17"/>
  <c r="M9" i="17"/>
  <c r="D7" i="17"/>
  <c r="K9" i="17" s="1"/>
  <c r="C7" i="17"/>
  <c r="I9" i="17" s="1"/>
  <c r="B7" i="17"/>
  <c r="G9" i="17" s="1"/>
  <c r="L6" i="17"/>
  <c r="K6" i="17"/>
  <c r="F6" i="17"/>
  <c r="E6" i="17"/>
  <c r="C6" i="17"/>
  <c r="B6" i="17"/>
  <c r="F5" i="17"/>
  <c r="E5" i="17"/>
  <c r="C5" i="17"/>
  <c r="B5" i="17"/>
  <c r="F4" i="17"/>
  <c r="E4" i="17"/>
  <c r="C4" i="17"/>
  <c r="B4" i="17"/>
  <c r="K15" i="17" l="1"/>
  <c r="L15" i="17"/>
  <c r="H6" i="17"/>
  <c r="J6" i="17"/>
  <c r="G15" i="17"/>
  <c r="M6" i="17"/>
  <c r="P6" i="17"/>
  <c r="H12" i="17"/>
  <c r="I12" i="17"/>
  <c r="L12" i="17"/>
  <c r="N6" i="17"/>
  <c r="H15" i="17"/>
  <c r="I15" i="17"/>
  <c r="I6" i="17"/>
  <c r="G12" i="17"/>
  <c r="O6" i="17"/>
  <c r="G6" i="17"/>
  <c r="L4" i="13" l="1"/>
  <c r="L5" i="13"/>
  <c r="L3" i="13"/>
  <c r="K4" i="13"/>
  <c r="K5" i="13"/>
  <c r="K3" i="13"/>
  <c r="F4" i="13"/>
  <c r="F5" i="13"/>
  <c r="F3" i="13"/>
  <c r="E4" i="13"/>
  <c r="E5" i="13"/>
  <c r="E3" i="13"/>
  <c r="L4" i="12"/>
  <c r="L3" i="12"/>
  <c r="K4" i="12"/>
  <c r="K3" i="12"/>
  <c r="F4" i="12"/>
  <c r="F3" i="12"/>
  <c r="E4" i="12"/>
  <c r="E3" i="12"/>
  <c r="L4" i="11"/>
  <c r="L5" i="11"/>
  <c r="L6" i="11"/>
  <c r="L3" i="11"/>
  <c r="K4" i="11"/>
  <c r="K5" i="11"/>
  <c r="K6" i="11"/>
  <c r="K3" i="11"/>
  <c r="F4" i="11"/>
  <c r="F5" i="11"/>
  <c r="F6" i="11"/>
  <c r="F3" i="11"/>
  <c r="E4" i="11"/>
  <c r="E5" i="11"/>
  <c r="E6" i="11"/>
  <c r="E3" i="11"/>
  <c r="L4" i="9"/>
  <c r="L5" i="9"/>
  <c r="L3" i="9"/>
  <c r="K4" i="9"/>
  <c r="K5" i="9"/>
  <c r="K3" i="9"/>
  <c r="F4" i="9"/>
  <c r="F5" i="9"/>
  <c r="F3" i="9"/>
  <c r="E4" i="9"/>
  <c r="E5" i="9"/>
  <c r="E3" i="9"/>
  <c r="L4" i="8"/>
  <c r="L5" i="8"/>
  <c r="L6" i="8"/>
  <c r="L3" i="8"/>
  <c r="K4" i="8"/>
  <c r="K5" i="8"/>
  <c r="K6" i="8"/>
  <c r="K3" i="8"/>
  <c r="F4" i="8" l="1"/>
  <c r="F5" i="8"/>
  <c r="F6" i="8"/>
  <c r="F3" i="8"/>
  <c r="E4" i="8"/>
  <c r="E5" i="8"/>
  <c r="E6" i="8"/>
  <c r="E3" i="8"/>
  <c r="F5" i="7"/>
  <c r="F6" i="7"/>
  <c r="E5" i="7"/>
  <c r="E6" i="7"/>
  <c r="F4" i="7"/>
  <c r="F3" i="7"/>
  <c r="E4" i="7"/>
  <c r="E3" i="7"/>
  <c r="L4" i="5"/>
  <c r="L5" i="5"/>
  <c r="L6" i="5"/>
  <c r="L3" i="5"/>
  <c r="K4" i="5"/>
  <c r="K5" i="5"/>
  <c r="K6" i="5"/>
  <c r="K3" i="5"/>
  <c r="F4" i="5"/>
  <c r="F5" i="5"/>
  <c r="F6" i="5"/>
  <c r="F3" i="5"/>
  <c r="E4" i="5"/>
  <c r="E5" i="5"/>
  <c r="E6" i="5"/>
  <c r="E3" i="5"/>
  <c r="L4" i="2" l="1"/>
  <c r="L5" i="2"/>
  <c r="L6" i="2"/>
  <c r="L3" i="2"/>
  <c r="K4" i="2"/>
  <c r="K5" i="2"/>
  <c r="K6" i="2"/>
  <c r="K3" i="2"/>
  <c r="F5" i="2"/>
  <c r="F6" i="2"/>
  <c r="F4" i="2"/>
  <c r="E5" i="2"/>
  <c r="E6" i="2"/>
  <c r="E4" i="2"/>
  <c r="F3" i="2"/>
  <c r="E3" i="2"/>
</calcChain>
</file>

<file path=xl/sharedStrings.xml><?xml version="1.0" encoding="utf-8"?>
<sst xmlns="http://schemas.openxmlformats.org/spreadsheetml/2006/main" count="370" uniqueCount="113">
  <si>
    <t>Strain</t>
    <phoneticPr fontId="1" type="noConversion"/>
  </si>
  <si>
    <t>Data 1</t>
    <phoneticPr fontId="1" type="noConversion"/>
  </si>
  <si>
    <t>Data 2</t>
  </si>
  <si>
    <t>Data 2</t>
    <phoneticPr fontId="1" type="noConversion"/>
  </si>
  <si>
    <t>Data 3</t>
  </si>
  <si>
    <t>Data 3</t>
    <phoneticPr fontId="1" type="noConversion"/>
  </si>
  <si>
    <t>AVE</t>
    <phoneticPr fontId="1" type="noConversion"/>
  </si>
  <si>
    <t>Std</t>
    <phoneticPr fontId="1" type="noConversion"/>
  </si>
  <si>
    <t xml:space="preserve">L-lactate </t>
    <phoneticPr fontId="1" type="noConversion"/>
  </si>
  <si>
    <r>
      <t>OD</t>
    </r>
    <r>
      <rPr>
        <vertAlign val="subscript"/>
        <sz val="11"/>
        <color theme="1"/>
        <rFont val="Calibri"/>
        <family val="3"/>
        <charset val="134"/>
        <scheme val="minor"/>
      </rPr>
      <t>600</t>
    </r>
    <phoneticPr fontId="1" type="noConversion"/>
  </si>
  <si>
    <t>18G</t>
    <phoneticPr fontId="1" type="noConversion"/>
  </si>
  <si>
    <t>18A</t>
    <phoneticPr fontId="1" type="noConversion"/>
  </si>
  <si>
    <t>2A</t>
  </si>
  <si>
    <t>3A</t>
  </si>
  <si>
    <t>Strain</t>
  </si>
  <si>
    <t>Data 1</t>
  </si>
  <si>
    <t>AVE</t>
  </si>
  <si>
    <t>Std</t>
  </si>
  <si>
    <t xml:space="preserve">L-lactate </t>
  </si>
  <si>
    <t>OD600</t>
  </si>
  <si>
    <t>HPLA05</t>
    <phoneticPr fontId="1" type="noConversion"/>
  </si>
  <si>
    <t>HPLA06</t>
  </si>
  <si>
    <t>HPLA06</t>
    <phoneticPr fontId="1" type="noConversion"/>
  </si>
  <si>
    <t>HPLA06</t>
    <phoneticPr fontId="3" type="noConversion"/>
  </si>
  <si>
    <t xml:space="preserve">HPLA09 </t>
    <phoneticPr fontId="3" type="noConversion"/>
  </si>
  <si>
    <t xml:space="preserve">HPLA10 </t>
    <phoneticPr fontId="3" type="noConversion"/>
  </si>
  <si>
    <t>HPLA11</t>
    <phoneticPr fontId="3" type="noConversion"/>
  </si>
  <si>
    <t>24h</t>
  </si>
  <si>
    <t>k-L</t>
  </si>
  <si>
    <t>HPLA10</t>
  </si>
  <si>
    <t>48h</t>
  </si>
  <si>
    <t>HPL06</t>
  </si>
  <si>
    <t>Time</t>
    <phoneticPr fontId="1" type="noConversion"/>
  </si>
  <si>
    <t>Glucose</t>
    <phoneticPr fontId="1" type="noConversion"/>
  </si>
  <si>
    <t>Methanol</t>
    <phoneticPr fontId="1" type="noConversion"/>
  </si>
  <si>
    <t xml:space="preserve">Casbon source </t>
    <phoneticPr fontId="1" type="noConversion"/>
  </si>
  <si>
    <r>
      <t>NADH/NAD</t>
    </r>
    <r>
      <rPr>
        <vertAlign val="superscript"/>
        <sz val="11"/>
        <color theme="1"/>
        <rFont val="Calibri"/>
        <family val="3"/>
        <charset val="134"/>
        <scheme val="minor"/>
      </rPr>
      <t>+</t>
    </r>
    <phoneticPr fontId="1" type="noConversion"/>
  </si>
  <si>
    <r>
      <t>NADPH/NADP</t>
    </r>
    <r>
      <rPr>
        <vertAlign val="superscript"/>
        <sz val="11"/>
        <color theme="1"/>
        <rFont val="Calibri"/>
        <family val="3"/>
        <charset val="134"/>
        <scheme val="minor"/>
      </rPr>
      <t>+</t>
    </r>
    <phoneticPr fontId="1" type="noConversion"/>
  </si>
  <si>
    <t>HPLA12</t>
    <phoneticPr fontId="3" type="noConversion"/>
  </si>
  <si>
    <t>HPLA07</t>
    <phoneticPr fontId="3" type="noConversion"/>
  </si>
  <si>
    <t>HPLA13</t>
    <phoneticPr fontId="3" type="noConversion"/>
  </si>
  <si>
    <t>k-L</t>
    <phoneticPr fontId="1" type="noConversion"/>
  </si>
  <si>
    <t>HPLA13</t>
    <phoneticPr fontId="1" type="noConversion"/>
  </si>
  <si>
    <t>HPGLA02</t>
  </si>
  <si>
    <t>HPGLA05</t>
  </si>
  <si>
    <t>HPGLA07</t>
  </si>
  <si>
    <t>HPGLA03</t>
    <phoneticPr fontId="1" type="noConversion"/>
  </si>
  <si>
    <t>HPLA14</t>
    <phoneticPr fontId="1" type="noConversion"/>
  </si>
  <si>
    <t>HPLA21</t>
    <phoneticPr fontId="1" type="noConversion"/>
  </si>
  <si>
    <t>HPLA22</t>
    <phoneticPr fontId="1" type="noConversion"/>
  </si>
  <si>
    <t>Methanol consumption</t>
  </si>
  <si>
    <t>L-lactate</t>
    <phoneticPr fontId="1" type="noConversion"/>
  </si>
  <si>
    <t>HpLd</t>
    <phoneticPr fontId="1" type="noConversion"/>
  </si>
  <si>
    <t>HpLh</t>
    <phoneticPr fontId="1" type="noConversion"/>
  </si>
  <si>
    <t>HpLp</t>
    <phoneticPr fontId="1" type="noConversion"/>
  </si>
  <si>
    <t>HpLl</t>
    <phoneticPr fontId="1" type="noConversion"/>
  </si>
  <si>
    <t>HpPa</t>
    <phoneticPr fontId="1" type="noConversion"/>
  </si>
  <si>
    <t>Δku80</t>
    <phoneticPr fontId="1" type="noConversion"/>
  </si>
  <si>
    <t>time</t>
    <phoneticPr fontId="1" type="noConversion"/>
  </si>
  <si>
    <t>2d</t>
    <phoneticPr fontId="1" type="noConversion"/>
  </si>
  <si>
    <t>3d</t>
    <phoneticPr fontId="1" type="noConversion"/>
  </si>
  <si>
    <t>4d</t>
    <phoneticPr fontId="1" type="noConversion"/>
  </si>
  <si>
    <t>5d</t>
    <phoneticPr fontId="1" type="noConversion"/>
  </si>
  <si>
    <t>Ct</t>
    <phoneticPr fontId="1" type="noConversion"/>
  </si>
  <si>
    <r>
      <t>P</t>
    </r>
    <r>
      <rPr>
        <i/>
        <vertAlign val="subscript"/>
        <sz val="11"/>
        <color theme="1"/>
        <rFont val="Calibri"/>
        <family val="3"/>
        <charset val="134"/>
        <scheme val="minor"/>
      </rPr>
      <t>AOX1</t>
    </r>
    <phoneticPr fontId="1" type="noConversion"/>
  </si>
  <si>
    <r>
      <t>P</t>
    </r>
    <r>
      <rPr>
        <i/>
        <vertAlign val="subscript"/>
        <sz val="11"/>
        <color theme="1"/>
        <rFont val="Calibri"/>
        <family val="3"/>
        <charset val="134"/>
        <scheme val="minor"/>
      </rPr>
      <t>GAP</t>
    </r>
    <phoneticPr fontId="1" type="noConversion"/>
  </si>
  <si>
    <r>
      <t>P</t>
    </r>
    <r>
      <rPr>
        <i/>
        <vertAlign val="subscript"/>
        <sz val="11"/>
        <color theme="1"/>
        <rFont val="Calibri"/>
        <family val="2"/>
        <scheme val="minor"/>
      </rPr>
      <t>TEF</t>
    </r>
    <phoneticPr fontId="1" type="noConversion"/>
  </si>
  <si>
    <r>
      <t>P</t>
    </r>
    <r>
      <rPr>
        <i/>
        <vertAlign val="subscript"/>
        <sz val="11"/>
        <color theme="1"/>
        <rFont val="Calibri"/>
        <family val="3"/>
        <charset val="134"/>
        <scheme val="minor"/>
      </rPr>
      <t>PMA1</t>
    </r>
    <phoneticPr fontId="1" type="noConversion"/>
  </si>
  <si>
    <r>
      <t>P</t>
    </r>
    <r>
      <rPr>
        <i/>
        <vertAlign val="subscript"/>
        <sz val="11"/>
        <color theme="1"/>
        <rFont val="Calibri"/>
        <family val="2"/>
        <scheme val="minor"/>
      </rPr>
      <t>FDH</t>
    </r>
    <r>
      <rPr>
        <i/>
        <vertAlign val="subscript"/>
        <sz val="11"/>
        <color theme="1"/>
        <rFont val="Calibri"/>
        <family val="3"/>
        <charset val="134"/>
        <scheme val="minor"/>
      </rPr>
      <t>1</t>
    </r>
    <phoneticPr fontId="1" type="noConversion"/>
  </si>
  <si>
    <t>KL-1</t>
    <phoneticPr fontId="1" type="noConversion"/>
  </si>
  <si>
    <t>KL-2</t>
  </si>
  <si>
    <t>KL-3</t>
  </si>
  <si>
    <t>HpLA05-1</t>
    <phoneticPr fontId="1" type="noConversion"/>
  </si>
  <si>
    <t>HpLA05-2</t>
  </si>
  <si>
    <t>HpLA05-3</t>
  </si>
  <si>
    <t>HpLA06-1</t>
    <phoneticPr fontId="1" type="noConversion"/>
  </si>
  <si>
    <t>HpLA06-2</t>
  </si>
  <si>
    <t>HpLA06-3</t>
  </si>
  <si>
    <t>HpLA13-1</t>
    <phoneticPr fontId="1" type="noConversion"/>
  </si>
  <si>
    <t>HpLA13-2</t>
  </si>
  <si>
    <t>HpLA13-3</t>
  </si>
  <si>
    <t>0h</t>
    <phoneticPr fontId="1" type="noConversion"/>
  </si>
  <si>
    <t>24h</t>
    <phoneticPr fontId="1" type="noConversion"/>
  </si>
  <si>
    <t>48h</t>
    <phoneticPr fontId="1" type="noConversion"/>
  </si>
  <si>
    <t>L-lactate concentration</t>
    <phoneticPr fontId="1" type="noConversion"/>
  </si>
  <si>
    <t>0</t>
  </si>
  <si>
    <t>1</t>
  </si>
  <si>
    <t>2</t>
  </si>
  <si>
    <t>5</t>
  </si>
  <si>
    <t>10</t>
  </si>
  <si>
    <t>M10-1</t>
  </si>
  <si>
    <t>M10-2</t>
  </si>
  <si>
    <t>M10-3</t>
  </si>
  <si>
    <t>M10-5</t>
  </si>
  <si>
    <t>M10-6</t>
  </si>
  <si>
    <t>M10-7</t>
  </si>
  <si>
    <t>M10-8</t>
  </si>
  <si>
    <t>Transfer</t>
    <phoneticPr fontId="1" type="noConversion"/>
  </si>
  <si>
    <t>M10-0</t>
    <phoneticPr fontId="1" type="noConversion"/>
  </si>
  <si>
    <t xml:space="preserve">Strain </t>
    <phoneticPr fontId="1" type="noConversion"/>
  </si>
  <si>
    <t>M10-1</t>
    <phoneticPr fontId="1" type="noConversion"/>
  </si>
  <si>
    <t>M10-8</t>
    <phoneticPr fontId="1" type="noConversion"/>
  </si>
  <si>
    <t>Time (h)</t>
    <phoneticPr fontId="1" type="noConversion"/>
  </si>
  <si>
    <t>HPLA17</t>
    <phoneticPr fontId="1" type="noConversion"/>
  </si>
  <si>
    <t>HPLA18</t>
    <phoneticPr fontId="1" type="noConversion"/>
  </si>
  <si>
    <t>HPLA23</t>
    <phoneticPr fontId="1" type="noConversion"/>
  </si>
  <si>
    <t>HPLA22u</t>
    <phoneticPr fontId="1" type="noConversion"/>
  </si>
  <si>
    <t>Δku80</t>
    <phoneticPr fontId="2" type="noConversion"/>
  </si>
  <si>
    <t>HpLd</t>
    <phoneticPr fontId="2" type="noConversion"/>
  </si>
  <si>
    <t>HpLh</t>
    <phoneticPr fontId="2" type="noConversion"/>
  </si>
  <si>
    <t>HpLp</t>
    <phoneticPr fontId="2" type="noConversion"/>
  </si>
  <si>
    <t>HpLl</t>
    <phoneticPr fontId="2" type="noConversion"/>
  </si>
  <si>
    <t>HpPa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</si>
</sst>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vertAlign val="subscript"/>
      <sz val="11"/>
      <color theme="1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vertAlign val="superscript"/>
      <sz val="11"/>
      <color theme="1"/>
      <name val="Calibri"/>
      <family val="3"/>
      <charset val="134"/>
      <scheme val="minor"/>
    </font>
    <font>
      <i/>
      <vertAlign val="subscript"/>
      <sz val="11"/>
      <color theme="1"/>
      <name val="Calibri"/>
      <family val="3"/>
      <charset val="134"/>
      <scheme val="minor"/>
    </font>
    <font>
      <i/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workbookViewId="0">
      <selection activeCell="H25" sqref="H25"/>
    </sheetView>
  </sheetViews>
  <sheetFormatPr baseColWidth="10" defaultColWidth="8.83203125" defaultRowHeight="15" x14ac:dyDescent="0.2"/>
  <sheetData>
    <row r="1" spans="1:13" ht="17" x14ac:dyDescent="0.25">
      <c r="B1" t="s">
        <v>51</v>
      </c>
      <c r="I1" t="s">
        <v>9</v>
      </c>
    </row>
    <row r="2" spans="1:13" x14ac:dyDescent="0.2">
      <c r="A2" t="s">
        <v>0</v>
      </c>
      <c r="B2" t="s">
        <v>15</v>
      </c>
      <c r="C2" t="s">
        <v>2</v>
      </c>
      <c r="D2" t="s">
        <v>4</v>
      </c>
      <c r="E2" t="s">
        <v>16</v>
      </c>
      <c r="F2" t="s">
        <v>17</v>
      </c>
      <c r="I2" t="s">
        <v>1</v>
      </c>
      <c r="J2" t="s">
        <v>3</v>
      </c>
      <c r="K2" t="s">
        <v>5</v>
      </c>
      <c r="L2" t="s">
        <v>6</v>
      </c>
      <c r="M2" t="s">
        <v>7</v>
      </c>
    </row>
    <row r="3" spans="1:13" x14ac:dyDescent="0.2">
      <c r="A3" t="s">
        <v>57</v>
      </c>
      <c r="B3">
        <v>0</v>
      </c>
      <c r="C3">
        <v>0</v>
      </c>
      <c r="D3">
        <v>0</v>
      </c>
      <c r="E3">
        <v>0</v>
      </c>
      <c r="F3">
        <v>0</v>
      </c>
      <c r="I3">
        <v>5.68</v>
      </c>
      <c r="J3">
        <v>6.12</v>
      </c>
      <c r="K3">
        <v>6.03</v>
      </c>
      <c r="L3">
        <v>5.9433333333333342</v>
      </c>
      <c r="M3">
        <v>0.23245071162148212</v>
      </c>
    </row>
    <row r="4" spans="1:13" x14ac:dyDescent="0.2">
      <c r="A4" t="s">
        <v>52</v>
      </c>
      <c r="B4">
        <v>0</v>
      </c>
      <c r="C4">
        <v>0</v>
      </c>
      <c r="D4">
        <v>0</v>
      </c>
      <c r="E4">
        <v>0</v>
      </c>
      <c r="F4">
        <v>0</v>
      </c>
      <c r="I4">
        <v>4.9800000000000004</v>
      </c>
      <c r="J4">
        <v>4.83</v>
      </c>
      <c r="K4">
        <v>5.63</v>
      </c>
      <c r="L4">
        <v>5.1466666666666674</v>
      </c>
      <c r="M4">
        <v>0.42524502740576892</v>
      </c>
    </row>
    <row r="5" spans="1:13" x14ac:dyDescent="0.2">
      <c r="A5" t="s">
        <v>53</v>
      </c>
      <c r="B5">
        <v>0</v>
      </c>
      <c r="C5">
        <v>0</v>
      </c>
      <c r="D5">
        <v>0</v>
      </c>
      <c r="E5">
        <v>0</v>
      </c>
      <c r="F5">
        <v>0</v>
      </c>
      <c r="I5">
        <v>5.56</v>
      </c>
      <c r="J5">
        <v>5.83</v>
      </c>
      <c r="K5">
        <v>5.42</v>
      </c>
      <c r="L5">
        <v>5.6033333333333344</v>
      </c>
      <c r="M5">
        <v>0.20840665376454126</v>
      </c>
    </row>
    <row r="6" spans="1:13" x14ac:dyDescent="0.2">
      <c r="A6" t="s">
        <v>54</v>
      </c>
      <c r="B6">
        <v>324.89064484266964</v>
      </c>
      <c r="C6">
        <v>395.09967949364028</v>
      </c>
      <c r="D6">
        <v>451.34955350843597</v>
      </c>
      <c r="E6">
        <f>AVERAGE(B6:D6)</f>
        <v>390.4466259482486</v>
      </c>
      <c r="F6">
        <f>STDEV(B6:D6)</f>
        <v>63.357730986095042</v>
      </c>
      <c r="I6">
        <v>5.56</v>
      </c>
      <c r="J6">
        <v>5.63</v>
      </c>
      <c r="K6">
        <v>5.91</v>
      </c>
      <c r="L6">
        <v>5.7</v>
      </c>
      <c r="M6">
        <v>0.18520259177452159</v>
      </c>
    </row>
    <row r="7" spans="1:13" x14ac:dyDescent="0.2">
      <c r="A7" t="s">
        <v>55</v>
      </c>
      <c r="B7">
        <v>701.66703622326588</v>
      </c>
      <c r="C7">
        <v>410.59082021407403</v>
      </c>
      <c r="D7">
        <v>930.99034449394264</v>
      </c>
      <c r="E7">
        <f t="shared" ref="E7:E8" si="0">AVERAGE(B7:D7)</f>
        <v>681.08273364376089</v>
      </c>
      <c r="F7">
        <f t="shared" ref="F7:F8" si="1">STDEV(B7:D7)</f>
        <v>260.80970333212656</v>
      </c>
      <c r="I7">
        <v>5.81</v>
      </c>
      <c r="J7">
        <v>5.41</v>
      </c>
      <c r="K7">
        <v>5.75</v>
      </c>
      <c r="L7">
        <v>5.6566666666666663</v>
      </c>
      <c r="M7">
        <v>0.21571586249817892</v>
      </c>
    </row>
    <row r="8" spans="1:13" x14ac:dyDescent="0.2">
      <c r="A8" t="s">
        <v>56</v>
      </c>
      <c r="B8">
        <v>838.06365780402746</v>
      </c>
      <c r="C8">
        <v>907.10354975911628</v>
      </c>
      <c r="D8">
        <v>1012.689229776855</v>
      </c>
      <c r="E8">
        <f t="shared" si="0"/>
        <v>919.28547911333283</v>
      </c>
      <c r="F8">
        <f t="shared" si="1"/>
        <v>87.947837658481603</v>
      </c>
      <c r="I8">
        <v>5.96</v>
      </c>
      <c r="J8">
        <v>5.13</v>
      </c>
      <c r="K8">
        <v>5.61</v>
      </c>
      <c r="L8">
        <v>5.5666666666666664</v>
      </c>
      <c r="M8">
        <v>0.41669333248005469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"/>
  <sheetViews>
    <sheetView workbookViewId="0">
      <selection activeCell="B16" sqref="B16:E20"/>
    </sheetView>
  </sheetViews>
  <sheetFormatPr baseColWidth="10" defaultColWidth="8.83203125" defaultRowHeight="15" x14ac:dyDescent="0.2"/>
  <sheetData>
    <row r="1" spans="1:12" ht="17" x14ac:dyDescent="0.25">
      <c r="B1" t="s">
        <v>8</v>
      </c>
      <c r="H1" t="s">
        <v>9</v>
      </c>
    </row>
    <row r="2" spans="1:12" x14ac:dyDescent="0.2">
      <c r="A2" t="s">
        <v>0</v>
      </c>
      <c r="B2" t="s">
        <v>1</v>
      </c>
      <c r="C2" t="s">
        <v>2</v>
      </c>
      <c r="D2" t="s">
        <v>4</v>
      </c>
      <c r="E2" t="s">
        <v>6</v>
      </c>
      <c r="F2" t="s">
        <v>7</v>
      </c>
      <c r="H2" t="s">
        <v>1</v>
      </c>
      <c r="I2" t="s">
        <v>2</v>
      </c>
      <c r="J2" t="s">
        <v>4</v>
      </c>
      <c r="K2" t="s">
        <v>6</v>
      </c>
      <c r="L2" t="s">
        <v>7</v>
      </c>
    </row>
    <row r="3" spans="1:12" x14ac:dyDescent="0.2">
      <c r="A3" t="s">
        <v>10</v>
      </c>
      <c r="B3">
        <v>282.28873380392577</v>
      </c>
      <c r="C3">
        <v>349.71510921925244</v>
      </c>
      <c r="E3">
        <f>AVERAGE(B3:C3)</f>
        <v>316.0019215115891</v>
      </c>
      <c r="F3">
        <f>STDEV(B3:C3)</f>
        <v>47.677647287007325</v>
      </c>
      <c r="H3">
        <v>4.4400000000000004</v>
      </c>
      <c r="I3">
        <v>5.28</v>
      </c>
      <c r="J3">
        <v>5.6</v>
      </c>
      <c r="K3">
        <f>AVERAGE(H3:J3)</f>
        <v>5.1066666666666665</v>
      </c>
      <c r="L3">
        <f>STDEV(H3:J3)</f>
        <v>0.59911045169762556</v>
      </c>
    </row>
    <row r="4" spans="1:12" x14ac:dyDescent="0.2">
      <c r="A4" t="s">
        <v>12</v>
      </c>
      <c r="B4">
        <v>727.21207349781821</v>
      </c>
      <c r="C4">
        <v>615.13724129648654</v>
      </c>
      <c r="D4">
        <v>565.00447018321074</v>
      </c>
      <c r="E4">
        <f>AVERAGE(B4:D4)</f>
        <v>635.78459499250516</v>
      </c>
      <c r="F4">
        <f>STDEV(B4:D4)</f>
        <v>83.051559613614018</v>
      </c>
      <c r="H4">
        <v>4.9400000000000004</v>
      </c>
      <c r="I4">
        <v>5.39</v>
      </c>
      <c r="J4">
        <v>5.32</v>
      </c>
      <c r="K4">
        <f t="shared" ref="K4:K6" si="0">AVERAGE(H4:J4)</f>
        <v>5.2166666666666668</v>
      </c>
      <c r="L4">
        <f t="shared" ref="L4:L6" si="1">STDEV(H4:J4)</f>
        <v>0.24214320831551975</v>
      </c>
    </row>
    <row r="5" spans="1:12" x14ac:dyDescent="0.2">
      <c r="A5" t="s">
        <v>13</v>
      </c>
      <c r="B5">
        <v>747.2278192177846</v>
      </c>
      <c r="C5">
        <v>634.37904484861417</v>
      </c>
      <c r="D5">
        <v>584.64658864973774</v>
      </c>
      <c r="E5">
        <f t="shared" ref="E5:E6" si="2">AVERAGE(B5:D5)</f>
        <v>655.41781757204546</v>
      </c>
      <c r="F5">
        <f t="shared" ref="F5:F6" si="3">STDEV(B5:D5)</f>
        <v>83.307482266217747</v>
      </c>
      <c r="H5">
        <v>5.42</v>
      </c>
      <c r="I5">
        <v>5.85</v>
      </c>
      <c r="J5">
        <v>6.09</v>
      </c>
      <c r="K5">
        <f t="shared" si="0"/>
        <v>5.7866666666666662</v>
      </c>
      <c r="L5">
        <f t="shared" si="1"/>
        <v>0.3394603560555095</v>
      </c>
    </row>
    <row r="6" spans="1:12" x14ac:dyDescent="0.2">
      <c r="A6" t="s">
        <v>11</v>
      </c>
      <c r="B6">
        <v>691.33051333715855</v>
      </c>
      <c r="C6">
        <v>650.20482779786767</v>
      </c>
      <c r="D6">
        <v>597.93704380779548</v>
      </c>
      <c r="E6">
        <f t="shared" si="2"/>
        <v>646.49079498094045</v>
      </c>
      <c r="F6">
        <f t="shared" si="3"/>
        <v>46.807377276524754</v>
      </c>
      <c r="H6">
        <v>4.5599999999999996</v>
      </c>
      <c r="I6">
        <v>5.9</v>
      </c>
      <c r="J6">
        <v>5.0999999999999996</v>
      </c>
      <c r="K6">
        <f t="shared" si="0"/>
        <v>5.1866666666666665</v>
      </c>
      <c r="L6">
        <f t="shared" si="1"/>
        <v>0.67419087307180536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"/>
  <sheetViews>
    <sheetView workbookViewId="0">
      <selection activeCell="N17" sqref="N17"/>
    </sheetView>
  </sheetViews>
  <sheetFormatPr baseColWidth="10" defaultColWidth="8.83203125" defaultRowHeight="15" x14ac:dyDescent="0.2"/>
  <sheetData>
    <row r="1" spans="1:12" ht="17" x14ac:dyDescent="0.25">
      <c r="B1" t="s">
        <v>18</v>
      </c>
      <c r="H1" t="s">
        <v>9</v>
      </c>
    </row>
    <row r="2" spans="1:12" x14ac:dyDescent="0.2">
      <c r="A2" t="s">
        <v>14</v>
      </c>
      <c r="B2" t="s">
        <v>15</v>
      </c>
      <c r="C2" t="s">
        <v>2</v>
      </c>
      <c r="D2" t="s">
        <v>4</v>
      </c>
      <c r="E2" t="s">
        <v>16</v>
      </c>
      <c r="F2" t="s">
        <v>17</v>
      </c>
      <c r="H2" t="s">
        <v>15</v>
      </c>
      <c r="I2" t="s">
        <v>2</v>
      </c>
      <c r="J2" t="s">
        <v>4</v>
      </c>
      <c r="K2" t="s">
        <v>16</v>
      </c>
      <c r="L2" t="s">
        <v>17</v>
      </c>
    </row>
    <row r="3" spans="1:12" x14ac:dyDescent="0.2">
      <c r="A3" t="s">
        <v>20</v>
      </c>
      <c r="B3">
        <v>1029.3209999999999</v>
      </c>
      <c r="C3">
        <v>972.38530000000003</v>
      </c>
      <c r="D3">
        <v>916.99530000000004</v>
      </c>
      <c r="E3">
        <v>972.90053333333333</v>
      </c>
      <c r="F3">
        <v>56.164622487499422</v>
      </c>
      <c r="H3">
        <v>5.49</v>
      </c>
      <c r="I3">
        <v>3.38</v>
      </c>
      <c r="J3">
        <v>3.46</v>
      </c>
      <c r="K3">
        <v>4.1100000000000003</v>
      </c>
      <c r="L3">
        <v>1.19578426147863</v>
      </c>
    </row>
    <row r="4" spans="1:12" x14ac:dyDescent="0.2">
      <c r="A4" t="s">
        <v>22</v>
      </c>
      <c r="B4">
        <v>1165.3419696164353</v>
      </c>
      <c r="C4">
        <v>1276.3569388991211</v>
      </c>
      <c r="D4">
        <v>1202.017330251301</v>
      </c>
      <c r="E4">
        <v>1214.5720795889526</v>
      </c>
      <c r="F4">
        <v>56.562329773510598</v>
      </c>
      <c r="H4">
        <v>4.58</v>
      </c>
      <c r="I4">
        <v>3.51</v>
      </c>
      <c r="J4">
        <v>3.51</v>
      </c>
      <c r="K4">
        <v>3.8666666666666667</v>
      </c>
      <c r="L4">
        <v>0.61776478803289947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"/>
  <sheetViews>
    <sheetView workbookViewId="0">
      <selection sqref="A1:L2"/>
    </sheetView>
  </sheetViews>
  <sheetFormatPr baseColWidth="10" defaultColWidth="8.83203125" defaultRowHeight="15" x14ac:dyDescent="0.2"/>
  <sheetData>
    <row r="1" spans="1:12" x14ac:dyDescent="0.2">
      <c r="B1" t="s">
        <v>18</v>
      </c>
      <c r="H1" t="s">
        <v>19</v>
      </c>
    </row>
    <row r="2" spans="1:12" x14ac:dyDescent="0.2">
      <c r="A2" t="s">
        <v>14</v>
      </c>
      <c r="B2" t="s">
        <v>15</v>
      </c>
      <c r="C2" t="s">
        <v>2</v>
      </c>
      <c r="D2" t="s">
        <v>4</v>
      </c>
      <c r="E2" t="s">
        <v>16</v>
      </c>
      <c r="F2" t="s">
        <v>17</v>
      </c>
      <c r="H2" t="s">
        <v>15</v>
      </c>
      <c r="I2" t="s">
        <v>2</v>
      </c>
      <c r="J2" t="s">
        <v>4</v>
      </c>
      <c r="K2" t="s">
        <v>16</v>
      </c>
      <c r="L2" t="s">
        <v>17</v>
      </c>
    </row>
    <row r="3" spans="1:12" x14ac:dyDescent="0.2">
      <c r="A3" s="1" t="s">
        <v>23</v>
      </c>
      <c r="B3">
        <v>1.2765670774669651</v>
      </c>
      <c r="C3">
        <v>1.4873978664754817</v>
      </c>
      <c r="D3">
        <v>1.3750973436012806</v>
      </c>
      <c r="E3">
        <f>AVERAGE(B3:D3)</f>
        <v>1.3796874291812422</v>
      </c>
      <c r="F3">
        <f>STDEV(B3:D3)</f>
        <v>0.10549031738843116</v>
      </c>
      <c r="H3">
        <v>2.77</v>
      </c>
      <c r="I3">
        <v>2.57</v>
      </c>
      <c r="J3">
        <v>3.05</v>
      </c>
      <c r="K3">
        <f>AVERAGE(H3:J3)</f>
        <v>2.7966666666666669</v>
      </c>
      <c r="L3">
        <f>STDEV(H3:J3)</f>
        <v>0.24110855093366831</v>
      </c>
    </row>
    <row r="4" spans="1:12" x14ac:dyDescent="0.2">
      <c r="A4" s="1" t="s">
        <v>24</v>
      </c>
      <c r="B4">
        <v>0.70155378929282186</v>
      </c>
      <c r="C4">
        <v>0.86596867699229907</v>
      </c>
      <c r="D4">
        <v>0.72227097986378075</v>
      </c>
      <c r="E4">
        <f t="shared" ref="E4:E6" si="0">AVERAGE(B4:D4)</f>
        <v>0.76326448204963393</v>
      </c>
      <c r="F4">
        <f t="shared" ref="F4:F6" si="1">STDEV(B4:D4)</f>
        <v>8.9545598665730558E-2</v>
      </c>
      <c r="H4">
        <v>3.29</v>
      </c>
      <c r="I4">
        <v>2.95</v>
      </c>
      <c r="J4">
        <v>3.09</v>
      </c>
      <c r="K4">
        <f t="shared" ref="K4:K6" si="2">AVERAGE(H4:J4)</f>
        <v>3.11</v>
      </c>
      <c r="L4">
        <f t="shared" ref="L4:L6" si="3">STDEV(H4:J4)</f>
        <v>0.17088007490635057</v>
      </c>
    </row>
    <row r="5" spans="1:12" x14ac:dyDescent="0.2">
      <c r="A5" s="1" t="s">
        <v>25</v>
      </c>
      <c r="B5">
        <v>1.762753556904288</v>
      </c>
      <c r="C5">
        <v>1.6955462984709329</v>
      </c>
      <c r="D5">
        <v>1.6531724743198308</v>
      </c>
      <c r="E5">
        <f t="shared" si="0"/>
        <v>1.7038241098983506</v>
      </c>
      <c r="F5">
        <f t="shared" si="1"/>
        <v>5.5257533754378897E-2</v>
      </c>
      <c r="H5">
        <v>2.72</v>
      </c>
      <c r="I5">
        <v>2.96</v>
      </c>
      <c r="J5">
        <v>2.69</v>
      </c>
      <c r="K5">
        <f t="shared" si="2"/>
        <v>2.7899999999999996</v>
      </c>
      <c r="L5">
        <f t="shared" si="3"/>
        <v>0.14798648586948737</v>
      </c>
    </row>
    <row r="6" spans="1:12" x14ac:dyDescent="0.2">
      <c r="A6" s="1" t="s">
        <v>26</v>
      </c>
      <c r="B6">
        <v>0.89066613926006499</v>
      </c>
      <c r="C6">
        <v>1.2459857352995711</v>
      </c>
      <c r="D6">
        <v>0.92108678722851955</v>
      </c>
      <c r="E6">
        <f t="shared" si="0"/>
        <v>1.0192462205960517</v>
      </c>
      <c r="F6">
        <f t="shared" si="1"/>
        <v>0.19695039883609217</v>
      </c>
      <c r="H6">
        <v>3.37</v>
      </c>
      <c r="I6">
        <v>3.18</v>
      </c>
      <c r="J6">
        <v>3.62</v>
      </c>
      <c r="K6">
        <f t="shared" si="2"/>
        <v>3.3900000000000006</v>
      </c>
      <c r="L6">
        <f t="shared" si="3"/>
        <v>0.22068076490713909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"/>
  <sheetViews>
    <sheetView workbookViewId="0">
      <selection activeCell="R11" sqref="R11"/>
    </sheetView>
  </sheetViews>
  <sheetFormatPr baseColWidth="10" defaultColWidth="8.83203125" defaultRowHeight="15" x14ac:dyDescent="0.2"/>
  <sheetData>
    <row r="1" spans="1:7" x14ac:dyDescent="0.2">
      <c r="A1" t="s">
        <v>32</v>
      </c>
      <c r="B1" t="s">
        <v>0</v>
      </c>
      <c r="C1" t="s">
        <v>1</v>
      </c>
      <c r="D1" t="s">
        <v>3</v>
      </c>
      <c r="E1" t="s">
        <v>5</v>
      </c>
      <c r="F1" t="s">
        <v>6</v>
      </c>
      <c r="G1" t="s">
        <v>7</v>
      </c>
    </row>
    <row r="2" spans="1:7" x14ac:dyDescent="0.2">
      <c r="A2" t="s">
        <v>27</v>
      </c>
      <c r="B2" t="s">
        <v>28</v>
      </c>
      <c r="C2">
        <v>1.45</v>
      </c>
      <c r="D2">
        <v>1.94</v>
      </c>
      <c r="E2">
        <v>1.86</v>
      </c>
      <c r="F2">
        <f>AVERAGE(C2:E2)</f>
        <v>1.75</v>
      </c>
      <c r="G2">
        <f>STDEV(C2:E2)</f>
        <v>0.26286878856189777</v>
      </c>
    </row>
    <row r="3" spans="1:7" x14ac:dyDescent="0.2">
      <c r="B3" t="s">
        <v>21</v>
      </c>
      <c r="C3">
        <v>11.2</v>
      </c>
      <c r="D3">
        <v>13.1</v>
      </c>
      <c r="E3">
        <v>9.9700000000000006</v>
      </c>
      <c r="F3">
        <f t="shared" ref="F3:F7" si="0">AVERAGE(C3:E3)</f>
        <v>11.423333333333332</v>
      </c>
      <c r="G3">
        <f t="shared" ref="G3:G7" si="1">STDEV(C3:E3)</f>
        <v>1.5769062538189593</v>
      </c>
    </row>
    <row r="4" spans="1:7" x14ac:dyDescent="0.2">
      <c r="B4" t="s">
        <v>29</v>
      </c>
      <c r="C4">
        <v>7.09</v>
      </c>
      <c r="D4">
        <v>6.19</v>
      </c>
      <c r="E4">
        <v>6.33</v>
      </c>
      <c r="F4">
        <f t="shared" si="0"/>
        <v>6.5366666666666662</v>
      </c>
      <c r="G4">
        <f t="shared" si="1"/>
        <v>0.48428641663103983</v>
      </c>
    </row>
    <row r="5" spans="1:7" x14ac:dyDescent="0.2">
      <c r="A5" t="s">
        <v>30</v>
      </c>
      <c r="B5" t="s">
        <v>28</v>
      </c>
      <c r="C5">
        <v>2.1</v>
      </c>
      <c r="D5">
        <v>1.55</v>
      </c>
      <c r="E5">
        <v>1.68</v>
      </c>
      <c r="F5">
        <f t="shared" si="0"/>
        <v>1.7766666666666666</v>
      </c>
      <c r="G5">
        <f t="shared" si="1"/>
        <v>0.28746014216467258</v>
      </c>
    </row>
    <row r="6" spans="1:7" x14ac:dyDescent="0.2">
      <c r="B6" t="s">
        <v>31</v>
      </c>
      <c r="C6">
        <v>8.39</v>
      </c>
      <c r="D6">
        <v>8.83</v>
      </c>
      <c r="E6">
        <v>9.33</v>
      </c>
      <c r="F6">
        <f t="shared" si="0"/>
        <v>8.85</v>
      </c>
      <c r="G6">
        <f t="shared" si="1"/>
        <v>0.47031904065219365</v>
      </c>
    </row>
    <row r="7" spans="1:7" x14ac:dyDescent="0.2">
      <c r="B7" t="s">
        <v>29</v>
      </c>
      <c r="C7">
        <v>4.6900000000000004</v>
      </c>
      <c r="D7">
        <v>4.75</v>
      </c>
      <c r="E7">
        <v>4.7699999999999996</v>
      </c>
      <c r="F7">
        <f t="shared" si="0"/>
        <v>4.7366666666666672</v>
      </c>
      <c r="G7">
        <f t="shared" si="1"/>
        <v>4.1633319989322265E-2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15.1640625" customWidth="1"/>
    <col min="5" max="5" width="13.6640625" customWidth="1"/>
    <col min="8" max="8" width="13.6640625" customWidth="1"/>
  </cols>
  <sheetData>
    <row r="1" spans="1:8" x14ac:dyDescent="0.2">
      <c r="A1" t="s">
        <v>35</v>
      </c>
    </row>
    <row r="2" spans="1:8" x14ac:dyDescent="0.2">
      <c r="B2" t="s">
        <v>1</v>
      </c>
      <c r="C2" t="s">
        <v>2</v>
      </c>
      <c r="D2" t="s">
        <v>4</v>
      </c>
      <c r="E2" t="s">
        <v>6</v>
      </c>
      <c r="F2" t="s">
        <v>7</v>
      </c>
    </row>
    <row r="3" spans="1:8" ht="17" x14ac:dyDescent="0.2">
      <c r="A3" t="s">
        <v>33</v>
      </c>
      <c r="B3">
        <v>0.39900000000000002</v>
      </c>
      <c r="C3">
        <v>0.35199999999999998</v>
      </c>
      <c r="D3">
        <v>0.318</v>
      </c>
      <c r="E3">
        <f>AVERAGE(B3:D3)</f>
        <v>0.35633333333333334</v>
      </c>
      <c r="F3">
        <f>STDEV(B3:D3)</f>
        <v>4.06734966942029E-2</v>
      </c>
      <c r="H3" t="s">
        <v>36</v>
      </c>
    </row>
    <row r="4" spans="1:8" ht="17" x14ac:dyDescent="0.2">
      <c r="B4">
        <v>0.5</v>
      </c>
      <c r="C4">
        <v>0.432</v>
      </c>
      <c r="D4">
        <v>0.30599999999999999</v>
      </c>
      <c r="E4">
        <f>AVERAGE(B4:D4)</f>
        <v>0.41266666666666668</v>
      </c>
      <c r="F4">
        <f>STDEV(B4:D4)</f>
        <v>9.8434411327204707E-2</v>
      </c>
      <c r="H4" t="s">
        <v>37</v>
      </c>
    </row>
    <row r="5" spans="1:8" ht="17" x14ac:dyDescent="0.2">
      <c r="A5" t="s">
        <v>34</v>
      </c>
      <c r="B5">
        <v>1.2176733433397167</v>
      </c>
      <c r="C5">
        <v>1.1649966346049458</v>
      </c>
      <c r="D5">
        <v>1.5283651068746387</v>
      </c>
      <c r="E5">
        <f t="shared" ref="E5:E6" si="0">AVERAGE(B5:D5)</f>
        <v>1.3036783616064336</v>
      </c>
      <c r="F5">
        <f t="shared" ref="F5:F6" si="1">STDEV(B5:D5)</f>
        <v>0.19635887816749317</v>
      </c>
      <c r="H5" t="s">
        <v>36</v>
      </c>
    </row>
    <row r="6" spans="1:8" ht="17" x14ac:dyDescent="0.2">
      <c r="B6">
        <v>3.3513144237942329</v>
      </c>
      <c r="C6">
        <v>3.4817067041913767</v>
      </c>
      <c r="D6">
        <v>2.2472591450726207</v>
      </c>
      <c r="E6">
        <f t="shared" si="0"/>
        <v>3.0267600910194101</v>
      </c>
      <c r="F6">
        <f t="shared" si="1"/>
        <v>0.67820854480443227</v>
      </c>
      <c r="H6" t="s">
        <v>37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"/>
  <sheetViews>
    <sheetView topLeftCell="A2" workbookViewId="0">
      <selection activeCell="L12" sqref="L12"/>
    </sheetView>
  </sheetViews>
  <sheetFormatPr baseColWidth="10" defaultColWidth="8.83203125" defaultRowHeight="15" x14ac:dyDescent="0.2"/>
  <sheetData>
    <row r="1" spans="1:12" ht="17" x14ac:dyDescent="0.25">
      <c r="B1" t="s">
        <v>18</v>
      </c>
      <c r="H1" t="s">
        <v>9</v>
      </c>
    </row>
    <row r="2" spans="1:12" x14ac:dyDescent="0.2">
      <c r="A2" t="s">
        <v>14</v>
      </c>
      <c r="B2" t="s">
        <v>15</v>
      </c>
      <c r="C2" t="s">
        <v>2</v>
      </c>
      <c r="D2" t="s">
        <v>4</v>
      </c>
      <c r="E2" t="s">
        <v>16</v>
      </c>
      <c r="F2" t="s">
        <v>17</v>
      </c>
      <c r="H2" t="s">
        <v>15</v>
      </c>
      <c r="I2" t="s">
        <v>2</v>
      </c>
      <c r="J2" t="s">
        <v>4</v>
      </c>
      <c r="K2" t="s">
        <v>16</v>
      </c>
      <c r="L2" t="s">
        <v>17</v>
      </c>
    </row>
    <row r="3" spans="1:12" x14ac:dyDescent="0.2">
      <c r="A3" s="1" t="s">
        <v>23</v>
      </c>
      <c r="B3">
        <v>1.1653419696164402</v>
      </c>
      <c r="C3">
        <v>1.2763569388991212</v>
      </c>
      <c r="D3">
        <v>1.2020173302513011</v>
      </c>
      <c r="E3">
        <f>AVERAGE(B3:D3)</f>
        <v>1.2145720795889541</v>
      </c>
      <c r="F3">
        <f>STDEV(B3:D3)</f>
        <v>5.6562329773508481E-2</v>
      </c>
      <c r="H3">
        <v>4.58</v>
      </c>
      <c r="I3">
        <v>3.51</v>
      </c>
      <c r="J3">
        <v>3.51</v>
      </c>
      <c r="K3">
        <f>AVERAGE(H3:J3)</f>
        <v>3.8666666666666667</v>
      </c>
      <c r="L3">
        <f>STDEV(H3:J3)</f>
        <v>0.61776478803289947</v>
      </c>
    </row>
    <row r="4" spans="1:12" x14ac:dyDescent="0.2">
      <c r="A4" s="1" t="s">
        <v>38</v>
      </c>
      <c r="B4">
        <v>0.32596200200249692</v>
      </c>
      <c r="C4">
        <v>0.18519388373156653</v>
      </c>
      <c r="D4">
        <v>0.36318125069531143</v>
      </c>
      <c r="E4">
        <f t="shared" ref="E4:E6" si="0">AVERAGE(B4:D4)</f>
        <v>0.29144571214312492</v>
      </c>
      <c r="F4">
        <f t="shared" ref="F4:F6" si="1">STDEV(B4:D4)</f>
        <v>9.3879744348362187E-2</v>
      </c>
      <c r="H4">
        <v>5.35</v>
      </c>
      <c r="I4">
        <v>4.26</v>
      </c>
      <c r="J4">
        <v>5.76</v>
      </c>
      <c r="K4">
        <f t="shared" ref="K4:K6" si="2">AVERAGE(H4:J4)</f>
        <v>5.1233333333333331</v>
      </c>
      <c r="L4">
        <f t="shared" ref="L4:L6" si="3">STDEV(H4:J4)</f>
        <v>0.77526339610053863</v>
      </c>
    </row>
    <row r="5" spans="1:12" x14ac:dyDescent="0.2">
      <c r="A5" s="1" t="s">
        <v>39</v>
      </c>
      <c r="B5">
        <v>1.1856017997750301</v>
      </c>
      <c r="C5">
        <v>1.1805955574234499</v>
      </c>
      <c r="D5">
        <v>1.1795077813075601</v>
      </c>
      <c r="E5">
        <f t="shared" si="0"/>
        <v>1.1819017128353468</v>
      </c>
      <c r="F5">
        <f t="shared" si="1"/>
        <v>3.2501994924138012E-3</v>
      </c>
      <c r="H5">
        <v>3.4</v>
      </c>
      <c r="I5">
        <v>5.37</v>
      </c>
      <c r="J5">
        <v>5.49</v>
      </c>
      <c r="K5">
        <f t="shared" si="2"/>
        <v>4.753333333333333</v>
      </c>
      <c r="L5">
        <f t="shared" si="3"/>
        <v>1.1735558501125272</v>
      </c>
    </row>
    <row r="6" spans="1:12" x14ac:dyDescent="0.2">
      <c r="A6" s="1" t="s">
        <v>40</v>
      </c>
      <c r="B6">
        <v>1.7978466977342118</v>
      </c>
      <c r="C6">
        <v>1.0525717252376421</v>
      </c>
      <c r="D6">
        <v>1.8002818329027552</v>
      </c>
      <c r="E6">
        <f t="shared" si="0"/>
        <v>1.5502334186248696</v>
      </c>
      <c r="F6">
        <f t="shared" si="1"/>
        <v>0.43098938881323295</v>
      </c>
      <c r="H6">
        <v>4.1100000000000003</v>
      </c>
      <c r="I6">
        <v>5.53</v>
      </c>
      <c r="J6">
        <v>4.88</v>
      </c>
      <c r="K6">
        <f t="shared" si="2"/>
        <v>4.84</v>
      </c>
      <c r="L6">
        <f t="shared" si="3"/>
        <v>0.7108445681019202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"/>
  <sheetViews>
    <sheetView workbookViewId="0">
      <selection activeCell="I22" sqref="I22"/>
    </sheetView>
  </sheetViews>
  <sheetFormatPr baseColWidth="10" defaultColWidth="8.83203125" defaultRowHeight="15" x14ac:dyDescent="0.2"/>
  <cols>
    <col min="2" max="2" width="11.83203125" customWidth="1"/>
    <col min="8" max="8" width="14.1640625" customWidth="1"/>
  </cols>
  <sheetData>
    <row r="1" spans="1:12" ht="17" x14ac:dyDescent="0.2">
      <c r="B1" t="s">
        <v>36</v>
      </c>
      <c r="H1" t="s">
        <v>37</v>
      </c>
    </row>
    <row r="2" spans="1:12" x14ac:dyDescent="0.2">
      <c r="A2" t="s">
        <v>0</v>
      </c>
      <c r="B2" t="s">
        <v>1</v>
      </c>
      <c r="C2" t="s">
        <v>3</v>
      </c>
      <c r="D2" t="s">
        <v>5</v>
      </c>
      <c r="E2" t="s">
        <v>6</v>
      </c>
      <c r="F2" t="s">
        <v>7</v>
      </c>
      <c r="H2" t="s">
        <v>1</v>
      </c>
      <c r="I2" t="s">
        <v>3</v>
      </c>
      <c r="J2" t="s">
        <v>5</v>
      </c>
      <c r="K2" t="s">
        <v>6</v>
      </c>
      <c r="L2" t="s">
        <v>7</v>
      </c>
    </row>
    <row r="3" spans="1:12" x14ac:dyDescent="0.2">
      <c r="A3" t="s">
        <v>41</v>
      </c>
      <c r="B3">
        <v>1.2176733433397167</v>
      </c>
      <c r="C3">
        <v>1.1649966346049458</v>
      </c>
      <c r="D3">
        <v>1.5283651068746387</v>
      </c>
      <c r="E3">
        <f>AVERAGE(B3:D3)</f>
        <v>1.3036783616064336</v>
      </c>
      <c r="F3">
        <f>STDEV(B3:D3)</f>
        <v>0.19635887816749317</v>
      </c>
      <c r="H3">
        <v>3.3513144237942329</v>
      </c>
      <c r="I3">
        <v>3.4817067041913767</v>
      </c>
      <c r="J3">
        <v>2.2472591450726207</v>
      </c>
      <c r="K3">
        <f>AVERAGE(H3:J3)</f>
        <v>3.0267600910194101</v>
      </c>
      <c r="L3">
        <f>STDEV(H3:J3)</f>
        <v>0.67820854480443227</v>
      </c>
    </row>
    <row r="4" spans="1:12" x14ac:dyDescent="0.2">
      <c r="A4" t="s">
        <v>22</v>
      </c>
      <c r="B4">
        <v>1.0599686925570126</v>
      </c>
      <c r="C4">
        <v>0.61509344688904655</v>
      </c>
      <c r="D4">
        <v>0.96284890853176941</v>
      </c>
      <c r="E4">
        <f t="shared" ref="E4:E5" si="0">AVERAGE(B4:D4)</f>
        <v>0.87930368265927628</v>
      </c>
      <c r="F4">
        <f t="shared" ref="F4:F5" si="1">STDEV(B4:D4)</f>
        <v>0.23390884897027189</v>
      </c>
      <c r="H4">
        <v>2.722538248470991</v>
      </c>
      <c r="I4">
        <v>1.8842863825711162</v>
      </c>
      <c r="J4">
        <v>2.7307653392604778</v>
      </c>
      <c r="K4">
        <f t="shared" ref="K4:K5" si="2">AVERAGE(H4:J4)</f>
        <v>2.4458633234341947</v>
      </c>
      <c r="L4">
        <f t="shared" ref="L4:L5" si="3">STDEV(H4:J4)</f>
        <v>0.48635729318842147</v>
      </c>
    </row>
    <row r="5" spans="1:12" x14ac:dyDescent="0.2">
      <c r="A5" t="s">
        <v>42</v>
      </c>
      <c r="B5">
        <v>1.0485431849039872</v>
      </c>
      <c r="C5">
        <v>1.2811474885552683</v>
      </c>
      <c r="D5">
        <v>0.74894500195705005</v>
      </c>
      <c r="E5">
        <f t="shared" si="0"/>
        <v>1.0262118918054353</v>
      </c>
      <c r="F5">
        <f t="shared" si="1"/>
        <v>0.2668030859527708</v>
      </c>
      <c r="H5">
        <v>2.5462158514790096</v>
      </c>
      <c r="I5">
        <v>1.331105341490658</v>
      </c>
      <c r="J5">
        <v>1.008595938604173</v>
      </c>
      <c r="K5">
        <f t="shared" si="2"/>
        <v>1.628639043857947</v>
      </c>
      <c r="L5">
        <f t="shared" si="3"/>
        <v>0.81084121574485468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6"/>
  <sheetViews>
    <sheetView workbookViewId="0">
      <selection activeCell="J33" sqref="J33"/>
    </sheetView>
  </sheetViews>
  <sheetFormatPr baseColWidth="10" defaultColWidth="8.83203125" defaultRowHeight="15" x14ac:dyDescent="0.2"/>
  <sheetData>
    <row r="1" spans="1:12" ht="17" x14ac:dyDescent="0.25">
      <c r="B1" t="s">
        <v>18</v>
      </c>
      <c r="H1" t="s">
        <v>9</v>
      </c>
    </row>
    <row r="2" spans="1:12" x14ac:dyDescent="0.2">
      <c r="A2" t="s">
        <v>14</v>
      </c>
      <c r="B2" t="s">
        <v>15</v>
      </c>
      <c r="C2" t="s">
        <v>2</v>
      </c>
      <c r="D2" t="s">
        <v>4</v>
      </c>
      <c r="E2" t="s">
        <v>16</v>
      </c>
      <c r="F2" t="s">
        <v>17</v>
      </c>
      <c r="H2" t="s">
        <v>15</v>
      </c>
      <c r="I2" t="s">
        <v>2</v>
      </c>
      <c r="J2" t="s">
        <v>4</v>
      </c>
      <c r="K2" t="s">
        <v>16</v>
      </c>
      <c r="L2" t="s">
        <v>17</v>
      </c>
    </row>
    <row r="3" spans="1:12" x14ac:dyDescent="0.2">
      <c r="A3" t="s">
        <v>43</v>
      </c>
      <c r="B3">
        <v>1.6194391671099628</v>
      </c>
      <c r="C3">
        <v>1.1998176153203131</v>
      </c>
      <c r="D3">
        <v>1.3337639638270384</v>
      </c>
      <c r="E3">
        <f>AVERAGE(B3:D3)</f>
        <v>1.3843402487524381</v>
      </c>
      <c r="F3">
        <f>STDEV(B3:D3)</f>
        <v>0.21433392668737647</v>
      </c>
      <c r="H3">
        <v>20.399999999999999</v>
      </c>
      <c r="I3">
        <v>22</v>
      </c>
      <c r="J3">
        <v>21.36</v>
      </c>
      <c r="K3">
        <f>AVERAGE(H3:J3)</f>
        <v>21.253333333333334</v>
      </c>
      <c r="L3">
        <f>STDEV(H3:J3)</f>
        <v>0.8053156730955473</v>
      </c>
    </row>
    <row r="4" spans="1:12" x14ac:dyDescent="0.2">
      <c r="A4" t="s">
        <v>44</v>
      </c>
      <c r="B4">
        <v>0.99830534235124246</v>
      </c>
      <c r="C4">
        <v>1.1812903716087848</v>
      </c>
      <c r="D4">
        <v>1.0121285811991794</v>
      </c>
      <c r="E4">
        <f t="shared" ref="E4:E6" si="0">AVERAGE(B4:D4)</f>
        <v>1.063908098386402</v>
      </c>
      <c r="F4">
        <f t="shared" ref="F4:F6" si="1">STDEV(B4:D4)</f>
        <v>0.10189072103583492</v>
      </c>
      <c r="H4">
        <v>22</v>
      </c>
      <c r="I4">
        <v>22</v>
      </c>
      <c r="J4">
        <v>24.04</v>
      </c>
      <c r="K4">
        <f t="shared" ref="K4:K6" si="2">AVERAGE(H4:J4)</f>
        <v>22.679999999999996</v>
      </c>
      <c r="L4">
        <f t="shared" ref="L4:L6" si="3">STDEV(H4:J4)</f>
        <v>1.177794549146836</v>
      </c>
    </row>
    <row r="5" spans="1:12" x14ac:dyDescent="0.2">
      <c r="A5" t="s">
        <v>46</v>
      </c>
      <c r="B5">
        <v>2.1808876054411428</v>
      </c>
      <c r="C5">
        <v>2.0087240671783571</v>
      </c>
      <c r="D5">
        <v>2.4317653317121364</v>
      </c>
      <c r="E5">
        <f t="shared" si="0"/>
        <v>2.2071256681105456</v>
      </c>
      <c r="F5">
        <f t="shared" si="1"/>
        <v>0.21273764317597246</v>
      </c>
      <c r="H5">
        <v>19.399999999999999</v>
      </c>
      <c r="I5">
        <v>19</v>
      </c>
      <c r="J5">
        <v>21.04</v>
      </c>
      <c r="K5">
        <f t="shared" si="2"/>
        <v>19.813333333333333</v>
      </c>
      <c r="L5">
        <f t="shared" si="3"/>
        <v>1.0809872031311625</v>
      </c>
    </row>
    <row r="6" spans="1:12" x14ac:dyDescent="0.2">
      <c r="A6" t="s">
        <v>45</v>
      </c>
      <c r="B6">
        <v>2.0592750208982444</v>
      </c>
      <c r="C6">
        <v>1.8613116498214151</v>
      </c>
      <c r="D6">
        <v>1.7364465384907668</v>
      </c>
      <c r="E6">
        <f t="shared" si="0"/>
        <v>1.8856777364034754</v>
      </c>
      <c r="F6">
        <f t="shared" si="1"/>
        <v>0.16278770498680825</v>
      </c>
      <c r="H6">
        <v>18.96</v>
      </c>
      <c r="I6">
        <v>18.400000000000002</v>
      </c>
      <c r="J6">
        <v>19.72</v>
      </c>
      <c r="K6">
        <f t="shared" si="2"/>
        <v>19.026666666666667</v>
      </c>
      <c r="L6">
        <f t="shared" si="3"/>
        <v>0.66252043993625676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"/>
  <sheetViews>
    <sheetView workbookViewId="0">
      <selection sqref="A1:L2"/>
    </sheetView>
  </sheetViews>
  <sheetFormatPr baseColWidth="10" defaultColWidth="8.83203125" defaultRowHeight="15" x14ac:dyDescent="0.2"/>
  <sheetData>
    <row r="1" spans="1:12" ht="17" x14ac:dyDescent="0.25">
      <c r="B1" t="s">
        <v>18</v>
      </c>
      <c r="H1" t="s">
        <v>9</v>
      </c>
    </row>
    <row r="2" spans="1:12" x14ac:dyDescent="0.2">
      <c r="A2" t="s">
        <v>14</v>
      </c>
      <c r="B2" t="s">
        <v>15</v>
      </c>
      <c r="C2" t="s">
        <v>2</v>
      </c>
      <c r="D2" t="s">
        <v>4</v>
      </c>
      <c r="E2" t="s">
        <v>16</v>
      </c>
      <c r="F2" t="s">
        <v>17</v>
      </c>
      <c r="H2" t="s">
        <v>15</v>
      </c>
      <c r="I2" t="s">
        <v>2</v>
      </c>
      <c r="J2" t="s">
        <v>4</v>
      </c>
      <c r="K2" t="s">
        <v>16</v>
      </c>
      <c r="L2" t="s">
        <v>17</v>
      </c>
    </row>
    <row r="3" spans="1:12" x14ac:dyDescent="0.2">
      <c r="A3" t="s">
        <v>42</v>
      </c>
      <c r="B3">
        <v>1.2940580229669094</v>
      </c>
      <c r="C3">
        <v>1.3951346740998034</v>
      </c>
      <c r="D3">
        <v>1.4075822939714953</v>
      </c>
      <c r="E3">
        <f>AVERAGE(B3:D3)</f>
        <v>1.3655916636794025</v>
      </c>
      <c r="F3">
        <f>STDEV(B3:D3)</f>
        <v>6.2261803100340671E-2</v>
      </c>
      <c r="H3">
        <v>4.7300000000000004</v>
      </c>
      <c r="I3">
        <v>4.93</v>
      </c>
      <c r="J3">
        <v>5.15</v>
      </c>
      <c r="K3">
        <f>AVERAGE(H3:J3)</f>
        <v>4.9366666666666665</v>
      </c>
      <c r="L3">
        <f>STDEV(H3:J3)</f>
        <v>0.21007935008784973</v>
      </c>
    </row>
    <row r="4" spans="1:12" x14ac:dyDescent="0.2">
      <c r="A4" t="s">
        <v>47</v>
      </c>
      <c r="B4">
        <v>1.8422230188259434</v>
      </c>
      <c r="C4">
        <v>2.3397569809268348</v>
      </c>
      <c r="D4">
        <v>2.233847142733532</v>
      </c>
      <c r="E4">
        <f>AVERAGE(B4:D4)</f>
        <v>2.1386090474954371</v>
      </c>
      <c r="F4">
        <f>STDEV(B4:D4)</f>
        <v>0.26208344463049971</v>
      </c>
      <c r="H4">
        <v>4.3600000000000003</v>
      </c>
      <c r="I4">
        <v>3.82</v>
      </c>
      <c r="J4">
        <v>3.96</v>
      </c>
      <c r="K4">
        <f>AVERAGE(H4:J4)</f>
        <v>4.0466666666666669</v>
      </c>
      <c r="L4">
        <f>STDEV(H4:J4)</f>
        <v>0.28023799409311628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5"/>
  <sheetViews>
    <sheetView workbookViewId="0">
      <selection activeCell="C14" sqref="C14"/>
    </sheetView>
  </sheetViews>
  <sheetFormatPr baseColWidth="10" defaultColWidth="8.83203125" defaultRowHeight="15" x14ac:dyDescent="0.2"/>
  <sheetData>
    <row r="1" spans="1:12" ht="17" x14ac:dyDescent="0.25">
      <c r="B1" t="s">
        <v>18</v>
      </c>
      <c r="H1" t="s">
        <v>9</v>
      </c>
    </row>
    <row r="2" spans="1:12" x14ac:dyDescent="0.2">
      <c r="A2" t="s">
        <v>14</v>
      </c>
      <c r="B2" t="s">
        <v>15</v>
      </c>
      <c r="C2" t="s">
        <v>2</v>
      </c>
      <c r="D2" t="s">
        <v>4</v>
      </c>
      <c r="E2" t="s">
        <v>16</v>
      </c>
      <c r="F2" t="s">
        <v>17</v>
      </c>
      <c r="H2" t="s">
        <v>15</v>
      </c>
      <c r="I2" t="s">
        <v>2</v>
      </c>
      <c r="J2" t="s">
        <v>4</v>
      </c>
      <c r="K2" t="s">
        <v>16</v>
      </c>
      <c r="L2" t="s">
        <v>17</v>
      </c>
    </row>
    <row r="3" spans="1:12" x14ac:dyDescent="0.2">
      <c r="A3" t="s">
        <v>47</v>
      </c>
      <c r="B3">
        <v>2.1160571428571426</v>
      </c>
      <c r="C3">
        <v>1.9892799999999999</v>
      </c>
      <c r="D3">
        <v>1.9669942857142857</v>
      </c>
      <c r="E3">
        <f>AVERAGE(B3:D3)</f>
        <v>2.0241104761904762</v>
      </c>
      <c r="F3">
        <f>STDEV(B3:D3)</f>
        <v>8.0404013572951932E-2</v>
      </c>
      <c r="H3">
        <v>3.3</v>
      </c>
      <c r="I3">
        <v>2.7</v>
      </c>
      <c r="J3">
        <v>2.5</v>
      </c>
      <c r="K3">
        <f>AVERAGE(H3:J3)</f>
        <v>2.8333333333333335</v>
      </c>
      <c r="L3">
        <f>STDEV(H3:J3)</f>
        <v>0.41633319989322709</v>
      </c>
    </row>
    <row r="4" spans="1:12" x14ac:dyDescent="0.2">
      <c r="A4" t="s">
        <v>48</v>
      </c>
      <c r="B4">
        <v>2.1039314285714288</v>
      </c>
      <c r="C4">
        <v>2.2017714285714285</v>
      </c>
      <c r="D4">
        <v>2.2196685714285715</v>
      </c>
      <c r="E4">
        <f t="shared" ref="E4:E5" si="0">AVERAGE(B4:D4)</f>
        <v>2.1751238095238095</v>
      </c>
      <c r="F4">
        <f t="shared" ref="F4:F5" si="1">STDEV(B4:D4)</f>
        <v>6.2300427445274677E-2</v>
      </c>
      <c r="H4">
        <v>2.52</v>
      </c>
      <c r="I4">
        <v>2.9</v>
      </c>
      <c r="J4">
        <v>2.97</v>
      </c>
      <c r="K4">
        <f t="shared" ref="K4:K5" si="2">AVERAGE(H4:J4)</f>
        <v>2.7966666666666669</v>
      </c>
      <c r="L4">
        <f t="shared" ref="L4:L5" si="3">STDEV(H4:J4)</f>
        <v>0.24214320831552008</v>
      </c>
    </row>
    <row r="5" spans="1:12" x14ac:dyDescent="0.2">
      <c r="A5" t="s">
        <v>49</v>
      </c>
      <c r="B5">
        <v>2.4689371428571429</v>
      </c>
      <c r="C5">
        <v>2.5189942857142857</v>
      </c>
      <c r="D5">
        <v>2.4112457142857142</v>
      </c>
      <c r="E5">
        <f t="shared" si="0"/>
        <v>2.4663923809523811</v>
      </c>
      <c r="F5">
        <f t="shared" si="1"/>
        <v>5.3919342736057536E-2</v>
      </c>
      <c r="H5">
        <v>2.37</v>
      </c>
      <c r="I5">
        <v>2.35</v>
      </c>
      <c r="J5">
        <v>2.33</v>
      </c>
      <c r="K5">
        <f t="shared" si="2"/>
        <v>2.35</v>
      </c>
      <c r="L5">
        <f t="shared" si="3"/>
        <v>2.0000000000000018E-2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7"/>
  <sheetViews>
    <sheetView workbookViewId="0">
      <selection activeCell="L36" sqref="L36"/>
    </sheetView>
  </sheetViews>
  <sheetFormatPr baseColWidth="10" defaultColWidth="8.83203125" defaultRowHeight="15" x14ac:dyDescent="0.2"/>
  <sheetData>
    <row r="1" spans="1:18" ht="17" x14ac:dyDescent="0.25">
      <c r="B1" t="s">
        <v>51</v>
      </c>
      <c r="H1" t="s">
        <v>9</v>
      </c>
      <c r="N1" t="s">
        <v>50</v>
      </c>
    </row>
    <row r="2" spans="1:18" x14ac:dyDescent="0.2">
      <c r="A2" t="s">
        <v>102</v>
      </c>
      <c r="B2" t="s">
        <v>1</v>
      </c>
      <c r="C2" t="s">
        <v>3</v>
      </c>
      <c r="D2" t="s">
        <v>5</v>
      </c>
      <c r="E2" t="s">
        <v>6</v>
      </c>
      <c r="F2" t="s">
        <v>7</v>
      </c>
      <c r="H2" t="s">
        <v>1</v>
      </c>
      <c r="I2" t="s">
        <v>3</v>
      </c>
      <c r="J2" t="s">
        <v>5</v>
      </c>
      <c r="K2" t="s">
        <v>6</v>
      </c>
      <c r="L2" t="s">
        <v>7</v>
      </c>
      <c r="N2" t="s">
        <v>1</v>
      </c>
      <c r="O2" t="s">
        <v>3</v>
      </c>
      <c r="P2" t="s">
        <v>5</v>
      </c>
      <c r="Q2" t="s">
        <v>6</v>
      </c>
      <c r="R2" t="s">
        <v>7</v>
      </c>
    </row>
    <row r="3" spans="1:18" x14ac:dyDescent="0.2">
      <c r="A3">
        <v>0</v>
      </c>
      <c r="B3">
        <v>0</v>
      </c>
      <c r="C3">
        <v>0</v>
      </c>
      <c r="D3">
        <v>0</v>
      </c>
      <c r="E3">
        <v>0</v>
      </c>
      <c r="H3">
        <v>1.756</v>
      </c>
      <c r="I3">
        <v>1.6160000000000001</v>
      </c>
      <c r="J3">
        <v>1.548</v>
      </c>
      <c r="K3">
        <v>1.64</v>
      </c>
      <c r="L3">
        <v>0.10605658866850279</v>
      </c>
      <c r="N3">
        <v>0</v>
      </c>
      <c r="O3">
        <v>0</v>
      </c>
      <c r="P3">
        <v>0</v>
      </c>
      <c r="Q3">
        <v>0</v>
      </c>
    </row>
    <row r="4" spans="1:18" x14ac:dyDescent="0.2">
      <c r="A4">
        <v>12</v>
      </c>
      <c r="B4">
        <v>0.35657364075548365</v>
      </c>
      <c r="C4">
        <v>0.19596417476760256</v>
      </c>
      <c r="D4">
        <v>0.15607547749258807</v>
      </c>
      <c r="E4">
        <v>0.23620443100522479</v>
      </c>
      <c r="F4">
        <v>0.1061335810877066</v>
      </c>
      <c r="H4">
        <v>2.4</v>
      </c>
      <c r="I4">
        <v>2.1360000000000001</v>
      </c>
      <c r="J4">
        <v>1.9359999999999999</v>
      </c>
      <c r="K4">
        <v>2.1573333333333333</v>
      </c>
      <c r="L4">
        <v>0.23273446958569186</v>
      </c>
      <c r="N4">
        <v>3.1724360197235466</v>
      </c>
      <c r="O4">
        <v>2.5988127071376592</v>
      </c>
      <c r="P4">
        <v>3.5028994018268547</v>
      </c>
      <c r="Q4">
        <v>3.0913827095626871</v>
      </c>
      <c r="R4">
        <v>0.45746083678772947</v>
      </c>
    </row>
    <row r="5" spans="1:18" x14ac:dyDescent="0.2">
      <c r="A5">
        <v>21</v>
      </c>
      <c r="B5">
        <v>1.3120964552745655</v>
      </c>
      <c r="C5">
        <v>0.96165091364382649</v>
      </c>
      <c r="D5">
        <v>1.0076074579794709</v>
      </c>
      <c r="E5">
        <v>1.0937849422992876</v>
      </c>
      <c r="F5">
        <v>0.19045455761148039</v>
      </c>
      <c r="H5">
        <v>3.18</v>
      </c>
      <c r="I5">
        <v>2.7800000000000002</v>
      </c>
      <c r="J5">
        <v>2.75</v>
      </c>
      <c r="K5">
        <v>2.9033333333333338</v>
      </c>
      <c r="L5">
        <v>0.24006943440041123</v>
      </c>
      <c r="N5">
        <v>5.9376815536334968</v>
      </c>
      <c r="O5">
        <v>5.1193276614663317</v>
      </c>
      <c r="P5">
        <v>5.4013395845121668</v>
      </c>
      <c r="Q5">
        <v>5.4861162665373326</v>
      </c>
      <c r="R5">
        <v>0.41571154370270258</v>
      </c>
    </row>
    <row r="6" spans="1:18" x14ac:dyDescent="0.2">
      <c r="A6">
        <v>60</v>
      </c>
      <c r="B6">
        <v>3.8433587720437985</v>
      </c>
      <c r="C6">
        <v>5.4878281499155452</v>
      </c>
      <c r="D6">
        <v>5.5576584495812718</v>
      </c>
      <c r="E6">
        <v>4.9629484571802047</v>
      </c>
      <c r="F6">
        <v>0.97022155458726667</v>
      </c>
      <c r="H6">
        <v>4.8</v>
      </c>
      <c r="I6">
        <v>3.96</v>
      </c>
      <c r="J6">
        <v>4.08</v>
      </c>
      <c r="K6">
        <v>4.28</v>
      </c>
      <c r="L6">
        <v>0.45431266766402179</v>
      </c>
      <c r="N6">
        <v>14.762948286314767</v>
      </c>
      <c r="O6">
        <v>15.957808968555492</v>
      </c>
      <c r="P6">
        <v>14.934389479427693</v>
      </c>
      <c r="Q6">
        <v>15.218382244765984</v>
      </c>
      <c r="R6">
        <v>0.64607424539642466</v>
      </c>
    </row>
    <row r="7" spans="1:18" x14ac:dyDescent="0.2">
      <c r="A7">
        <v>72</v>
      </c>
      <c r="B7">
        <v>4.9445804916077059</v>
      </c>
      <c r="C7">
        <v>6.6801416236519762</v>
      </c>
      <c r="D7">
        <v>6.6832247906355935</v>
      </c>
      <c r="E7">
        <v>6.1026489686317591</v>
      </c>
      <c r="F7">
        <v>1.0029179052082233</v>
      </c>
      <c r="H7">
        <v>4.95</v>
      </c>
      <c r="I7">
        <v>4.0699999999999994</v>
      </c>
      <c r="J7">
        <v>4.47</v>
      </c>
      <c r="K7">
        <v>4.4966666666666661</v>
      </c>
      <c r="L7">
        <v>0.44060564378288858</v>
      </c>
      <c r="N7">
        <v>20.961214331905261</v>
      </c>
      <c r="O7">
        <v>21.610803492037832</v>
      </c>
      <c r="P7">
        <v>20.27649175491068</v>
      </c>
      <c r="Q7">
        <v>20.949503192951259</v>
      </c>
      <c r="R7">
        <v>0.66723295485199119</v>
      </c>
    </row>
    <row r="8" spans="1:18" x14ac:dyDescent="0.2">
      <c r="A8">
        <v>84</v>
      </c>
      <c r="B8">
        <v>6.1555179362398267</v>
      </c>
      <c r="C8">
        <v>7.9280530114220236</v>
      </c>
      <c r="D8">
        <v>8.0180438690778519</v>
      </c>
      <c r="E8">
        <v>7.3672049389132352</v>
      </c>
      <c r="F8">
        <v>1.0503159681501264</v>
      </c>
      <c r="H8">
        <v>5.28</v>
      </c>
      <c r="I8">
        <v>4.2699999999999996</v>
      </c>
      <c r="J8">
        <v>4.67</v>
      </c>
      <c r="K8">
        <v>4.74</v>
      </c>
      <c r="L8">
        <v>0.5086255990411811</v>
      </c>
      <c r="N8">
        <v>19.955639964432947</v>
      </c>
      <c r="O8">
        <v>20.164907161910921</v>
      </c>
      <c r="P8">
        <v>18.970406838574085</v>
      </c>
      <c r="Q8">
        <v>19.696984654972649</v>
      </c>
      <c r="R8">
        <v>0.63787513076381386</v>
      </c>
    </row>
    <row r="9" spans="1:18" x14ac:dyDescent="0.2">
      <c r="A9">
        <v>96</v>
      </c>
      <c r="B9">
        <v>7.4815755306457516</v>
      </c>
      <c r="C9">
        <v>9.2160893209388028</v>
      </c>
      <c r="D9">
        <v>9.3770295649708828</v>
      </c>
      <c r="E9">
        <v>8.69156480551848</v>
      </c>
      <c r="F9">
        <v>1.0509666857315449</v>
      </c>
      <c r="H9">
        <v>5.68</v>
      </c>
      <c r="I9">
        <v>4.6500000000000004</v>
      </c>
      <c r="J9">
        <v>5</v>
      </c>
      <c r="K9">
        <v>5.1100000000000003</v>
      </c>
      <c r="L9">
        <v>0.5237365750069396</v>
      </c>
      <c r="N9">
        <v>25.367741795327781</v>
      </c>
      <c r="O9">
        <v>24.616806583946321</v>
      </c>
      <c r="P9">
        <v>24.768991451782394</v>
      </c>
      <c r="Q9">
        <v>24.917846610352168</v>
      </c>
      <c r="R9">
        <v>0.39698150661933018</v>
      </c>
    </row>
    <row r="10" spans="1:18" x14ac:dyDescent="0.2">
      <c r="A10">
        <v>108</v>
      </c>
      <c r="B10">
        <v>8.61532108054476</v>
      </c>
      <c r="C10">
        <v>10.574683384320998</v>
      </c>
      <c r="D10">
        <v>10.703129847273242</v>
      </c>
      <c r="E10">
        <v>9.9643781040463342</v>
      </c>
      <c r="F10">
        <v>1.1700815197905783</v>
      </c>
      <c r="H10">
        <v>5.4600000000000009</v>
      </c>
      <c r="I10">
        <v>4.66</v>
      </c>
      <c r="J10">
        <v>5</v>
      </c>
      <c r="K10">
        <v>5.04</v>
      </c>
      <c r="L10">
        <v>0.40149719799769501</v>
      </c>
      <c r="N10">
        <v>29.903557008325922</v>
      </c>
      <c r="O10">
        <v>29.760331036294556</v>
      </c>
      <c r="P10">
        <v>29.279401847061678</v>
      </c>
      <c r="Q10">
        <v>29.647763297227385</v>
      </c>
      <c r="R10">
        <v>0.32694959587407313</v>
      </c>
    </row>
    <row r="11" spans="1:18" x14ac:dyDescent="0.2">
      <c r="A11">
        <v>116</v>
      </c>
      <c r="B11">
        <v>7.1656431650937265</v>
      </c>
      <c r="C11">
        <v>11.852930889075253</v>
      </c>
      <c r="D11">
        <v>11.575388029907513</v>
      </c>
      <c r="E11">
        <v>10.197987361358832</v>
      </c>
      <c r="F11">
        <v>2.6297511295055553</v>
      </c>
      <c r="H11">
        <v>5.9399999999999995</v>
      </c>
      <c r="I11">
        <v>5.01</v>
      </c>
      <c r="J11">
        <v>5.4700000000000006</v>
      </c>
      <c r="K11">
        <v>5.4733333333333336</v>
      </c>
      <c r="L11">
        <v>0.46500896048714285</v>
      </c>
      <c r="N11">
        <v>31.603850254627755</v>
      </c>
      <c r="O11">
        <v>32.199874060302314</v>
      </c>
      <c r="P11">
        <v>31.615703823458084</v>
      </c>
      <c r="Q11">
        <v>31.806476046129387</v>
      </c>
      <c r="R11">
        <v>0.34074422216657935</v>
      </c>
    </row>
    <row r="12" spans="1:18" x14ac:dyDescent="0.2">
      <c r="A12">
        <v>132</v>
      </c>
      <c r="B12">
        <v>9.5033525235940992</v>
      </c>
      <c r="C12">
        <v>12.982758686998736</v>
      </c>
      <c r="D12">
        <v>13.475413425307993</v>
      </c>
      <c r="E12">
        <v>11.98717487863361</v>
      </c>
      <c r="F12">
        <v>2.1651113808162759</v>
      </c>
      <c r="H12">
        <v>6.51</v>
      </c>
      <c r="I12">
        <v>5.48</v>
      </c>
      <c r="J12">
        <v>5.75</v>
      </c>
      <c r="K12">
        <v>5.913333333333334</v>
      </c>
      <c r="L12">
        <v>0.53407240457950367</v>
      </c>
      <c r="N12">
        <v>39.471235571093679</v>
      </c>
      <c r="O12">
        <v>40.425003536496646</v>
      </c>
      <c r="P12">
        <v>38.782396148249937</v>
      </c>
      <c r="Q12">
        <v>39.559545085280092</v>
      </c>
      <c r="R12">
        <v>0.82485676677987463</v>
      </c>
    </row>
    <row r="13" spans="1:18" x14ac:dyDescent="0.2">
      <c r="A13">
        <v>155</v>
      </c>
      <c r="B13">
        <v>14.266532240346795</v>
      </c>
      <c r="C13">
        <v>14.97837107995417</v>
      </c>
      <c r="D13">
        <v>15.467591783702058</v>
      </c>
      <c r="E13">
        <v>14.904165034667676</v>
      </c>
      <c r="F13">
        <v>0.60395853296313717</v>
      </c>
      <c r="H13">
        <v>7.34</v>
      </c>
      <c r="I13">
        <v>6.23</v>
      </c>
      <c r="J13">
        <v>6.3100000000000005</v>
      </c>
      <c r="K13">
        <v>6.6266666666666678</v>
      </c>
      <c r="L13">
        <v>0.61905842481411466</v>
      </c>
      <c r="N13">
        <v>47.598782010346781</v>
      </c>
      <c r="O13">
        <v>47.842045509659691</v>
      </c>
      <c r="P13">
        <v>45.269886650230383</v>
      </c>
      <c r="Q13">
        <v>46.903571390078952</v>
      </c>
      <c r="R13">
        <v>1.420031216007259</v>
      </c>
    </row>
    <row r="14" spans="1:18" x14ac:dyDescent="0.2">
      <c r="A14">
        <v>168</v>
      </c>
      <c r="B14">
        <v>15.661803782142899</v>
      </c>
      <c r="C14">
        <v>16.050304036096904</v>
      </c>
      <c r="D14">
        <v>15.575885307284347</v>
      </c>
      <c r="E14">
        <v>15.762664375174715</v>
      </c>
      <c r="F14">
        <v>0.25278039279595654</v>
      </c>
      <c r="H14">
        <v>8</v>
      </c>
      <c r="I14">
        <v>7.6</v>
      </c>
      <c r="J14">
        <v>7.39</v>
      </c>
      <c r="K14">
        <v>7.6633333333333331</v>
      </c>
      <c r="L14">
        <v>0.30989245446337255</v>
      </c>
      <c r="N14">
        <v>55.033798985530687</v>
      </c>
      <c r="O14">
        <v>55.360045752162307</v>
      </c>
      <c r="P14">
        <v>51.775791831703188</v>
      </c>
      <c r="Q14">
        <v>54.056545523132058</v>
      </c>
      <c r="R14">
        <v>1.9819150559267718</v>
      </c>
    </row>
    <row r="15" spans="1:18" x14ac:dyDescent="0.2">
      <c r="A15">
        <v>196</v>
      </c>
      <c r="B15">
        <v>19.000666918652037</v>
      </c>
      <c r="C15">
        <v>19.414483150447076</v>
      </c>
      <c r="D15">
        <v>19.693495304803864</v>
      </c>
      <c r="E15">
        <v>19.369548457967657</v>
      </c>
      <c r="F15">
        <v>0.34859308384648313</v>
      </c>
      <c r="H15">
        <v>10.24</v>
      </c>
      <c r="I15">
        <v>13.680000000000001</v>
      </c>
      <c r="J15">
        <v>10.14</v>
      </c>
      <c r="K15">
        <v>11.353333333333333</v>
      </c>
      <c r="L15">
        <v>2.0155727060399817</v>
      </c>
      <c r="N15">
        <v>78.433932826772292</v>
      </c>
      <c r="O15">
        <v>80.597504829843984</v>
      </c>
      <c r="P15">
        <v>76.084594353730495</v>
      </c>
      <c r="Q15">
        <v>78.372010670115586</v>
      </c>
      <c r="R15">
        <v>2.2570923788067434</v>
      </c>
    </row>
    <row r="16" spans="1:18" x14ac:dyDescent="0.2">
      <c r="A16">
        <v>216</v>
      </c>
      <c r="B16">
        <v>20.951970872066241</v>
      </c>
      <c r="C16">
        <v>21.692533102609232</v>
      </c>
      <c r="D16">
        <v>19.412875267242296</v>
      </c>
      <c r="E16">
        <v>20.685793080639257</v>
      </c>
      <c r="F16">
        <v>1.1629049505760036</v>
      </c>
      <c r="H16">
        <v>10.5</v>
      </c>
      <c r="I16">
        <v>13.040000000000001</v>
      </c>
      <c r="J16">
        <v>10.620000000000001</v>
      </c>
      <c r="K16">
        <v>11.386666666666665</v>
      </c>
      <c r="L16">
        <v>1.433085249848516</v>
      </c>
      <c r="N16">
        <v>92.395313677148181</v>
      </c>
      <c r="O16">
        <v>93.009456268692915</v>
      </c>
      <c r="P16">
        <v>91.362586856357623</v>
      </c>
      <c r="Q16">
        <v>92.255785600732906</v>
      </c>
      <c r="R16">
        <v>0.83225343399862728</v>
      </c>
    </row>
    <row r="17" spans="1:18" x14ac:dyDescent="0.2">
      <c r="A17">
        <v>252</v>
      </c>
      <c r="B17">
        <v>21.650534165672504</v>
      </c>
      <c r="C17">
        <v>25.734057192804244</v>
      </c>
      <c r="D17">
        <v>27.530106459881168</v>
      </c>
      <c r="E17">
        <v>24.971565939452642</v>
      </c>
      <c r="F17">
        <v>3.0130362218673725</v>
      </c>
      <c r="H17">
        <v>12.74</v>
      </c>
      <c r="I17">
        <v>13.22</v>
      </c>
      <c r="J17">
        <v>12.94</v>
      </c>
      <c r="K17">
        <v>12.966666666666669</v>
      </c>
      <c r="L17">
        <v>0.24110855093366851</v>
      </c>
      <c r="N17">
        <v>113.01883887721283</v>
      </c>
      <c r="O17">
        <v>115.15658388570043</v>
      </c>
      <c r="P17">
        <v>113.69143806078732</v>
      </c>
      <c r="Q17">
        <v>113.95562027456685</v>
      </c>
      <c r="R17">
        <v>1.0930839912314627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7"/>
  <sheetViews>
    <sheetView tabSelected="1" workbookViewId="0">
      <selection activeCell="B3" sqref="B3:E7"/>
    </sheetView>
  </sheetViews>
  <sheetFormatPr baseColWidth="10" defaultColWidth="8.83203125" defaultRowHeight="15" x14ac:dyDescent="0.2"/>
  <cols>
    <col min="2" max="2" width="14" customWidth="1"/>
    <col min="3" max="3" width="13" customWidth="1"/>
    <col min="4" max="4" width="14" customWidth="1"/>
    <col min="5" max="5" width="15.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4</v>
      </c>
      <c r="E1" t="s">
        <v>6</v>
      </c>
    </row>
    <row r="2" spans="1:5" x14ac:dyDescent="0.2">
      <c r="A2" t="s">
        <v>107</v>
      </c>
      <c r="B2">
        <v>0</v>
      </c>
      <c r="C2">
        <v>0</v>
      </c>
      <c r="D2">
        <v>0</v>
      </c>
      <c r="E2">
        <f>AVERAGE(B2:D2)</f>
        <v>0</v>
      </c>
    </row>
    <row r="3" spans="1:5" x14ac:dyDescent="0.2">
      <c r="A3" t="s">
        <v>108</v>
      </c>
      <c r="B3" s="3">
        <v>6.4369630868618026</v>
      </c>
      <c r="C3" s="3">
        <v>7.9728572411638652</v>
      </c>
      <c r="D3" s="3"/>
      <c r="E3" s="3">
        <f t="shared" ref="E3:E7" si="0">AVERAGE(B3:D3)</f>
        <v>7.2049101640128335</v>
      </c>
    </row>
    <row r="4" spans="1:5" x14ac:dyDescent="0.2">
      <c r="A4" t="s">
        <v>109</v>
      </c>
      <c r="B4" s="3">
        <v>3.4990053598927786</v>
      </c>
      <c r="C4" s="3">
        <v>5.7418523496992009</v>
      </c>
      <c r="D4" s="3"/>
      <c r="E4" s="3">
        <f t="shared" si="0"/>
        <v>4.62042885479599</v>
      </c>
    </row>
    <row r="5" spans="1:5" x14ac:dyDescent="0.2">
      <c r="A5" t="s">
        <v>110</v>
      </c>
      <c r="B5" s="3">
        <v>3.9860329391504195</v>
      </c>
      <c r="C5" s="3">
        <v>5.0400236197542068</v>
      </c>
      <c r="D5" s="3">
        <v>2.9994203892056324</v>
      </c>
      <c r="E5" s="3">
        <f t="shared" si="0"/>
        <v>4.0084923160367527</v>
      </c>
    </row>
    <row r="6" spans="1:5" x14ac:dyDescent="0.2">
      <c r="A6" t="s">
        <v>111</v>
      </c>
      <c r="B6" s="3">
        <v>1</v>
      </c>
      <c r="C6" s="3">
        <v>1.5037401313517154</v>
      </c>
      <c r="D6" s="3">
        <v>3.0932966788796437</v>
      </c>
      <c r="E6" s="3">
        <f t="shared" si="0"/>
        <v>1.8656789367437863</v>
      </c>
    </row>
    <row r="7" spans="1:5" x14ac:dyDescent="0.2">
      <c r="A7" t="s">
        <v>112</v>
      </c>
      <c r="B7" s="3">
        <v>1.1159423411121885</v>
      </c>
      <c r="C7" s="3">
        <v>2.0004407432691149</v>
      </c>
      <c r="D7" s="3"/>
      <c r="E7" s="3">
        <f t="shared" si="0"/>
        <v>1.5581915421906518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J6"/>
  <sheetViews>
    <sheetView topLeftCell="L1" workbookViewId="0">
      <selection activeCell="AF20" sqref="AF20"/>
    </sheetView>
  </sheetViews>
  <sheetFormatPr baseColWidth="10" defaultColWidth="8.83203125" defaultRowHeight="15" x14ac:dyDescent="0.2"/>
  <sheetData>
    <row r="1" spans="1:36" ht="17" x14ac:dyDescent="0.25">
      <c r="A1" t="s">
        <v>58</v>
      </c>
      <c r="B1" t="s">
        <v>63</v>
      </c>
      <c r="H1" t="s">
        <v>64</v>
      </c>
      <c r="N1" t="s">
        <v>65</v>
      </c>
      <c r="T1" t="s">
        <v>66</v>
      </c>
      <c r="Z1" t="s">
        <v>67</v>
      </c>
      <c r="AF1" t="s">
        <v>68</v>
      </c>
    </row>
    <row r="2" spans="1:36" x14ac:dyDescent="0.2">
      <c r="B2" t="s">
        <v>1</v>
      </c>
      <c r="C2" t="s">
        <v>2</v>
      </c>
      <c r="D2" t="s">
        <v>4</v>
      </c>
      <c r="E2" t="s">
        <v>6</v>
      </c>
      <c r="F2" t="s">
        <v>7</v>
      </c>
      <c r="H2" t="s">
        <v>1</v>
      </c>
      <c r="I2" t="s">
        <v>2</v>
      </c>
      <c r="J2" t="s">
        <v>4</v>
      </c>
      <c r="K2" t="s">
        <v>6</v>
      </c>
      <c r="L2" t="s">
        <v>7</v>
      </c>
      <c r="N2" t="s">
        <v>15</v>
      </c>
      <c r="O2" t="s">
        <v>2</v>
      </c>
      <c r="P2" t="s">
        <v>4</v>
      </c>
      <c r="Q2" t="s">
        <v>16</v>
      </c>
      <c r="R2" t="s">
        <v>17</v>
      </c>
      <c r="T2" t="s">
        <v>15</v>
      </c>
      <c r="U2" t="s">
        <v>2</v>
      </c>
      <c r="V2" t="s">
        <v>4</v>
      </c>
      <c r="W2" t="s">
        <v>16</v>
      </c>
      <c r="X2" t="s">
        <v>17</v>
      </c>
      <c r="Z2" t="s">
        <v>15</v>
      </c>
      <c r="AA2" t="s">
        <v>2</v>
      </c>
      <c r="AB2" t="s">
        <v>4</v>
      </c>
      <c r="AC2" t="s">
        <v>16</v>
      </c>
      <c r="AD2" t="s">
        <v>17</v>
      </c>
      <c r="AF2" t="s">
        <v>15</v>
      </c>
      <c r="AG2" t="s">
        <v>2</v>
      </c>
      <c r="AH2" t="s">
        <v>4</v>
      </c>
      <c r="AI2" t="s">
        <v>16</v>
      </c>
      <c r="AJ2" t="s">
        <v>17</v>
      </c>
    </row>
    <row r="3" spans="1:36" x14ac:dyDescent="0.2">
      <c r="A3" t="s">
        <v>59</v>
      </c>
      <c r="B3">
        <v>656.08150000000001</v>
      </c>
      <c r="C3">
        <v>325.31279999999998</v>
      </c>
      <c r="D3">
        <v>406.73790000000002</v>
      </c>
      <c r="E3">
        <v>462.71069999999997</v>
      </c>
      <c r="F3">
        <v>172.34180000000001</v>
      </c>
      <c r="H3">
        <v>372.5806</v>
      </c>
      <c r="I3">
        <v>270.60270000000003</v>
      </c>
      <c r="J3">
        <v>268.18439999999998</v>
      </c>
      <c r="K3">
        <v>303.78930000000003</v>
      </c>
      <c r="L3">
        <v>59.587350000000001</v>
      </c>
      <c r="N3">
        <v>2502.7199999999998</v>
      </c>
      <c r="O3">
        <v>2414.4699999999998</v>
      </c>
      <c r="P3">
        <v>2461.518</v>
      </c>
      <c r="Q3">
        <v>2459.569</v>
      </c>
      <c r="R3">
        <v>44.157429999999998</v>
      </c>
      <c r="T3">
        <v>1607.44</v>
      </c>
      <c r="U3">
        <v>1510.2660000000001</v>
      </c>
      <c r="V3">
        <v>1496.248</v>
      </c>
      <c r="W3">
        <v>1537.9849999999999</v>
      </c>
      <c r="X3">
        <v>60.557029999999997</v>
      </c>
      <c r="Z3">
        <v>1215.6859999999999</v>
      </c>
      <c r="AA3">
        <v>1330.472</v>
      </c>
      <c r="AB3">
        <v>1299.8109999999999</v>
      </c>
      <c r="AC3">
        <v>1281.99</v>
      </c>
      <c r="AD3">
        <v>59.431899999999999</v>
      </c>
      <c r="AF3">
        <v>1087.5730000000001</v>
      </c>
      <c r="AG3">
        <v>1010.686</v>
      </c>
      <c r="AI3">
        <v>1049.1289999999999</v>
      </c>
      <c r="AJ3">
        <v>54.366819999999997</v>
      </c>
    </row>
    <row r="4" spans="1:36" x14ac:dyDescent="0.2">
      <c r="A4" t="s">
        <v>60</v>
      </c>
      <c r="B4">
        <v>324.54360000000003</v>
      </c>
      <c r="C4">
        <v>271.33969999999999</v>
      </c>
      <c r="D4">
        <v>261.7801</v>
      </c>
      <c r="E4">
        <v>285.88780000000003</v>
      </c>
      <c r="F4">
        <v>33.816409999999998</v>
      </c>
      <c r="H4">
        <v>7604.3379999999997</v>
      </c>
      <c r="I4">
        <v>5290.8639999999996</v>
      </c>
      <c r="J4">
        <v>3267.808</v>
      </c>
      <c r="K4">
        <v>5387.67</v>
      </c>
      <c r="L4">
        <v>2169.8850000000002</v>
      </c>
      <c r="N4">
        <v>1985.924</v>
      </c>
      <c r="O4">
        <v>1934.4749999999999</v>
      </c>
      <c r="P4">
        <v>2091.3620000000001</v>
      </c>
      <c r="Q4">
        <v>2003.92</v>
      </c>
      <c r="R4">
        <v>79.976510000000005</v>
      </c>
      <c r="T4">
        <v>1795.7090000000001</v>
      </c>
      <c r="U4">
        <v>1956.787</v>
      </c>
      <c r="V4">
        <v>2022.0229999999999</v>
      </c>
      <c r="W4">
        <v>1924.84</v>
      </c>
      <c r="X4">
        <v>116.49039999999999</v>
      </c>
      <c r="Z4">
        <v>1168.3420000000001</v>
      </c>
      <c r="AA4">
        <v>1130.46</v>
      </c>
      <c r="AB4">
        <v>1245.856</v>
      </c>
      <c r="AC4">
        <v>1181.5530000000001</v>
      </c>
      <c r="AD4">
        <v>58.821370000000002</v>
      </c>
      <c r="AF4">
        <v>6962.9870000000001</v>
      </c>
      <c r="AG4">
        <v>9058.2900000000009</v>
      </c>
      <c r="AH4">
        <v>8176.0439999999999</v>
      </c>
      <c r="AI4">
        <v>8065.7740000000003</v>
      </c>
      <c r="AJ4">
        <v>1051.9949999999999</v>
      </c>
    </row>
    <row r="5" spans="1:36" x14ac:dyDescent="0.2">
      <c r="A5" t="s">
        <v>61</v>
      </c>
      <c r="B5">
        <v>309.21359999999999</v>
      </c>
      <c r="C5">
        <v>274.37959999999998</v>
      </c>
      <c r="D5">
        <v>289.70859999999999</v>
      </c>
      <c r="E5">
        <v>291.10059999999999</v>
      </c>
      <c r="F5">
        <v>17.458690000000001</v>
      </c>
      <c r="H5">
        <v>9624.1080000000002</v>
      </c>
      <c r="I5">
        <v>9982.7049999999999</v>
      </c>
      <c r="J5">
        <v>11521.74</v>
      </c>
      <c r="K5">
        <v>10376.18</v>
      </c>
      <c r="L5">
        <v>1008.152</v>
      </c>
      <c r="N5">
        <v>1794.4</v>
      </c>
      <c r="O5">
        <v>1943.653</v>
      </c>
      <c r="P5">
        <v>2045.566</v>
      </c>
      <c r="Q5">
        <v>1927.873</v>
      </c>
      <c r="R5">
        <v>126.324</v>
      </c>
      <c r="T5">
        <v>1828.62</v>
      </c>
      <c r="U5">
        <v>2099.5540000000001</v>
      </c>
      <c r="V5">
        <v>1954.1379999999999</v>
      </c>
      <c r="W5">
        <v>1960.771</v>
      </c>
      <c r="X5">
        <v>135.58860000000001</v>
      </c>
      <c r="Z5">
        <v>945.07600000000002</v>
      </c>
      <c r="AA5">
        <v>1386.326</v>
      </c>
      <c r="AB5">
        <v>1082.0429999999999</v>
      </c>
      <c r="AC5">
        <v>1137.8150000000001</v>
      </c>
      <c r="AD5">
        <v>225.84979999999999</v>
      </c>
      <c r="AF5">
        <v>6226.4690000000001</v>
      </c>
      <c r="AG5">
        <v>6447.7759999999998</v>
      </c>
      <c r="AH5">
        <v>5609.5230000000001</v>
      </c>
      <c r="AI5">
        <v>6094.5889999999999</v>
      </c>
      <c r="AJ5">
        <v>434.40910000000002</v>
      </c>
    </row>
    <row r="6" spans="1:36" x14ac:dyDescent="0.2">
      <c r="A6" t="s">
        <v>62</v>
      </c>
      <c r="B6">
        <v>399.39710000000002</v>
      </c>
      <c r="C6">
        <v>359.52409999999998</v>
      </c>
      <c r="D6">
        <v>398.63099999999997</v>
      </c>
      <c r="E6">
        <v>385.85070000000002</v>
      </c>
      <c r="F6">
        <v>22.80274</v>
      </c>
      <c r="H6">
        <v>6847.8109999999997</v>
      </c>
      <c r="I6">
        <v>6334.3059999999996</v>
      </c>
      <c r="J6">
        <v>8525.1370000000006</v>
      </c>
      <c r="K6">
        <v>7235.7520000000004</v>
      </c>
      <c r="L6">
        <v>1145.779</v>
      </c>
      <c r="N6">
        <v>1361.0650000000001</v>
      </c>
      <c r="O6">
        <v>1710.7650000000001</v>
      </c>
      <c r="P6">
        <v>1660.616</v>
      </c>
      <c r="Q6">
        <v>1577.482</v>
      </c>
      <c r="R6">
        <v>189.09200000000001</v>
      </c>
      <c r="T6">
        <v>1412.0029999999999</v>
      </c>
      <c r="U6">
        <v>1464.5820000000001</v>
      </c>
      <c r="V6">
        <v>1431.3409999999999</v>
      </c>
      <c r="W6">
        <v>1435.9749999999999</v>
      </c>
      <c r="X6">
        <v>26.594080000000002</v>
      </c>
      <c r="Z6">
        <v>838.27269999999999</v>
      </c>
      <c r="AA6">
        <v>1055.346</v>
      </c>
      <c r="AB6">
        <v>910.61689999999999</v>
      </c>
      <c r="AC6">
        <v>934.74519999999995</v>
      </c>
      <c r="AD6">
        <v>110.5299</v>
      </c>
      <c r="AF6">
        <v>4747.6689999999999</v>
      </c>
      <c r="AG6">
        <v>4888.5789999999997</v>
      </c>
      <c r="AH6">
        <v>4964.7939999999999</v>
      </c>
      <c r="AI6">
        <v>4867.0140000000001</v>
      </c>
      <c r="AJ6">
        <v>110.157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31"/>
  <sheetViews>
    <sheetView topLeftCell="A4" workbookViewId="0">
      <selection activeCell="P37" sqref="P37"/>
    </sheetView>
  </sheetViews>
  <sheetFormatPr baseColWidth="10" defaultColWidth="8.83203125" defaultRowHeight="15" x14ac:dyDescent="0.2"/>
  <sheetData>
    <row r="1" spans="1:16" ht="17" x14ac:dyDescent="0.25">
      <c r="B1" s="2" t="s">
        <v>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">
      <c r="G2" t="s">
        <v>6</v>
      </c>
      <c r="H2" t="s">
        <v>7</v>
      </c>
      <c r="I2" t="s">
        <v>6</v>
      </c>
      <c r="J2" t="s">
        <v>7</v>
      </c>
      <c r="K2" t="s">
        <v>6</v>
      </c>
      <c r="L2" t="s">
        <v>7</v>
      </c>
      <c r="M2" t="s">
        <v>6</v>
      </c>
      <c r="N2" t="s">
        <v>7</v>
      </c>
      <c r="O2" t="s">
        <v>6</v>
      </c>
      <c r="P2" t="s">
        <v>7</v>
      </c>
    </row>
    <row r="3" spans="1:16" x14ac:dyDescent="0.2">
      <c r="A3" t="s">
        <v>0</v>
      </c>
      <c r="B3">
        <v>0</v>
      </c>
      <c r="C3">
        <v>24</v>
      </c>
      <c r="D3">
        <v>48</v>
      </c>
      <c r="E3">
        <v>60</v>
      </c>
      <c r="F3">
        <v>72</v>
      </c>
      <c r="G3" t="s">
        <v>81</v>
      </c>
      <c r="I3" t="s">
        <v>82</v>
      </c>
      <c r="K3" t="s">
        <v>83</v>
      </c>
      <c r="M3">
        <v>60</v>
      </c>
      <c r="O3">
        <v>72</v>
      </c>
    </row>
    <row r="4" spans="1:16" x14ac:dyDescent="0.2">
      <c r="A4" t="s">
        <v>69</v>
      </c>
      <c r="B4">
        <f>0.084*4</f>
        <v>0.33600000000000002</v>
      </c>
      <c r="C4">
        <f>0.21*4</f>
        <v>0.84</v>
      </c>
      <c r="D4">
        <v>6.78</v>
      </c>
      <c r="E4">
        <f>0.311*20</f>
        <v>6.22</v>
      </c>
      <c r="F4">
        <f>0.349*20</f>
        <v>6.9799999999999995</v>
      </c>
    </row>
    <row r="5" spans="1:16" x14ac:dyDescent="0.2">
      <c r="A5" t="s">
        <v>70</v>
      </c>
      <c r="B5">
        <f>0.095*4</f>
        <v>0.38</v>
      </c>
      <c r="C5">
        <f>0.248*4</f>
        <v>0.99199999999999999</v>
      </c>
      <c r="D5">
        <v>6.59</v>
      </c>
      <c r="E5">
        <f>0.317*20</f>
        <v>6.34</v>
      </c>
      <c r="F5">
        <f>0.346*20</f>
        <v>6.92</v>
      </c>
    </row>
    <row r="6" spans="1:16" x14ac:dyDescent="0.2">
      <c r="A6" t="s">
        <v>71</v>
      </c>
      <c r="B6">
        <f>0.113*4</f>
        <v>0.45200000000000001</v>
      </c>
      <c r="C6">
        <f>0.312*4</f>
        <v>1.248</v>
      </c>
      <c r="D6">
        <v>7.02</v>
      </c>
      <c r="E6">
        <f>0.364*20</f>
        <v>7.2799999999999994</v>
      </c>
      <c r="F6">
        <f>0.381*20</f>
        <v>7.62</v>
      </c>
      <c r="G6">
        <f>AVERAGE(B4:B6)</f>
        <v>0.38933333333333331</v>
      </c>
      <c r="H6">
        <f>STDEV(B4:B6)</f>
        <v>5.8560510015994292E-2</v>
      </c>
      <c r="I6">
        <f>AVERAGE(C4:C6)</f>
        <v>1.0266666666666666</v>
      </c>
      <c r="J6">
        <f>STDEV(C4:C6)</f>
        <v>0.2061973165037152</v>
      </c>
      <c r="K6">
        <f>AVERAGE(D4:D6)</f>
        <v>6.7966666666666669</v>
      </c>
      <c r="L6">
        <f>STDEV(D4:D6)</f>
        <v>0.21548395145191962</v>
      </c>
      <c r="M6">
        <f>AVERAGE(E4:E6)</f>
        <v>6.6133333333333324</v>
      </c>
      <c r="N6">
        <f>STDEV(E4:E6)</f>
        <v>0.58045958802773956</v>
      </c>
      <c r="O6">
        <f>AVERAGE(F4:F6)</f>
        <v>7.1733333333333329</v>
      </c>
      <c r="P6">
        <f>STDEV(F4:F6)</f>
        <v>0.38798625405203918</v>
      </c>
    </row>
    <row r="7" spans="1:16" x14ac:dyDescent="0.2">
      <c r="A7" t="s">
        <v>72</v>
      </c>
      <c r="B7">
        <f>0.119*4</f>
        <v>0.47599999999999998</v>
      </c>
      <c r="C7">
        <f>0.137*4</f>
        <v>0.54800000000000004</v>
      </c>
      <c r="D7">
        <f>0.274*4</f>
        <v>1.0960000000000001</v>
      </c>
      <c r="E7">
        <v>1.95</v>
      </c>
      <c r="F7">
        <v>2.7</v>
      </c>
    </row>
    <row r="8" spans="1:16" x14ac:dyDescent="0.2">
      <c r="A8" t="s">
        <v>73</v>
      </c>
    </row>
    <row r="9" spans="1:16" x14ac:dyDescent="0.2">
      <c r="A9" t="s">
        <v>74</v>
      </c>
      <c r="G9">
        <f>AVERAGE(B7:B9)</f>
        <v>0.47599999999999998</v>
      </c>
      <c r="I9">
        <f>AVERAGE(C7:C9)</f>
        <v>0.54800000000000004</v>
      </c>
      <c r="K9">
        <f>AVERAGE(D7:D9)</f>
        <v>1.0960000000000001</v>
      </c>
      <c r="M9">
        <f>AVERAGE(E7:E9)</f>
        <v>1.95</v>
      </c>
      <c r="O9">
        <f>AVERAGE(F7:F9)</f>
        <v>2.7</v>
      </c>
    </row>
    <row r="10" spans="1:16" x14ac:dyDescent="0.2">
      <c r="A10" t="s">
        <v>75</v>
      </c>
      <c r="B10">
        <f>0.12*4</f>
        <v>0.48</v>
      </c>
      <c r="C10">
        <f>0.158*4</f>
        <v>0.63200000000000001</v>
      </c>
      <c r="D10">
        <f>0.297*4</f>
        <v>1.1879999999999999</v>
      </c>
      <c r="E10">
        <v>1.45</v>
      </c>
      <c r="F10">
        <v>1.94</v>
      </c>
    </row>
    <row r="11" spans="1:16" x14ac:dyDescent="0.2">
      <c r="A11" t="s">
        <v>76</v>
      </c>
      <c r="B11">
        <f>0.115*4</f>
        <v>0.46</v>
      </c>
      <c r="C11">
        <f>0.271*4</f>
        <v>1.0840000000000001</v>
      </c>
      <c r="D11">
        <f>0.801*4</f>
        <v>3.2040000000000002</v>
      </c>
      <c r="E11">
        <v>4.49</v>
      </c>
      <c r="F11">
        <v>4.71</v>
      </c>
    </row>
    <row r="12" spans="1:16" x14ac:dyDescent="0.2">
      <c r="A12" t="s">
        <v>77</v>
      </c>
      <c r="B12">
        <f>0.113*4</f>
        <v>0.45200000000000001</v>
      </c>
      <c r="C12">
        <f>0.166*4</f>
        <v>0.66400000000000003</v>
      </c>
      <c r="D12">
        <f>0.308*4</f>
        <v>1.232</v>
      </c>
      <c r="E12">
        <v>1.44</v>
      </c>
      <c r="F12">
        <v>1.56</v>
      </c>
      <c r="G12">
        <f>AVERAGE(B10:B12)</f>
        <v>0.46399999999999997</v>
      </c>
      <c r="H12">
        <f>STDEV(B10:B12)</f>
        <v>1.4422205101855939E-2</v>
      </c>
      <c r="I12">
        <f>AVERAGE(C10:C12)</f>
        <v>0.79333333333333345</v>
      </c>
      <c r="J12">
        <f>STDEV(C10:C12)</f>
        <v>0.25223269679669447</v>
      </c>
      <c r="K12">
        <f>AVERAGE(D10:D12)</f>
        <v>1.8746666666666669</v>
      </c>
      <c r="L12">
        <f>STDEV(D10:D12)</f>
        <v>1.151446626350233</v>
      </c>
      <c r="M12">
        <f>AVERAGE(E10:E12)</f>
        <v>2.4600000000000004</v>
      </c>
      <c r="N12">
        <f>STDEV(E10:E12)</f>
        <v>1.7580386798930216</v>
      </c>
      <c r="O12">
        <f>AVERAGE(F10:F12)</f>
        <v>2.7366666666666668</v>
      </c>
      <c r="P12">
        <f>STDEV(F10:F12)</f>
        <v>1.7194863574141357</v>
      </c>
    </row>
    <row r="13" spans="1:16" x14ac:dyDescent="0.2">
      <c r="A13" t="s">
        <v>78</v>
      </c>
      <c r="B13">
        <f>0.071*4</f>
        <v>0.28399999999999997</v>
      </c>
      <c r="C13">
        <f>0.1*4</f>
        <v>0.4</v>
      </c>
      <c r="D13">
        <f>0.182*4</f>
        <v>0.72799999999999998</v>
      </c>
      <c r="E13">
        <v>1.17</v>
      </c>
      <c r="F13">
        <v>1.53</v>
      </c>
    </row>
    <row r="14" spans="1:16" x14ac:dyDescent="0.2">
      <c r="A14" t="s">
        <v>79</v>
      </c>
      <c r="B14">
        <f>0.066*4</f>
        <v>0.26400000000000001</v>
      </c>
      <c r="C14">
        <f>0.152*4</f>
        <v>0.60799999999999998</v>
      </c>
      <c r="D14">
        <f>0.315*4</f>
        <v>1.26</v>
      </c>
      <c r="E14">
        <v>2.09</v>
      </c>
      <c r="F14">
        <v>2.57</v>
      </c>
    </row>
    <row r="15" spans="1:16" x14ac:dyDescent="0.2">
      <c r="A15" t="s">
        <v>80</v>
      </c>
      <c r="B15">
        <f>0.06*4</f>
        <v>0.24</v>
      </c>
      <c r="C15">
        <f>0.141*4</f>
        <v>0.56399999999999995</v>
      </c>
      <c r="D15">
        <f>0.309*4</f>
        <v>1.236</v>
      </c>
      <c r="E15">
        <v>2.27</v>
      </c>
      <c r="F15">
        <v>2.54</v>
      </c>
      <c r="G15">
        <f>AVERAGE(B13:B15)</f>
        <v>0.26266666666666666</v>
      </c>
      <c r="H15">
        <f>STDEV(B13:B15)</f>
        <v>2.20302821891444E-2</v>
      </c>
      <c r="I15">
        <f>AVERAGE(C13:C15)</f>
        <v>0.52400000000000002</v>
      </c>
      <c r="J15">
        <f>STDEV(C13:C15)</f>
        <v>0.10961751684835765</v>
      </c>
      <c r="K15">
        <f>AVERAGE(D13:D15)</f>
        <v>1.0746666666666667</v>
      </c>
      <c r="L15">
        <f>STDEV(D13:D15)</f>
        <v>0.30046186668749308</v>
      </c>
      <c r="M15">
        <f>AVERAGE(E13:E15)</f>
        <v>1.843333333333333</v>
      </c>
      <c r="N15">
        <f>STDEV(E13:E15)</f>
        <v>0.59002824791134711</v>
      </c>
      <c r="O15">
        <f>AVERAGE(F13:F15)</f>
        <v>2.2133333333333334</v>
      </c>
      <c r="P15">
        <f>STDEV(F13:F15)</f>
        <v>0.59197409853247152</v>
      </c>
    </row>
    <row r="17" spans="1:16" x14ac:dyDescent="0.2">
      <c r="A17" s="2" t="s">
        <v>51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x14ac:dyDescent="0.2">
      <c r="H18" t="s">
        <v>6</v>
      </c>
      <c r="I18" t="s">
        <v>7</v>
      </c>
      <c r="J18" t="s">
        <v>6</v>
      </c>
      <c r="K18" t="s">
        <v>7</v>
      </c>
      <c r="M18" t="s">
        <v>6</v>
      </c>
      <c r="N18" t="s">
        <v>7</v>
      </c>
      <c r="O18" t="s">
        <v>6</v>
      </c>
      <c r="P18" t="s">
        <v>7</v>
      </c>
    </row>
    <row r="19" spans="1:16" x14ac:dyDescent="0.2">
      <c r="B19">
        <v>0</v>
      </c>
      <c r="C19">
        <v>24</v>
      </c>
      <c r="D19">
        <v>48</v>
      </c>
      <c r="E19">
        <v>60</v>
      </c>
      <c r="F19">
        <v>72</v>
      </c>
      <c r="G19">
        <v>84</v>
      </c>
      <c r="I19">
        <v>24</v>
      </c>
      <c r="K19">
        <v>48</v>
      </c>
      <c r="M19">
        <v>60</v>
      </c>
      <c r="O19">
        <v>72</v>
      </c>
    </row>
    <row r="20" spans="1:16" x14ac:dyDescent="0.2">
      <c r="A20" t="s">
        <v>69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16" x14ac:dyDescent="0.2">
      <c r="A21" t="s">
        <v>70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16" x14ac:dyDescent="0.2">
      <c r="A22" t="s">
        <v>71</v>
      </c>
      <c r="B22">
        <v>0</v>
      </c>
      <c r="C22">
        <v>0</v>
      </c>
      <c r="D22">
        <v>0</v>
      </c>
      <c r="E22">
        <v>0</v>
      </c>
      <c r="F22">
        <v>0</v>
      </c>
      <c r="G22">
        <f>AVERAGE(B20:B22)</f>
        <v>0</v>
      </c>
      <c r="H22">
        <f>STDEV(B20:B22)</f>
        <v>0</v>
      </c>
      <c r="I22">
        <f>AVERAGE(C20:C22)</f>
        <v>0</v>
      </c>
      <c r="J22">
        <f>STDEV(C20:C22)</f>
        <v>0</v>
      </c>
      <c r="K22">
        <f>AVERAGE(D20:D22)</f>
        <v>0</v>
      </c>
      <c r="L22">
        <f>STDEV(D20:D22)</f>
        <v>0</v>
      </c>
      <c r="M22">
        <f>AVERAGE(E20:E22)</f>
        <v>0</v>
      </c>
      <c r="N22">
        <f>STDEV(E20:E22)</f>
        <v>0</v>
      </c>
      <c r="O22">
        <f>AVERAGE(F20:F22)</f>
        <v>0</v>
      </c>
      <c r="P22">
        <f>STDEV(F20:F22)</f>
        <v>0</v>
      </c>
    </row>
    <row r="23" spans="1:16" x14ac:dyDescent="0.2">
      <c r="A23" t="s">
        <v>72</v>
      </c>
      <c r="B23">
        <v>0</v>
      </c>
      <c r="C23">
        <v>1.29E-2</v>
      </c>
      <c r="D23">
        <v>0.3271</v>
      </c>
      <c r="E23">
        <v>0.82440000000000002</v>
      </c>
      <c r="F23">
        <v>1.0206</v>
      </c>
    </row>
    <row r="24" spans="1:16" x14ac:dyDescent="0.2">
      <c r="A24" t="s">
        <v>73</v>
      </c>
    </row>
    <row r="25" spans="1:16" x14ac:dyDescent="0.2">
      <c r="A25" t="s">
        <v>74</v>
      </c>
      <c r="G25">
        <f>AVERAGE(B23:B25)</f>
        <v>0</v>
      </c>
      <c r="I25">
        <f>AVERAGE(C23:C25)</f>
        <v>1.29E-2</v>
      </c>
      <c r="K25">
        <f>AVERAGE(D23:D25)</f>
        <v>0.3271</v>
      </c>
      <c r="M25">
        <f>AVERAGE(E23:E25)</f>
        <v>0.82440000000000002</v>
      </c>
      <c r="O25">
        <f>AVERAGE(F23:F25)</f>
        <v>1.0206</v>
      </c>
    </row>
    <row r="26" spans="1:16" x14ac:dyDescent="0.2">
      <c r="A26" t="s">
        <v>75</v>
      </c>
      <c r="B26">
        <v>0</v>
      </c>
      <c r="C26">
        <v>0.1633</v>
      </c>
      <c r="D26">
        <v>0.75719999999999998</v>
      </c>
      <c r="E26">
        <v>1.2954000000000001</v>
      </c>
      <c r="F26">
        <v>1.5009999999999999</v>
      </c>
    </row>
    <row r="27" spans="1:16" x14ac:dyDescent="0.2">
      <c r="A27" t="s">
        <v>76</v>
      </c>
      <c r="B27">
        <v>0</v>
      </c>
      <c r="C27">
        <v>9.6500000000000002E-2</v>
      </c>
      <c r="D27">
        <v>0.94430000000000003</v>
      </c>
      <c r="E27">
        <v>0.96889999999999998</v>
      </c>
      <c r="F27">
        <v>0.90349999999999997</v>
      </c>
    </row>
    <row r="28" spans="1:16" x14ac:dyDescent="0.2">
      <c r="A28" t="s">
        <v>77</v>
      </c>
      <c r="B28">
        <v>0</v>
      </c>
      <c r="C28">
        <v>0.182</v>
      </c>
      <c r="D28">
        <v>0.62519999999999998</v>
      </c>
      <c r="E28">
        <v>1.1047</v>
      </c>
      <c r="F28">
        <v>1.2811999999999999</v>
      </c>
      <c r="G28">
        <f>AVERAGE(B26:B28)</f>
        <v>0</v>
      </c>
      <c r="H28">
        <f>STDEV(B26:B28)</f>
        <v>0</v>
      </c>
      <c r="I28">
        <f>AVERAGE(C26:C28)</f>
        <v>0.14726666666666668</v>
      </c>
      <c r="J28">
        <f>STDEV(C26:C28)</f>
        <v>4.4948451957028922E-2</v>
      </c>
      <c r="K28">
        <f>AVERAGE(D26:D28)</f>
        <v>0.77556666666666663</v>
      </c>
      <c r="L28">
        <f>STDEV(D26:D28)</f>
        <v>0.16034089725747949</v>
      </c>
      <c r="M28">
        <f>AVERAGE(E26:E28)</f>
        <v>1.123</v>
      </c>
      <c r="N28">
        <f>STDEV(E26:E28)</f>
        <v>0.1640174685818572</v>
      </c>
      <c r="O28">
        <f>AVERAGE(F26:F28)</f>
        <v>1.2285666666666666</v>
      </c>
      <c r="P28">
        <f>STDEV(F26:F28)</f>
        <v>0.30220731846421811</v>
      </c>
    </row>
    <row r="29" spans="1:16" x14ac:dyDescent="0.2">
      <c r="A29" t="s">
        <v>78</v>
      </c>
      <c r="B29">
        <v>0</v>
      </c>
      <c r="C29">
        <v>0.14899999999999999</v>
      </c>
      <c r="D29">
        <v>0.5323</v>
      </c>
      <c r="E29">
        <v>0.90269999999999995</v>
      </c>
      <c r="F29">
        <v>1.0475000000000001</v>
      </c>
    </row>
    <row r="30" spans="1:16" x14ac:dyDescent="0.2">
      <c r="A30" t="s">
        <v>79</v>
      </c>
      <c r="B30">
        <v>0</v>
      </c>
      <c r="C30">
        <v>0.15140000000000001</v>
      </c>
      <c r="D30">
        <v>0.8115</v>
      </c>
      <c r="E30">
        <v>1.6167</v>
      </c>
      <c r="F30">
        <v>1.6545000000000001</v>
      </c>
    </row>
    <row r="31" spans="1:16" x14ac:dyDescent="0.2">
      <c r="A31" t="s">
        <v>80</v>
      </c>
      <c r="B31">
        <v>0</v>
      </c>
      <c r="C31">
        <v>0.14549999999999999</v>
      </c>
      <c r="D31">
        <v>0.82389999999999997</v>
      </c>
      <c r="E31">
        <v>1.4330000000000001</v>
      </c>
      <c r="F31">
        <v>1.4313</v>
      </c>
      <c r="G31">
        <f>AVERAGE(B29:B31)</f>
        <v>0</v>
      </c>
      <c r="H31">
        <f>STDEV(B29:B31)</f>
        <v>0</v>
      </c>
      <c r="I31">
        <f>AVERAGE(C29:C31)</f>
        <v>0.14863333333333331</v>
      </c>
      <c r="J31">
        <f>STDEV(C29:C31)</f>
        <v>2.9670411748631631E-3</v>
      </c>
      <c r="K31">
        <f>AVERAGE(D29:D31)</f>
        <v>0.72256666666666669</v>
      </c>
      <c r="L31">
        <f>STDEV(D29:D31)</f>
        <v>0.16489236893602235</v>
      </c>
      <c r="M31">
        <f>AVERAGE(E29:E31)</f>
        <v>1.3174666666666666</v>
      </c>
      <c r="N31">
        <f>STDEV(E29:E31)</f>
        <v>0.37075593499407905</v>
      </c>
      <c r="O31">
        <f>AVERAGE(F29:F31)</f>
        <v>1.3777666666666668</v>
      </c>
      <c r="P31">
        <f>STDEV(F29:F31)</f>
        <v>0.30702054220089869</v>
      </c>
    </row>
  </sheetData>
  <mergeCells count="2">
    <mergeCell ref="B1:P1"/>
    <mergeCell ref="A17:P17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7"/>
  <sheetViews>
    <sheetView workbookViewId="0">
      <selection activeCell="N26" sqref="N26"/>
    </sheetView>
  </sheetViews>
  <sheetFormatPr baseColWidth="10" defaultColWidth="8.83203125" defaultRowHeight="15" x14ac:dyDescent="0.2"/>
  <cols>
    <col min="1" max="1" width="21" customWidth="1"/>
  </cols>
  <sheetData>
    <row r="1" spans="1:6" ht="17" x14ac:dyDescent="0.25">
      <c r="B1" t="s">
        <v>9</v>
      </c>
    </row>
    <row r="2" spans="1:6" x14ac:dyDescent="0.2">
      <c r="A2" t="s">
        <v>84</v>
      </c>
      <c r="B2" t="s">
        <v>1</v>
      </c>
      <c r="C2" t="s">
        <v>2</v>
      </c>
      <c r="D2" t="s">
        <v>4</v>
      </c>
      <c r="E2" t="s">
        <v>6</v>
      </c>
      <c r="F2" t="s">
        <v>7</v>
      </c>
    </row>
    <row r="3" spans="1:6" x14ac:dyDescent="0.2">
      <c r="A3" t="s">
        <v>85</v>
      </c>
      <c r="B3">
        <v>14.64</v>
      </c>
      <c r="C3">
        <v>15.04</v>
      </c>
      <c r="D3">
        <v>14.36</v>
      </c>
      <c r="E3">
        <f>AVERAGE(B3:D3)</f>
        <v>14.68</v>
      </c>
      <c r="F3">
        <f>STDEV(B3:D3)</f>
        <v>0.34176014981270103</v>
      </c>
    </row>
    <row r="4" spans="1:6" x14ac:dyDescent="0.2">
      <c r="A4" t="s">
        <v>86</v>
      </c>
      <c r="B4">
        <v>12.12</v>
      </c>
      <c r="C4">
        <v>11.959999999999999</v>
      </c>
      <c r="D4">
        <v>12.26</v>
      </c>
      <c r="E4">
        <f t="shared" ref="E4:E7" si="0">AVERAGE(B4:D4)</f>
        <v>12.113333333333332</v>
      </c>
      <c r="F4">
        <f t="shared" ref="F4:F7" si="1">STDEV(B4:D4)</f>
        <v>0.15011106998930304</v>
      </c>
    </row>
    <row r="5" spans="1:6" x14ac:dyDescent="0.2">
      <c r="A5" t="s">
        <v>87</v>
      </c>
      <c r="B5">
        <v>14.52</v>
      </c>
      <c r="C5">
        <v>12.8</v>
      </c>
      <c r="D5">
        <v>12.88</v>
      </c>
      <c r="E5">
        <f t="shared" si="0"/>
        <v>13.4</v>
      </c>
      <c r="F5">
        <f t="shared" si="1"/>
        <v>0.97077288796092709</v>
      </c>
    </row>
    <row r="6" spans="1:6" x14ac:dyDescent="0.2">
      <c r="A6" t="s">
        <v>88</v>
      </c>
      <c r="B6">
        <v>12.96</v>
      </c>
      <c r="C6">
        <v>13.899999999999999</v>
      </c>
      <c r="D6">
        <v>14.12</v>
      </c>
      <c r="E6">
        <f t="shared" si="0"/>
        <v>13.659999999999998</v>
      </c>
      <c r="F6">
        <f t="shared" si="1"/>
        <v>0.61611687202997345</v>
      </c>
    </row>
    <row r="7" spans="1:6" x14ac:dyDescent="0.2">
      <c r="A7" t="s">
        <v>89</v>
      </c>
      <c r="B7">
        <v>2.8699999999999997</v>
      </c>
      <c r="C7">
        <v>2.4500000000000002</v>
      </c>
      <c r="D7">
        <v>2.17</v>
      </c>
      <c r="E7">
        <f t="shared" si="0"/>
        <v>2.4966666666666666</v>
      </c>
      <c r="F7">
        <f t="shared" si="1"/>
        <v>0.35232560697930115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H10"/>
  <sheetViews>
    <sheetView workbookViewId="0">
      <selection activeCell="O31" sqref="O31"/>
    </sheetView>
  </sheetViews>
  <sheetFormatPr baseColWidth="10" defaultColWidth="8.83203125" defaultRowHeight="15" x14ac:dyDescent="0.2"/>
  <sheetData>
    <row r="2" spans="1:8" ht="17" x14ac:dyDescent="0.25">
      <c r="A2" t="s">
        <v>97</v>
      </c>
      <c r="B2" t="s">
        <v>9</v>
      </c>
      <c r="G2" t="s">
        <v>6</v>
      </c>
      <c r="H2" t="s">
        <v>7</v>
      </c>
    </row>
    <row r="3" spans="1:8" x14ac:dyDescent="0.2">
      <c r="A3" t="s">
        <v>98</v>
      </c>
      <c r="B3">
        <v>0.5</v>
      </c>
      <c r="G3">
        <v>0.5</v>
      </c>
    </row>
    <row r="4" spans="1:8" x14ac:dyDescent="0.2">
      <c r="A4" t="s">
        <v>90</v>
      </c>
      <c r="B4">
        <v>3.46</v>
      </c>
      <c r="C4">
        <v>2.62</v>
      </c>
      <c r="D4">
        <v>2.68</v>
      </c>
      <c r="E4">
        <v>3.9</v>
      </c>
      <c r="G4">
        <v>3.165</v>
      </c>
      <c r="H4">
        <v>0.62169124169478251</v>
      </c>
    </row>
    <row r="5" spans="1:8" x14ac:dyDescent="0.2">
      <c r="A5" t="s">
        <v>91</v>
      </c>
      <c r="B5">
        <v>3.39</v>
      </c>
      <c r="C5">
        <v>3.9</v>
      </c>
      <c r="G5">
        <v>3.645</v>
      </c>
      <c r="H5">
        <v>0.36062445840513907</v>
      </c>
    </row>
    <row r="6" spans="1:8" x14ac:dyDescent="0.2">
      <c r="A6" t="s">
        <v>92</v>
      </c>
      <c r="B6">
        <v>3.97</v>
      </c>
      <c r="C6">
        <v>2.9</v>
      </c>
      <c r="G6">
        <v>3.4350000000000001</v>
      </c>
      <c r="H6">
        <v>0.75660425586960811</v>
      </c>
    </row>
    <row r="7" spans="1:8" x14ac:dyDescent="0.2">
      <c r="A7" t="s">
        <v>93</v>
      </c>
      <c r="B7">
        <v>4.82</v>
      </c>
      <c r="C7">
        <v>3.73</v>
      </c>
      <c r="G7">
        <v>4.2750000000000004</v>
      </c>
      <c r="H7">
        <v>0.77074639149333868</v>
      </c>
    </row>
    <row r="8" spans="1:8" x14ac:dyDescent="0.2">
      <c r="A8" t="s">
        <v>94</v>
      </c>
      <c r="B8">
        <v>6.44</v>
      </c>
      <c r="C8">
        <v>4.22</v>
      </c>
      <c r="D8">
        <v>3.03</v>
      </c>
      <c r="G8">
        <v>4.5633333333333335</v>
      </c>
      <c r="H8">
        <v>1.730732022392067</v>
      </c>
    </row>
    <row r="9" spans="1:8" x14ac:dyDescent="0.2">
      <c r="A9" t="s">
        <v>95</v>
      </c>
      <c r="B9">
        <v>6.75</v>
      </c>
      <c r="C9">
        <v>8.0299999999999994</v>
      </c>
      <c r="G9">
        <v>7.39</v>
      </c>
      <c r="H9">
        <v>0.9050966799187804</v>
      </c>
    </row>
    <row r="10" spans="1:8" x14ac:dyDescent="0.2">
      <c r="A10" t="s">
        <v>96</v>
      </c>
      <c r="B10">
        <v>6.27</v>
      </c>
      <c r="C10">
        <v>7.23</v>
      </c>
      <c r="D10">
        <v>6.41</v>
      </c>
      <c r="G10">
        <v>6.6366666666666667</v>
      </c>
      <c r="H10">
        <v>0.51858782605585108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3"/>
  <sheetViews>
    <sheetView workbookViewId="0">
      <selection activeCell="N12" sqref="N12"/>
    </sheetView>
  </sheetViews>
  <sheetFormatPr baseColWidth="10" defaultColWidth="8.83203125" defaultRowHeight="15" x14ac:dyDescent="0.2"/>
  <sheetData>
    <row r="1" spans="1:12" ht="17" x14ac:dyDescent="0.25">
      <c r="A1" t="s">
        <v>99</v>
      </c>
      <c r="B1" t="s">
        <v>51</v>
      </c>
      <c r="H1" t="s">
        <v>9</v>
      </c>
    </row>
    <row r="2" spans="1:12" x14ac:dyDescent="0.2">
      <c r="A2" t="s">
        <v>100</v>
      </c>
      <c r="B2">
        <v>1.1454900555013041</v>
      </c>
      <c r="C2">
        <v>1.1484567176355702</v>
      </c>
      <c r="D2">
        <v>1.1512008801097664</v>
      </c>
      <c r="E2">
        <f>AVERAGE(B2:D2)</f>
        <v>1.1483825510822137</v>
      </c>
      <c r="F2">
        <f>STDEV(B2:D2)</f>
        <v>2.856134614366452E-3</v>
      </c>
      <c r="H2">
        <v>2.89</v>
      </c>
      <c r="I2">
        <v>2.79</v>
      </c>
      <c r="J2">
        <v>3.12</v>
      </c>
      <c r="K2">
        <f>AVERAGE(H2:J2)</f>
        <v>2.9333333333333336</v>
      </c>
      <c r="L2">
        <f>STDEV(H2:J2)</f>
        <v>0.16921386861996077</v>
      </c>
    </row>
    <row r="3" spans="1:12" x14ac:dyDescent="0.2">
      <c r="A3" t="s">
        <v>101</v>
      </c>
      <c r="B3">
        <v>0.43850974672122028</v>
      </c>
      <c r="C3">
        <v>0.43878169075019469</v>
      </c>
      <c r="D3">
        <v>0.4402650218173278</v>
      </c>
      <c r="E3">
        <f>AVERAGE(B3:D3)</f>
        <v>0.43918548642958094</v>
      </c>
      <c r="F3">
        <f>STDEV(B3:D3)</f>
        <v>9.447411702535526E-4</v>
      </c>
      <c r="H3">
        <v>6.27</v>
      </c>
      <c r="I3">
        <v>7.23</v>
      </c>
      <c r="J3">
        <v>6.41</v>
      </c>
      <c r="K3">
        <f>AVERAGE(H3:J3)</f>
        <v>6.6366666666666667</v>
      </c>
      <c r="L3">
        <f>STDEV(H3:J3)</f>
        <v>0.51858782605585108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4"/>
  <sheetViews>
    <sheetView workbookViewId="0">
      <selection activeCell="B11" sqref="B11:H29"/>
    </sheetView>
  </sheetViews>
  <sheetFormatPr baseColWidth="10" defaultColWidth="8.83203125" defaultRowHeight="15" x14ac:dyDescent="0.2"/>
  <sheetData>
    <row r="1" spans="1:12" ht="17" x14ac:dyDescent="0.25">
      <c r="B1" t="s">
        <v>18</v>
      </c>
      <c r="H1" t="s">
        <v>9</v>
      </c>
    </row>
    <row r="2" spans="1:12" x14ac:dyDescent="0.2">
      <c r="A2" t="s">
        <v>14</v>
      </c>
      <c r="B2" t="s">
        <v>15</v>
      </c>
      <c r="C2" t="s">
        <v>2</v>
      </c>
      <c r="D2" t="s">
        <v>4</v>
      </c>
      <c r="E2" t="s">
        <v>16</v>
      </c>
      <c r="F2" t="s">
        <v>17</v>
      </c>
      <c r="H2" t="s">
        <v>15</v>
      </c>
      <c r="I2" t="s">
        <v>2</v>
      </c>
      <c r="J2" t="s">
        <v>4</v>
      </c>
      <c r="K2" t="s">
        <v>16</v>
      </c>
      <c r="L2" t="s">
        <v>17</v>
      </c>
    </row>
    <row r="3" spans="1:12" x14ac:dyDescent="0.2">
      <c r="A3" t="s">
        <v>42</v>
      </c>
      <c r="B3">
        <v>1.2940580229669094</v>
      </c>
      <c r="C3">
        <v>1.3951346740998034</v>
      </c>
      <c r="D3">
        <v>1.4075822939714953</v>
      </c>
      <c r="E3">
        <f>AVERAGE(B3:D3)</f>
        <v>1.3655916636794025</v>
      </c>
      <c r="F3">
        <f>STDEV(B3:D3)</f>
        <v>6.2261803100340671E-2</v>
      </c>
      <c r="H3">
        <v>4.7300000000000004</v>
      </c>
      <c r="I3">
        <v>4.93</v>
      </c>
      <c r="J3">
        <v>5.15</v>
      </c>
      <c r="K3">
        <f>AVERAGE(H3:J3)</f>
        <v>4.9366666666666665</v>
      </c>
      <c r="L3">
        <f>STDEV(H3:J3)</f>
        <v>0.21007935008784973</v>
      </c>
    </row>
    <row r="4" spans="1:12" x14ac:dyDescent="0.2">
      <c r="A4" t="s">
        <v>103</v>
      </c>
      <c r="B4">
        <v>0.89303946896747799</v>
      </c>
      <c r="C4">
        <v>1.0800627943485086</v>
      </c>
      <c r="D4">
        <v>1.0800627943485086</v>
      </c>
      <c r="E4">
        <f>AVERAGE(B4:D4)</f>
        <v>1.017721685888165</v>
      </c>
      <c r="F4">
        <f>STDEV(B4:D4)</f>
        <v>0.10797796725347698</v>
      </c>
      <c r="H4">
        <v>3.1</v>
      </c>
      <c r="I4">
        <v>2.6</v>
      </c>
      <c r="J4">
        <v>2.72</v>
      </c>
      <c r="K4">
        <f>AVERAGE(H4:J4)</f>
        <v>2.8066666666666666</v>
      </c>
      <c r="L4">
        <f>STDEV(H4:J4)</f>
        <v>0.26102362600602519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4"/>
  <sheetViews>
    <sheetView workbookViewId="0">
      <selection activeCell="P35" sqref="P35"/>
    </sheetView>
  </sheetViews>
  <sheetFormatPr baseColWidth="10" defaultColWidth="8.83203125" defaultRowHeight="15" x14ac:dyDescent="0.2"/>
  <sheetData>
    <row r="1" spans="1:12" ht="17" x14ac:dyDescent="0.25">
      <c r="B1" t="s">
        <v>18</v>
      </c>
      <c r="H1" t="s">
        <v>9</v>
      </c>
    </row>
    <row r="2" spans="1:12" x14ac:dyDescent="0.2">
      <c r="A2" t="s">
        <v>14</v>
      </c>
      <c r="B2" t="s">
        <v>15</v>
      </c>
      <c r="C2" t="s">
        <v>2</v>
      </c>
      <c r="D2" t="s">
        <v>4</v>
      </c>
      <c r="E2" t="s">
        <v>16</v>
      </c>
      <c r="F2" t="s">
        <v>17</v>
      </c>
      <c r="H2" t="s">
        <v>15</v>
      </c>
      <c r="I2" t="s">
        <v>2</v>
      </c>
      <c r="J2" t="s">
        <v>4</v>
      </c>
      <c r="K2" t="s">
        <v>16</v>
      </c>
      <c r="L2" t="s">
        <v>17</v>
      </c>
    </row>
    <row r="3" spans="1:12" x14ac:dyDescent="0.2">
      <c r="A3" t="s">
        <v>47</v>
      </c>
      <c r="B3">
        <v>1.8422230188259434</v>
      </c>
      <c r="C3">
        <v>2.3397569809268348</v>
      </c>
      <c r="D3">
        <v>2.233847142733532</v>
      </c>
      <c r="E3">
        <f>AVERAGE(B3:D3)</f>
        <v>2.1386090474954371</v>
      </c>
      <c r="F3">
        <f>STDEV(B3:D3)</f>
        <v>0.26208344463049971</v>
      </c>
      <c r="H3">
        <v>4.3600000000000003</v>
      </c>
      <c r="I3">
        <v>3.82</v>
      </c>
      <c r="J3">
        <v>3.96</v>
      </c>
      <c r="K3">
        <f>AVERAGE(H3:J3)</f>
        <v>4.0466666666666669</v>
      </c>
      <c r="L3">
        <f>STDEV(H3:J3)</f>
        <v>0.28023799409311628</v>
      </c>
    </row>
    <row r="4" spans="1:12" x14ac:dyDescent="0.2">
      <c r="A4" t="s">
        <v>104</v>
      </c>
      <c r="B4">
        <v>1.9557720120149817</v>
      </c>
      <c r="C4">
        <v>1.6712567522466286</v>
      </c>
      <c r="D4">
        <v>1.5625903904869034</v>
      </c>
      <c r="E4">
        <f>AVERAGE(B4:D4)</f>
        <v>1.729873051582838</v>
      </c>
      <c r="F4">
        <f>STDEV(B4:D4)</f>
        <v>0.20303903513306581</v>
      </c>
      <c r="H4">
        <v>5.22</v>
      </c>
      <c r="I4">
        <v>6.59</v>
      </c>
      <c r="J4">
        <v>4.26</v>
      </c>
      <c r="K4">
        <f>AVERAGE(H4:J4)</f>
        <v>5.3566666666666665</v>
      </c>
      <c r="L4">
        <f>STDEV(H4:J4)</f>
        <v>1.1709967264400567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5"/>
  <sheetViews>
    <sheetView workbookViewId="0">
      <selection activeCell="K32" sqref="K32"/>
    </sheetView>
  </sheetViews>
  <sheetFormatPr baseColWidth="10" defaultColWidth="8.83203125" defaultRowHeight="15" x14ac:dyDescent="0.2"/>
  <sheetData>
    <row r="1" spans="1:12" x14ac:dyDescent="0.2">
      <c r="B1" t="s">
        <v>18</v>
      </c>
      <c r="H1" t="s">
        <v>19</v>
      </c>
    </row>
    <row r="2" spans="1:12" x14ac:dyDescent="0.2">
      <c r="A2" t="s">
        <v>14</v>
      </c>
      <c r="B2" t="s">
        <v>15</v>
      </c>
      <c r="C2" t="s">
        <v>2</v>
      </c>
      <c r="D2" t="s">
        <v>4</v>
      </c>
      <c r="E2" t="s">
        <v>16</v>
      </c>
      <c r="F2" t="s">
        <v>17</v>
      </c>
      <c r="H2" t="s">
        <v>15</v>
      </c>
      <c r="I2" t="s">
        <v>2</v>
      </c>
      <c r="J2" t="s">
        <v>4</v>
      </c>
      <c r="K2" t="s">
        <v>16</v>
      </c>
      <c r="L2" t="s">
        <v>17</v>
      </c>
    </row>
    <row r="3" spans="1:12" x14ac:dyDescent="0.2">
      <c r="A3" t="s">
        <v>49</v>
      </c>
      <c r="B3">
        <v>2.0790783388501537</v>
      </c>
      <c r="C3">
        <v>2.3767284081038569</v>
      </c>
      <c r="D3">
        <v>2.3767284081038569</v>
      </c>
      <c r="E3">
        <f>AVERAGE(B3:D3)</f>
        <v>2.2775117183526223</v>
      </c>
      <c r="F3">
        <f>STDEV(B3:D3)</f>
        <v>0.1718483476079363</v>
      </c>
      <c r="H3">
        <v>1.87</v>
      </c>
      <c r="I3">
        <v>2.09</v>
      </c>
      <c r="J3">
        <v>1.89</v>
      </c>
      <c r="K3">
        <f>AVERAGE(H3:J3)</f>
        <v>1.95</v>
      </c>
      <c r="L3">
        <f>STDEV(H3:J3)</f>
        <v>0.1216552506059643</v>
      </c>
    </row>
    <row r="4" spans="1:12" x14ac:dyDescent="0.2">
      <c r="A4" t="s">
        <v>105</v>
      </c>
      <c r="B4">
        <v>2.140901941451276</v>
      </c>
      <c r="C4">
        <v>2.0258703664577316</v>
      </c>
      <c r="D4">
        <v>2.1758926684977817</v>
      </c>
      <c r="E4">
        <f t="shared" ref="E4:E5" si="0">AVERAGE(B4:D4)</f>
        <v>2.1142216588022631</v>
      </c>
      <c r="F4">
        <f t="shared" ref="F4:F5" si="1">STDEV(B4:D4)</f>
        <v>7.8489176890972845E-2</v>
      </c>
      <c r="H4">
        <v>1.88</v>
      </c>
      <c r="I4">
        <v>1.6</v>
      </c>
      <c r="J4">
        <v>1.73</v>
      </c>
      <c r="K4">
        <f t="shared" ref="K4:K5" si="2">AVERAGE(H4:J4)</f>
        <v>1.7366666666666666</v>
      </c>
      <c r="L4">
        <f t="shared" ref="L4:L5" si="3">STDEV(H4:J4)</f>
        <v>0.14011899704655792</v>
      </c>
    </row>
    <row r="5" spans="1:12" x14ac:dyDescent="0.2">
      <c r="A5" t="s">
        <v>106</v>
      </c>
      <c r="B5">
        <v>2.3052210249548089</v>
      </c>
      <c r="C5">
        <v>2.5798178275465409</v>
      </c>
      <c r="D5">
        <v>2.3767284081038569</v>
      </c>
      <c r="E5">
        <f t="shared" si="0"/>
        <v>2.4205890868684019</v>
      </c>
      <c r="F5">
        <f t="shared" si="1"/>
        <v>0.14245585405544287</v>
      </c>
      <c r="H5">
        <v>2.02</v>
      </c>
      <c r="I5">
        <v>2.3199999999999998</v>
      </c>
      <c r="J5">
        <v>2.02</v>
      </c>
      <c r="K5">
        <f t="shared" si="2"/>
        <v>2.1199999999999997</v>
      </c>
      <c r="L5">
        <f t="shared" si="3"/>
        <v>0.17320508075688762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Fig. 2b</vt:lpstr>
      <vt:lpstr>Fig. 2c</vt:lpstr>
      <vt:lpstr>Fig. 2d</vt:lpstr>
      <vt:lpstr>Fig. 3a</vt:lpstr>
      <vt:lpstr>Fig. 3b</vt:lpstr>
      <vt:lpstr>Fig. 4b</vt:lpstr>
      <vt:lpstr>Fig. 4c</vt:lpstr>
      <vt:lpstr>Fig. 4d</vt:lpstr>
      <vt:lpstr>Fig. 4e</vt:lpstr>
      <vt:lpstr>Fig. 4f</vt:lpstr>
      <vt:lpstr>Fig. 5c</vt:lpstr>
      <vt:lpstr>Fig. 5d</vt:lpstr>
      <vt:lpstr>Fig. S3a</vt:lpstr>
      <vt:lpstr>Fig. S3b</vt:lpstr>
      <vt:lpstr>Fig. S5</vt:lpstr>
      <vt:lpstr>Fig. S6</vt:lpstr>
      <vt:lpstr>Fig. S7a</vt:lpstr>
      <vt:lpstr>Fig. S7b</vt:lpstr>
      <vt:lpstr>Fig. S9</vt:lpstr>
      <vt:lpstr>Fig. S10</vt:lpstr>
      <vt:lpstr>Fig.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2026-09-03T17:00:35Z</dcterms:modified>
</cp:coreProperties>
</file>