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eleacuk-my.sharepoint.com/personal/e_carter2_keele_ac_uk/Documents/Documents/Work/manuscripts/Listvenites/Revision 2/Proofs/Edited files/"/>
    </mc:Choice>
  </mc:AlternateContent>
  <xr:revisionPtr revIDLastSave="48" documentId="8_{F3E8C9F0-A735-4D13-97DA-8FF62EC810EB}" xr6:coauthVersionLast="47" xr6:coauthVersionMax="47" xr10:uidLastSave="{72DA291D-3393-4206-9B69-0BC2E4AEBA1D}"/>
  <bookViews>
    <workbookView xWindow="-108" yWindow="-108" windowWidth="23256" windowHeight="12456" xr2:uid="{91248E65-D8FE-410B-9930-D177A1E8C068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D22" i="1"/>
  <c r="C14" i="1"/>
  <c r="D14" i="1"/>
  <c r="D6" i="1" l="1"/>
  <c r="D25" i="1"/>
  <c r="D24" i="1"/>
  <c r="D23" i="1"/>
  <c r="D7" i="1" l="1"/>
  <c r="E10" i="1"/>
  <c r="C10" i="1" s="1"/>
  <c r="E9" i="1"/>
  <c r="C9" i="1" s="1"/>
  <c r="D13" i="1"/>
  <c r="E8" i="1"/>
  <c r="C8" i="1" s="1"/>
  <c r="C17" i="1" l="1"/>
  <c r="F10" i="1"/>
  <c r="D17" i="1"/>
  <c r="F5" i="1"/>
  <c r="C18" i="1" l="1"/>
  <c r="F4" i="1" l="1"/>
  <c r="F7" i="1"/>
  <c r="F6" i="1"/>
  <c r="H6" i="1" s="1"/>
  <c r="J6" i="1" s="1"/>
  <c r="I6" i="1" l="1"/>
  <c r="M6" i="1"/>
  <c r="K6" i="1"/>
  <c r="S6" i="1" s="1"/>
  <c r="H10" i="1"/>
  <c r="J10" i="1" s="1"/>
  <c r="H7" i="1"/>
  <c r="J7" i="1" s="1"/>
  <c r="Q6" i="1" l="1"/>
  <c r="N6" i="1"/>
  <c r="L6" i="1"/>
  <c r="I10" i="1"/>
  <c r="K10" i="1"/>
  <c r="S10" i="1" s="1"/>
  <c r="M10" i="1"/>
  <c r="M7" i="1"/>
  <c r="I7" i="1"/>
  <c r="K7" i="1"/>
  <c r="S7" i="1" s="1"/>
  <c r="L7" i="1" l="1"/>
  <c r="N10" i="1"/>
  <c r="L10" i="1"/>
  <c r="Q10" i="1"/>
  <c r="Q7" i="1"/>
  <c r="N7" i="1"/>
  <c r="F9" i="1"/>
  <c r="F8" i="1"/>
  <c r="H8" i="1" l="1"/>
  <c r="H24" i="1"/>
  <c r="H9" i="1"/>
  <c r="H23" i="1"/>
  <c r="H25" i="1"/>
  <c r="J9" i="1" l="1"/>
  <c r="F25" i="1"/>
  <c r="G25" i="1" s="1"/>
  <c r="I25" i="1" s="1"/>
  <c r="F23" i="1"/>
  <c r="G23" i="1" s="1"/>
  <c r="I23" i="1" s="1"/>
  <c r="J8" i="1"/>
  <c r="F24" i="1"/>
  <c r="G24" i="1" s="1"/>
  <c r="I24" i="1" s="1"/>
  <c r="M9" i="1" l="1"/>
  <c r="K9" i="1"/>
  <c r="S9" i="1" s="1"/>
  <c r="I9" i="1"/>
  <c r="I8" i="1"/>
  <c r="K8" i="1"/>
  <c r="S8" i="1" s="1"/>
  <c r="M8" i="1"/>
  <c r="L8" i="1" l="1"/>
  <c r="N8" i="1"/>
  <c r="Q8" i="1"/>
  <c r="L9" i="1"/>
  <c r="N9" i="1"/>
  <c r="Q9" i="1"/>
</calcChain>
</file>

<file path=xl/sharedStrings.xml><?xml version="1.0" encoding="utf-8"?>
<sst xmlns="http://schemas.openxmlformats.org/spreadsheetml/2006/main" count="96" uniqueCount="61">
  <si>
    <t>1/2 Max</t>
  </si>
  <si>
    <r>
      <t>Cretaceous seawater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</si>
  <si>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UHP carbonate dissolution</t>
    </r>
    <r>
      <rPr>
        <vertAlign val="superscript"/>
        <sz val="11"/>
        <color theme="1"/>
        <rFont val="Aptos Narrow"/>
        <family val="2"/>
        <scheme val="minor"/>
      </rPr>
      <t>b</t>
    </r>
  </si>
  <si>
    <r>
      <t>Low salinity groundwater</t>
    </r>
    <r>
      <rPr>
        <vertAlign val="superscript"/>
        <sz val="11"/>
        <color theme="1"/>
        <rFont val="Aptos Narrow"/>
        <family val="2"/>
        <scheme val="minor"/>
      </rPr>
      <t>d</t>
    </r>
  </si>
  <si>
    <t>Mean</t>
  </si>
  <si>
    <t>Br/Cl</t>
  </si>
  <si>
    <t>I/Cl</t>
  </si>
  <si>
    <t>Initial fluid</t>
  </si>
  <si>
    <t>Expelled fluid</t>
  </si>
  <si>
    <t>Fractionated endmember</t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</si>
  <si>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/Cl</t>
    </r>
  </si>
  <si>
    <r>
      <t>XCO</t>
    </r>
    <r>
      <rPr>
        <vertAlign val="subscript"/>
        <sz val="11"/>
        <color theme="1"/>
        <rFont val="Aptos Narrow"/>
        <family val="2"/>
        <scheme val="minor"/>
      </rPr>
      <t>2</t>
    </r>
  </si>
  <si>
    <t>ppm</t>
  </si>
  <si>
    <t>wt/wt</t>
  </si>
  <si>
    <t>mol/mol</t>
  </si>
  <si>
    <t>kg</t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</si>
  <si>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</si>
  <si>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fluid</t>
    </r>
  </si>
  <si>
    <r>
      <t>XCO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fluid</t>
    </r>
  </si>
  <si>
    <t>Cl fluid</t>
  </si>
  <si>
    <t>Mass fluid total</t>
  </si>
  <si>
    <r>
      <t>R</t>
    </r>
    <r>
      <rPr>
        <vertAlign val="subscript"/>
        <sz val="11"/>
        <color theme="1"/>
        <rFont val="Aptos Narrow"/>
        <family val="2"/>
        <scheme val="minor"/>
      </rPr>
      <t>Br</t>
    </r>
  </si>
  <si>
    <r>
      <t>R</t>
    </r>
    <r>
      <rPr>
        <vertAlign val="subscript"/>
        <sz val="11"/>
        <color theme="1"/>
        <rFont val="Aptos Narrow"/>
        <family val="2"/>
        <scheme val="minor"/>
      </rPr>
      <t>I</t>
    </r>
  </si>
  <si>
    <r>
      <t>R</t>
    </r>
    <r>
      <rPr>
        <vertAlign val="subscript"/>
        <sz val="11"/>
        <color theme="1"/>
        <rFont val="Aptos Narrow"/>
        <family val="2"/>
        <scheme val="minor"/>
      </rPr>
      <t>Cl</t>
    </r>
    <r>
      <rPr>
        <sz val="11"/>
        <color theme="1"/>
        <rFont val="Aptos Narrow"/>
        <family val="2"/>
        <scheme val="minor"/>
      </rPr>
      <t xml:space="preserve"> (I)</t>
    </r>
  </si>
  <si>
    <r>
      <t>R</t>
    </r>
    <r>
      <rPr>
        <vertAlign val="subscript"/>
        <sz val="11"/>
        <color theme="1"/>
        <rFont val="Aptos Narrow"/>
        <family val="2"/>
        <scheme val="minor"/>
      </rPr>
      <t>Cl</t>
    </r>
    <r>
      <rPr>
        <sz val="11"/>
        <color theme="1"/>
        <rFont val="Aptos Narrow"/>
        <family val="2"/>
        <scheme val="minor"/>
      </rPr>
      <t xml:space="preserve"> (II)</t>
    </r>
  </si>
  <si>
    <t>-</t>
  </si>
  <si>
    <r>
      <t>g Cl/g CO</t>
    </r>
    <r>
      <rPr>
        <i/>
        <vertAlign val="subscript"/>
        <sz val="11"/>
        <color theme="1"/>
        <rFont val="Aptos Narrow"/>
        <family val="2"/>
        <scheme val="minor"/>
      </rPr>
      <t>2</t>
    </r>
  </si>
  <si>
    <r>
      <t>Cl</t>
    </r>
    <r>
      <rPr>
        <vertAlign val="superscript"/>
        <sz val="11"/>
        <color theme="1"/>
        <rFont val="Aptos Narrow"/>
        <family val="2"/>
        <scheme val="minor"/>
      </rPr>
      <t>e</t>
    </r>
  </si>
  <si>
    <r>
      <t>Carbonate decarbonation (fluxed)</t>
    </r>
    <r>
      <rPr>
        <vertAlign val="superscript"/>
        <sz val="11"/>
        <color theme="1"/>
        <rFont val="Aptos Narrow"/>
        <family val="2"/>
        <scheme val="minor"/>
      </rPr>
      <t>c</t>
    </r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</si>
  <si>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/Cl fluid</t>
    </r>
  </si>
  <si>
    <r>
      <t>g Br/g CO</t>
    </r>
    <r>
      <rPr>
        <i/>
        <vertAlign val="subscript"/>
        <sz val="11"/>
        <color theme="1"/>
        <rFont val="Aptos Narrow"/>
        <family val="2"/>
        <scheme val="minor"/>
      </rPr>
      <t>2</t>
    </r>
  </si>
  <si>
    <r>
      <t>g I/g CO</t>
    </r>
    <r>
      <rPr>
        <i/>
        <vertAlign val="subscript"/>
        <sz val="11"/>
        <color theme="1"/>
        <rFont val="Aptos Narrow"/>
        <family val="2"/>
        <scheme val="minor"/>
      </rPr>
      <t>2</t>
    </r>
  </si>
  <si>
    <r>
      <rPr>
        <vertAlign val="superscript"/>
        <sz val="11"/>
        <color theme="1"/>
        <rFont val="Aptos Narrow"/>
        <family val="2"/>
        <scheme val="minor"/>
      </rPr>
      <t xml:space="preserve">c </t>
    </r>
    <r>
      <rPr>
        <sz val="11"/>
        <color theme="1"/>
        <rFont val="Aptos Narrow"/>
        <family val="2"/>
        <scheme val="minor"/>
      </rPr>
      <t>Gorman et al. 2006 - XCO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of fluids released from slab by decarbonation &lt;0.2</t>
    </r>
  </si>
  <si>
    <r>
      <rPr>
        <vertAlign val="superscript"/>
        <sz val="11"/>
        <color theme="1"/>
        <rFont val="Aptos Narrow"/>
        <family val="2"/>
        <scheme val="minor"/>
      </rPr>
      <t xml:space="preserve">b </t>
    </r>
    <r>
      <rPr>
        <sz val="11"/>
        <color theme="1"/>
        <rFont val="Aptos Narrow"/>
        <family val="2"/>
        <scheme val="minor"/>
      </rPr>
      <t>Kelemen and Manning 2015 -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solubility in fluids up to 3 wt% at UHP conditions</t>
    </r>
  </si>
  <si>
    <r>
      <rPr>
        <vertAlign val="superscript"/>
        <sz val="11"/>
        <color theme="1"/>
        <rFont val="Aptos Narrow"/>
        <family val="2"/>
        <scheme val="minor"/>
      </rPr>
      <t xml:space="preserve">d </t>
    </r>
    <r>
      <rPr>
        <sz val="11"/>
        <color theme="1"/>
        <rFont val="Aptos Narrow"/>
        <family val="2"/>
        <scheme val="minor"/>
      </rPr>
      <t>Paukert Vankeuren et al. 2019 - mean Cl and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of low salinity Oman groundwater</t>
    </r>
  </si>
  <si>
    <r>
      <t>Max CO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</si>
  <si>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rPr>
        <vertAlign val="superscript"/>
        <sz val="11"/>
        <color theme="1"/>
        <rFont val="Aptos Narrow"/>
        <family val="2"/>
        <scheme val="minor"/>
      </rPr>
      <t xml:space="preserve">a </t>
    </r>
    <r>
      <rPr>
        <sz val="11"/>
        <color theme="1"/>
        <rFont val="Aptos Narrow"/>
        <family val="2"/>
        <scheme val="minor"/>
      </rPr>
      <t>Wallman et al. 2001 - 100 ppm C</t>
    </r>
  </si>
  <si>
    <t>g/g</t>
  </si>
  <si>
    <t>Min</t>
  </si>
  <si>
    <t>PF Cl flux</t>
  </si>
  <si>
    <t>Deep Cl flux</t>
  </si>
  <si>
    <t>g/yr</t>
  </si>
  <si>
    <r>
      <t>Deep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flux</t>
    </r>
  </si>
  <si>
    <r>
      <t>Prop Cl</t>
    </r>
    <r>
      <rPr>
        <vertAlign val="subscript"/>
        <sz val="11"/>
        <color theme="1"/>
        <rFont val="Aptos Narrow"/>
        <family val="2"/>
        <scheme val="minor"/>
      </rPr>
      <t>PF</t>
    </r>
  </si>
  <si>
    <r>
      <t>Prop CO</t>
    </r>
    <r>
      <rPr>
        <vertAlign val="subscript"/>
        <sz val="11"/>
        <color theme="1"/>
        <rFont val="Aptos Narrow"/>
        <family val="2"/>
        <scheme val="minor"/>
      </rPr>
      <t>2 PF</t>
    </r>
  </si>
  <si>
    <r>
      <t>Prop</t>
    </r>
    <r>
      <rPr>
        <vertAlign val="subscript"/>
        <sz val="11"/>
        <color theme="1"/>
        <rFont val="Aptos Narrow"/>
        <family val="2"/>
        <scheme val="minor"/>
      </rPr>
      <t>PF</t>
    </r>
  </si>
  <si>
    <r>
      <t>Estimating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/Cl of fluid</t>
    </r>
  </si>
  <si>
    <r>
      <t>Estimating deep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flux</t>
    </r>
  </si>
  <si>
    <r>
      <t>Approx. total CO</t>
    </r>
    <r>
      <rPr>
        <vertAlign val="subscript"/>
        <sz val="11"/>
        <color theme="1"/>
        <rFont val="Aptos Narrow"/>
        <family val="2"/>
        <scheme val="minor"/>
      </rPr>
      <t xml:space="preserve">2 </t>
    </r>
  </si>
  <si>
    <t>Carbon source</t>
  </si>
  <si>
    <r>
      <t>R</t>
    </r>
    <r>
      <rPr>
        <vertAlign val="subscript"/>
        <sz val="11"/>
        <color theme="1"/>
        <rFont val="Aptos Narrow"/>
        <family val="2"/>
        <scheme val="minor"/>
      </rPr>
      <t>Cl</t>
    </r>
    <r>
      <rPr>
        <sz val="11"/>
        <color theme="1"/>
        <rFont val="Aptos Narrow"/>
        <family val="2"/>
        <scheme val="minor"/>
      </rPr>
      <t xml:space="preserve"> (exp) </t>
    </r>
    <r>
      <rPr>
        <vertAlign val="superscript"/>
        <sz val="11"/>
        <color theme="1"/>
        <rFont val="Aptos Narrow"/>
        <family val="2"/>
        <scheme val="minor"/>
      </rPr>
      <t>g</t>
    </r>
  </si>
  <si>
    <r>
      <rPr>
        <vertAlign val="superscript"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2"/>
        <scheme val="minor"/>
      </rPr>
      <t>Initial rate of Cl loss calculated from exponential fit of Cl to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data</t>
    </r>
  </si>
  <si>
    <r>
      <rPr>
        <vertAlign val="superscript"/>
        <sz val="11"/>
        <color theme="1"/>
        <rFont val="Aptos Narrow"/>
        <family val="2"/>
        <scheme val="minor"/>
      </rPr>
      <t>h</t>
    </r>
    <r>
      <rPr>
        <sz val="11"/>
        <color theme="1"/>
        <rFont val="Aptos Narrow"/>
        <family val="2"/>
        <scheme val="minor"/>
      </rPr>
      <t>Jarrard 2003</t>
    </r>
  </si>
  <si>
    <r>
      <t xml:space="preserve">Pore fluid flux @ 10km </t>
    </r>
    <r>
      <rPr>
        <vertAlign val="superscript"/>
        <sz val="11"/>
        <color theme="1"/>
        <rFont val="Aptos Narrow"/>
        <family val="2"/>
        <scheme val="minor"/>
      </rPr>
      <t>h</t>
    </r>
  </si>
  <si>
    <r>
      <rPr>
        <vertAlign val="superscript"/>
        <sz val="11"/>
        <color theme="1"/>
        <rFont val="Aptos Narrow"/>
        <family val="2"/>
        <scheme val="minor"/>
      </rPr>
      <t xml:space="preserve">e </t>
    </r>
    <r>
      <rPr>
        <sz val="11"/>
        <color theme="1"/>
        <rFont val="Aptos Narrow"/>
        <family val="2"/>
        <scheme val="minor"/>
      </rPr>
      <t>Cl concentration in decarbonation fluids assumed to derive from dehydration of clay with 20 ppm Cl and 7% 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 and carbonates with 100 ppm Cl and 44% CO2</t>
    </r>
  </si>
  <si>
    <r>
      <t xml:space="preserve">Min fluid/rock </t>
    </r>
    <r>
      <rPr>
        <vertAlign val="superscript"/>
        <sz val="11"/>
        <color theme="1"/>
        <rFont val="Aptos Narrow"/>
        <family val="2"/>
        <scheme val="minor"/>
      </rPr>
      <t>f</t>
    </r>
  </si>
  <si>
    <r>
      <rPr>
        <vertAlign val="superscript"/>
        <sz val="11"/>
        <color theme="1"/>
        <rFont val="Aptos Narrow"/>
        <family val="2"/>
        <scheme val="minor"/>
      </rPr>
      <t xml:space="preserve">f </t>
    </r>
    <r>
      <rPr>
        <sz val="11"/>
        <color theme="1"/>
        <rFont val="Aptos Narrow"/>
        <family val="2"/>
        <scheme val="minor"/>
      </rPr>
      <t>Min fluid/rock ratio to form listvenite if all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in fluid is removed to form carbonate (assuming listvenite CO2 of 34 wt%; Godard et al. 2021) </t>
    </r>
  </si>
  <si>
    <r>
      <t>Initial fluid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/Cl</t>
    </r>
  </si>
  <si>
    <r>
      <rPr>
        <b/>
        <sz val="11"/>
        <color theme="1"/>
        <rFont val="Aptos Narrow"/>
        <family val="2"/>
        <scheme val="minor"/>
      </rPr>
      <t>Supplementary Data 8</t>
    </r>
    <r>
      <rPr>
        <sz val="11"/>
        <color theme="1"/>
        <rFont val="Aptos Narrow"/>
        <family val="2"/>
        <scheme val="minor"/>
      </rPr>
      <t xml:space="preserve"> - fluid evolution and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flux modelling calculations</t>
    </r>
  </si>
  <si>
    <r>
      <rPr>
        <vertAlign val="superscript"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>Barnes et al. 2018 assuming some diagenetic dilution (i.e. salinity &lt; seawater)</t>
    </r>
  </si>
  <si>
    <r>
      <t xml:space="preserve">PF Cl </t>
    </r>
    <r>
      <rPr>
        <vertAlign val="superscript"/>
        <sz val="11"/>
        <color theme="1"/>
        <rFont val="Aptos Narrow"/>
        <family val="2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</si>
</sst>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0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vertAlign val="subscript"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thin">
        <color indexed="64"/>
      </bottom>
      <diagonal/>
    </border>
    <border>
      <left/>
      <right style="medium">
        <color theme="9" tint="-0.249977111117893"/>
      </right>
      <top style="thin">
        <color indexed="64"/>
      </top>
      <bottom/>
      <diagonal/>
    </border>
    <border>
      <left/>
      <right style="medium">
        <color theme="9" tint="-0.249977111117893"/>
      </right>
      <top/>
      <bottom/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indexed="64"/>
      </left>
      <right/>
      <top/>
      <bottom style="medium">
        <color theme="9" tint="-0.24997711111789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9" tint="-0.249977111117893"/>
      </left>
      <right style="thin">
        <color indexed="64"/>
      </right>
      <top/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medium">
        <color theme="9" tint="-0.249977111117893"/>
      </right>
      <top style="thin">
        <color indexed="64"/>
      </top>
      <bottom style="medium">
        <color theme="9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9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9" tint="-0.24997711111789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/>
      <diagonal/>
    </border>
    <border>
      <left/>
      <right style="medium">
        <color theme="8" tint="-0.249977111117893"/>
      </right>
      <top/>
      <bottom/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rgb="FFFFC000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medium">
        <color rgb="FFFFC000"/>
      </right>
      <top style="medium">
        <color rgb="FFFFC000"/>
      </top>
      <bottom style="thin">
        <color indexed="64"/>
      </bottom>
      <diagonal/>
    </border>
    <border>
      <left style="medium">
        <color rgb="FFFFC000"/>
      </left>
      <right/>
      <top/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medium">
        <color rgb="FFFFC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C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3" xfId="0" applyBorder="1"/>
    <xf numFmtId="2" fontId="0" fillId="0" borderId="1" xfId="0" applyNumberFormat="1" applyBorder="1" applyAlignment="1">
      <alignment horizontal="center"/>
    </xf>
    <xf numFmtId="11" fontId="0" fillId="3" borderId="4" xfId="0" applyNumberFormat="1" applyFill="1" applyBorder="1" applyAlignment="1">
      <alignment horizontal="center"/>
    </xf>
    <xf numFmtId="11" fontId="0" fillId="3" borderId="6" xfId="0" applyNumberFormat="1" applyFill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1" fontId="0" fillId="3" borderId="5" xfId="0" applyNumberFormat="1" applyFill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3" borderId="8" xfId="0" applyFill="1" applyBorder="1" applyAlignment="1">
      <alignment horizontal="center"/>
    </xf>
    <xf numFmtId="11" fontId="0" fillId="3" borderId="9" xfId="0" applyNumberFormat="1" applyFill="1" applyBorder="1" applyAlignment="1">
      <alignment horizontal="center"/>
    </xf>
    <xf numFmtId="11" fontId="0" fillId="3" borderId="10" xfId="0" applyNumberFormat="1" applyFill="1" applyBorder="1" applyAlignment="1">
      <alignment horizontal="center"/>
    </xf>
    <xf numFmtId="11" fontId="0" fillId="3" borderId="11" xfId="0" applyNumberFormat="1" applyFill="1" applyBorder="1" applyAlignment="1">
      <alignment horizontal="center"/>
    </xf>
    <xf numFmtId="11" fontId="0" fillId="3" borderId="12" xfId="0" applyNumberForma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2" fontId="0" fillId="3" borderId="17" xfId="0" applyNumberFormat="1" applyFill="1" applyBorder="1" applyAlignment="1">
      <alignment horizontal="center"/>
    </xf>
    <xf numFmtId="2" fontId="2" fillId="3" borderId="18" xfId="0" applyNumberFormat="1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16" xfId="0" applyBorder="1" applyAlignment="1">
      <alignment horizontal="center"/>
    </xf>
    <xf numFmtId="11" fontId="0" fillId="4" borderId="22" xfId="0" applyNumberFormat="1" applyFill="1" applyBorder="1" applyAlignment="1">
      <alignment horizontal="center"/>
    </xf>
    <xf numFmtId="11" fontId="0" fillId="4" borderId="23" xfId="0" applyNumberFormat="1" applyFill="1" applyBorder="1" applyAlignment="1">
      <alignment horizontal="center"/>
    </xf>
    <xf numFmtId="11" fontId="0" fillId="4" borderId="24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21" xfId="0" applyFill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6" fontId="2" fillId="0" borderId="3" xfId="1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0" fontId="0" fillId="0" borderId="23" xfId="0" applyBorder="1"/>
    <xf numFmtId="0" fontId="0" fillId="0" borderId="21" xfId="0" applyBorder="1"/>
    <xf numFmtId="0" fontId="5" fillId="0" borderId="0" xfId="0" applyFont="1"/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9" fontId="0" fillId="5" borderId="1" xfId="1" applyFont="1" applyFill="1" applyBorder="1" applyAlignment="1">
      <alignment horizontal="center"/>
    </xf>
    <xf numFmtId="10" fontId="2" fillId="5" borderId="1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11" fontId="0" fillId="5" borderId="1" xfId="0" applyNumberFormat="1" applyFill="1" applyBorder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11" fontId="0" fillId="6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1" fontId="0" fillId="6" borderId="25" xfId="0" applyNumberForma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11" fontId="0" fillId="6" borderId="28" xfId="0" applyNumberFormat="1" applyFill="1" applyBorder="1" applyAlignment="1">
      <alignment horizontal="center"/>
    </xf>
    <xf numFmtId="11" fontId="0" fillId="6" borderId="30" xfId="0" applyNumberFormat="1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11" fontId="0" fillId="6" borderId="31" xfId="0" applyNumberFormat="1" applyFill="1" applyBorder="1" applyAlignment="1">
      <alignment horizontal="center"/>
    </xf>
    <xf numFmtId="2" fontId="0" fillId="6" borderId="31" xfId="0" applyNumberFormat="1" applyFill="1" applyBorder="1" applyAlignment="1">
      <alignment horizontal="center"/>
    </xf>
    <xf numFmtId="1" fontId="0" fillId="6" borderId="31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11" fontId="2" fillId="6" borderId="29" xfId="0" applyNumberFormat="1" applyFont="1" applyFill="1" applyBorder="1" applyAlignment="1">
      <alignment horizontal="center"/>
    </xf>
    <xf numFmtId="11" fontId="2" fillId="6" borderId="32" xfId="0" applyNumberFormat="1" applyFont="1" applyFill="1" applyBorder="1" applyAlignment="1">
      <alignment horizontal="center"/>
    </xf>
    <xf numFmtId="9" fontId="2" fillId="0" borderId="3" xfId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9" fontId="1" fillId="0" borderId="3" xfId="1" applyFont="1" applyBorder="1" applyAlignment="1">
      <alignment horizontal="center"/>
    </xf>
    <xf numFmtId="166" fontId="1" fillId="0" borderId="3" xfId="1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DB69"/>
      <color rgb="FFFFE38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7DC4-9118-430D-8401-CACA98C01C0F}">
  <dimension ref="A1:S35"/>
  <sheetViews>
    <sheetView tabSelected="1" topLeftCell="A22" zoomScaleNormal="100" workbookViewId="0">
      <selection activeCell="L23" sqref="L23"/>
    </sheetView>
  </sheetViews>
  <sheetFormatPr defaultRowHeight="14.4" x14ac:dyDescent="0.3"/>
  <cols>
    <col min="1" max="1" width="31.6640625" style="3" customWidth="1"/>
    <col min="2" max="2" width="22.88671875" style="3" customWidth="1"/>
    <col min="3" max="3" width="8.33203125" style="3" bestFit="1" customWidth="1"/>
    <col min="4" max="4" width="8.88671875" style="3" bestFit="1" customWidth="1"/>
    <col min="5" max="5" width="7" style="3" bestFit="1" customWidth="1"/>
    <col min="6" max="6" width="9.5546875" style="4" customWidth="1"/>
    <col min="7" max="7" width="11.109375" bestFit="1" customWidth="1"/>
    <col min="8" max="8" width="9.5546875" style="9" bestFit="1" customWidth="1"/>
    <col min="9" max="9" width="13.109375" style="4" bestFit="1" customWidth="1"/>
    <col min="10" max="10" width="6.5546875" style="9" bestFit="1" customWidth="1"/>
    <col min="11" max="11" width="9" style="5" customWidth="1"/>
    <col min="12" max="12" width="14.5546875" style="5" bestFit="1" customWidth="1"/>
    <col min="13" max="13" width="9.5546875" style="5" bestFit="1" customWidth="1"/>
    <col min="14" max="14" width="12.109375" style="4" bestFit="1" customWidth="1"/>
    <col min="15" max="15" width="5" customWidth="1"/>
    <col min="16" max="16" width="15.6640625" style="3" customWidth="1"/>
    <col min="17" max="17" width="15.109375" style="3" customWidth="1"/>
    <col min="18" max="18" width="5" customWidth="1"/>
    <col min="19" max="19" width="14.33203125" bestFit="1" customWidth="1"/>
  </cols>
  <sheetData>
    <row r="1" spans="1:19" ht="15.6" x14ac:dyDescent="0.35">
      <c r="A1" s="8" t="s">
        <v>58</v>
      </c>
    </row>
    <row r="2" spans="1:19" ht="22.2" customHeight="1" x14ac:dyDescent="0.3">
      <c r="A2" s="73" t="s">
        <v>49</v>
      </c>
      <c r="B2" s="73"/>
      <c r="C2" s="73" t="s">
        <v>27</v>
      </c>
      <c r="D2" s="73" t="s">
        <v>11</v>
      </c>
      <c r="E2" s="73" t="s">
        <v>16</v>
      </c>
      <c r="F2" s="101" t="s">
        <v>10</v>
      </c>
      <c r="G2" s="102"/>
      <c r="H2" s="103" t="s">
        <v>43</v>
      </c>
      <c r="I2" s="101" t="s">
        <v>44</v>
      </c>
      <c r="J2" s="103" t="s">
        <v>45</v>
      </c>
      <c r="K2" s="104" t="s">
        <v>17</v>
      </c>
      <c r="L2" s="104" t="s">
        <v>18</v>
      </c>
      <c r="M2" s="104" t="s">
        <v>19</v>
      </c>
      <c r="N2" s="101" t="s">
        <v>29</v>
      </c>
      <c r="O2" s="102"/>
      <c r="P2" s="73" t="s">
        <v>48</v>
      </c>
      <c r="Q2" s="73" t="s">
        <v>20</v>
      </c>
      <c r="R2" s="104"/>
      <c r="S2" s="104" t="s">
        <v>55</v>
      </c>
    </row>
    <row r="3" spans="1:19" s="63" customFormat="1" ht="17.399999999999999" customHeight="1" x14ac:dyDescent="0.3">
      <c r="A3" s="26"/>
      <c r="B3" s="26"/>
      <c r="C3" s="26" t="s">
        <v>12</v>
      </c>
      <c r="D3" s="26"/>
      <c r="E3" s="26" t="s">
        <v>12</v>
      </c>
      <c r="F3" s="27" t="s">
        <v>13</v>
      </c>
      <c r="G3" s="28"/>
      <c r="H3" s="29" t="s">
        <v>13</v>
      </c>
      <c r="I3" s="27" t="s">
        <v>13</v>
      </c>
      <c r="J3" s="29" t="s">
        <v>13</v>
      </c>
      <c r="K3" s="30" t="s">
        <v>12</v>
      </c>
      <c r="L3" s="30" t="s">
        <v>14</v>
      </c>
      <c r="M3" s="30" t="s">
        <v>12</v>
      </c>
      <c r="N3" s="27" t="s">
        <v>13</v>
      </c>
      <c r="O3" s="28"/>
      <c r="P3" s="26" t="s">
        <v>15</v>
      </c>
      <c r="Q3" s="26" t="s">
        <v>15</v>
      </c>
      <c r="R3" s="30"/>
      <c r="S3" s="30" t="s">
        <v>13</v>
      </c>
    </row>
    <row r="4" spans="1:19" ht="17.399999999999999" customHeight="1" x14ac:dyDescent="0.3">
      <c r="A4" s="19" t="s">
        <v>1</v>
      </c>
      <c r="B4" s="19"/>
      <c r="C4" s="19">
        <v>19000</v>
      </c>
      <c r="D4" s="19"/>
      <c r="E4" s="20">
        <v>366.41412038964285</v>
      </c>
      <c r="F4" s="21">
        <f t="shared" ref="F4:F10" si="0">E4/C4</f>
        <v>1.9284953704718045E-2</v>
      </c>
      <c r="G4" s="22"/>
      <c r="H4" s="23" t="s">
        <v>25</v>
      </c>
      <c r="I4" s="21" t="s">
        <v>25</v>
      </c>
      <c r="J4" s="23" t="s">
        <v>25</v>
      </c>
      <c r="K4" s="20" t="s">
        <v>25</v>
      </c>
      <c r="L4" s="20" t="s">
        <v>25</v>
      </c>
      <c r="M4" s="20" t="s">
        <v>25</v>
      </c>
      <c r="N4" s="21" t="s">
        <v>25</v>
      </c>
      <c r="O4" s="22"/>
      <c r="P4" s="19"/>
      <c r="Q4" s="19" t="s">
        <v>25</v>
      </c>
      <c r="R4" s="20"/>
      <c r="S4" s="20"/>
    </row>
    <row r="5" spans="1:19" ht="16.2" x14ac:dyDescent="0.3">
      <c r="A5" s="64" t="s">
        <v>3</v>
      </c>
      <c r="B5" s="64"/>
      <c r="C5" s="65">
        <v>25.56</v>
      </c>
      <c r="D5" s="65"/>
      <c r="E5" s="66">
        <v>154.13999999999999</v>
      </c>
      <c r="F5" s="65">
        <f t="shared" si="0"/>
        <v>6.0305164319248821</v>
      </c>
      <c r="G5" s="67"/>
      <c r="H5" s="68" t="s">
        <v>25</v>
      </c>
      <c r="I5" s="69" t="s">
        <v>25</v>
      </c>
      <c r="J5" s="70" t="s">
        <v>25</v>
      </c>
      <c r="K5" s="66" t="s">
        <v>25</v>
      </c>
      <c r="L5" s="66" t="s">
        <v>25</v>
      </c>
      <c r="M5" s="66" t="s">
        <v>25</v>
      </c>
      <c r="N5" s="65" t="s">
        <v>25</v>
      </c>
      <c r="O5" s="67"/>
      <c r="P5" s="64"/>
      <c r="Q5" s="71" t="s">
        <v>25</v>
      </c>
      <c r="R5" s="66"/>
      <c r="S5" s="66"/>
    </row>
    <row r="6" spans="1:19" ht="16.8" x14ac:dyDescent="0.35">
      <c r="A6" s="10" t="s">
        <v>2</v>
      </c>
      <c r="B6" s="10" t="s">
        <v>35</v>
      </c>
      <c r="C6" s="10">
        <v>10</v>
      </c>
      <c r="D6" s="4">
        <f>18.015*E6*0.000001/(44.01 - (44.01-18.015)*E6*0.000001)</f>
        <v>1.2501691527787899E-2</v>
      </c>
      <c r="E6" s="11">
        <v>30000</v>
      </c>
      <c r="F6" s="11">
        <f t="shared" si="0"/>
        <v>3000</v>
      </c>
      <c r="G6" s="13"/>
      <c r="H6" s="95">
        <f>($C$18-F6)/($F$4-F6)</f>
        <v>0.86656087653847158</v>
      </c>
      <c r="I6" s="96">
        <f>J6*$E$4/(J6*$E$4+(1-J6)*E6)</f>
        <v>4.174410108699179E-5</v>
      </c>
      <c r="J6" s="97">
        <f>H6*C6/($C$4 + H6*C6-H6*$C$4)</f>
        <v>3.4062807640433748E-3</v>
      </c>
      <c r="K6" s="11">
        <f>J6*$E$4+(1-J6)*E6</f>
        <v>29899.059686448654</v>
      </c>
      <c r="L6" s="4">
        <f>18.015*K6*0.000001/(44.01 - (44.01-18.015)*K6*0.000001)</f>
        <v>1.2458871155385775E-2</v>
      </c>
      <c r="M6" s="11">
        <f>J6*$C$4+(1-J6)*C6</f>
        <v>74.685271709183681</v>
      </c>
      <c r="N6" s="12">
        <f>K6/M6</f>
        <v>400.33408197097197</v>
      </c>
      <c r="O6" s="13"/>
      <c r="P6" s="24">
        <v>1000000000000</v>
      </c>
      <c r="Q6" s="24">
        <f>$P$6/(K6/1000000)</f>
        <v>33445867879692.434</v>
      </c>
      <c r="R6" s="11"/>
      <c r="S6" s="11">
        <f>34/(K6/10000)</f>
        <v>11.371595079095428</v>
      </c>
    </row>
    <row r="7" spans="1:19" x14ac:dyDescent="0.3">
      <c r="A7" s="2"/>
      <c r="B7" s="2" t="s">
        <v>0</v>
      </c>
      <c r="C7" s="2">
        <v>10</v>
      </c>
      <c r="D7" s="4">
        <f>18.015*E7*0.000001/(44.01 - (44.01-18.015)*E7*0.000001)</f>
        <v>6.1949687156658941E-3</v>
      </c>
      <c r="E7" s="7">
        <v>15000</v>
      </c>
      <c r="F7" s="7">
        <f t="shared" si="0"/>
        <v>1500</v>
      </c>
      <c r="G7" s="1"/>
      <c r="H7" s="98">
        <f>($C$18-F7)/($F$4-F7)</f>
        <v>0.7331200374766742</v>
      </c>
      <c r="I7" s="99">
        <f>J7*$E$4/(J7*$E$4+(1-J7)*E7)</f>
        <v>3.5315968885616875E-5</v>
      </c>
      <c r="J7" s="100">
        <f>H7*C7/($C$4 + H7*C7-H7*$C$4)</f>
        <v>1.4437037189039676E-3</v>
      </c>
      <c r="K7" s="7">
        <f>J7*$E$4+(1-J7)*E7</f>
        <v>14978.873437644705</v>
      </c>
      <c r="L7" s="4">
        <f t="shared" ref="L7:L9" si="1">18.015*K7*0.000001/(44.01 - (44.01-18.015)*K7*0.000001)</f>
        <v>6.1861656044810438E-3</v>
      </c>
      <c r="M7" s="7">
        <f>J7*$C$4+(1-J7)*C7</f>
        <v>37.415933621986341</v>
      </c>
      <c r="N7" s="14">
        <f t="shared" ref="N7:N9" si="2">K7/M7</f>
        <v>400.3340819709714</v>
      </c>
      <c r="O7" s="1"/>
      <c r="P7" s="2"/>
      <c r="Q7" s="25">
        <f>$P$6/(K7/1000000)</f>
        <v>66760694932291.32</v>
      </c>
      <c r="R7" s="7"/>
      <c r="S7" s="7">
        <f t="shared" ref="S7:S10" si="3">34/(K7/10000)</f>
        <v>22.698636276979052</v>
      </c>
    </row>
    <row r="8" spans="1:19" ht="16.8" x14ac:dyDescent="0.35">
      <c r="A8" s="10" t="s">
        <v>28</v>
      </c>
      <c r="B8" s="10" t="s">
        <v>35</v>
      </c>
      <c r="C8" s="11">
        <f>(20/0.07)*(1-E8/1000000) + (113/0.44)*E8/1000000</f>
        <v>274.7536945812808</v>
      </c>
      <c r="D8" s="10">
        <v>0.2</v>
      </c>
      <c r="E8" s="11">
        <f>1000000*D8*44/(D8*44 + (1-D8)*18)</f>
        <v>379310.34482758614</v>
      </c>
      <c r="F8" s="11">
        <f t="shared" si="0"/>
        <v>1380.5468399820707</v>
      </c>
      <c r="G8" s="13"/>
      <c r="H8" s="92">
        <f>($C$18-F8)/($F$4-F8)</f>
        <v>0.71002766619240598</v>
      </c>
      <c r="I8" s="58">
        <f>J8*$E$4/(J8*$E$4+(1-J8)*E8)</f>
        <v>3.4203559697379004E-5</v>
      </c>
      <c r="J8" s="17">
        <f>H8*C8/($C$4 + H8*C8-H8*$C$4)</f>
        <v>3.4197698831645508E-2</v>
      </c>
      <c r="K8" s="11">
        <f>J8*$E$4+(1-J8)*E8</f>
        <v>366351.33441118151</v>
      </c>
      <c r="L8" s="12">
        <f t="shared" si="1"/>
        <v>0.19137290177589023</v>
      </c>
      <c r="M8" s="11">
        <f>J8*$C$4+(1-J8)*C8</f>
        <v>915.11402828237294</v>
      </c>
      <c r="N8" s="12">
        <f t="shared" si="2"/>
        <v>400.33408197097162</v>
      </c>
      <c r="O8" s="13"/>
      <c r="P8" s="10"/>
      <c r="Q8" s="24">
        <f>$P$6/(K8/1000000)</f>
        <v>2729620192614.4224</v>
      </c>
      <c r="R8" s="11"/>
      <c r="S8" s="11">
        <f t="shared" si="3"/>
        <v>0.92807086548890372</v>
      </c>
    </row>
    <row r="9" spans="1:19" x14ac:dyDescent="0.3">
      <c r="B9" s="3" t="s">
        <v>0</v>
      </c>
      <c r="C9" s="5">
        <f t="shared" ref="C9:C10" si="4">(20/0.07)*(1-E9/1000000) + (113/0.44)*E9/1000000</f>
        <v>279.54230235783632</v>
      </c>
      <c r="D9" s="4">
        <v>0.1</v>
      </c>
      <c r="E9" s="5">
        <f>1000000*D9*44/(D9*44 + (1-D9)*18)</f>
        <v>213592.23300970873</v>
      </c>
      <c r="F9" s="5">
        <f t="shared" si="0"/>
        <v>764.07839245844707</v>
      </c>
      <c r="H9" s="94">
        <f>($C$18-F9)/($F$4-F9)</f>
        <v>0.47606828701432341</v>
      </c>
      <c r="I9" s="60">
        <f>J9*$E$4/(J9*$E$4+(1-J9)*E9)</f>
        <v>2.2933233238986043E-5</v>
      </c>
      <c r="J9" s="33">
        <f>H9*C9/($C$4 + H9*C9-H9*$C$4)</f>
        <v>1.3192315382898494E-2</v>
      </c>
      <c r="K9" s="5">
        <f>J9*$E$4+(1-J9)*E9</f>
        <v>210779.29075914406</v>
      </c>
      <c r="L9" s="4">
        <f t="shared" si="1"/>
        <v>9.8549463759862344E-2</v>
      </c>
      <c r="M9" s="5">
        <f>J9*$C$4+(1-J9)*C9</f>
        <v>526.50848441734161</v>
      </c>
      <c r="N9" s="4">
        <f t="shared" si="2"/>
        <v>400.33408197097162</v>
      </c>
      <c r="Q9" s="6">
        <f>$P$6/(K9/1000000)</f>
        <v>4744299102622.4326</v>
      </c>
      <c r="R9" s="5"/>
      <c r="S9" s="5">
        <f t="shared" si="3"/>
        <v>1.6130616948916272</v>
      </c>
    </row>
    <row r="10" spans="1:19" x14ac:dyDescent="0.3">
      <c r="A10" s="2"/>
      <c r="B10" s="2" t="s">
        <v>38</v>
      </c>
      <c r="C10" s="7">
        <f t="shared" si="4"/>
        <v>282.42042931162098</v>
      </c>
      <c r="D10" s="14">
        <v>0.05</v>
      </c>
      <c r="E10" s="7">
        <f>1000000*D10*44/(D10*44 + (1-D10)*18)</f>
        <v>113989.63730569949</v>
      </c>
      <c r="F10" s="7">
        <f t="shared" si="0"/>
        <v>403.61682610404938</v>
      </c>
      <c r="G10" s="1"/>
      <c r="H10" s="93">
        <f>($C$18-F10)/($F$4-F10)</f>
        <v>8.1337069688809036E-3</v>
      </c>
      <c r="I10" s="59">
        <f>J10*$E$4/(J10*$E$4+(1-J10)*E10)</f>
        <v>3.9181815740080949E-7</v>
      </c>
      <c r="J10" s="18">
        <f>H10*C10/($C$4 + H10*C10-H10*$C$4)</f>
        <v>1.2187790045844114E-4</v>
      </c>
      <c r="K10" s="7">
        <f>J10*$E$4+(1-J10)*E10</f>
        <v>113975.78914581434</v>
      </c>
      <c r="L10" s="14">
        <f t="shared" ref="L10" si="5">18.015*K10*0.000001/(44.01 - (44.01-18.015)*K10*0.000001)</f>
        <v>5.0022263964858531E-2</v>
      </c>
      <c r="M10" s="7">
        <f>J10*$C$4+(1-J10)*C10</f>
        <v>284.70168861136028</v>
      </c>
      <c r="N10" s="14">
        <f t="shared" ref="N10" si="6">K10/M10</f>
        <v>400.33408197097162</v>
      </c>
      <c r="O10" s="1"/>
      <c r="P10" s="2"/>
      <c r="Q10" s="25">
        <f>$P$6/(K10/1000000)</f>
        <v>8773793166903.6758</v>
      </c>
      <c r="R10" s="7"/>
      <c r="S10" s="7">
        <f t="shared" si="3"/>
        <v>2.9830896767472499</v>
      </c>
    </row>
    <row r="11" spans="1:19" ht="15" thickBot="1" x14ac:dyDescent="0.35">
      <c r="B11" s="35"/>
      <c r="C11" s="35"/>
      <c r="D11" s="35"/>
      <c r="G11" s="62"/>
      <c r="Q11" s="6"/>
    </row>
    <row r="12" spans="1:19" ht="16.8" x14ac:dyDescent="0.35">
      <c r="A12" s="42" t="s">
        <v>46</v>
      </c>
      <c r="B12" s="34"/>
      <c r="C12" s="34" t="s">
        <v>5</v>
      </c>
      <c r="D12" s="36" t="s">
        <v>6</v>
      </c>
      <c r="E12" s="4"/>
      <c r="F12" s="61"/>
      <c r="G12" s="55" t="s">
        <v>50</v>
      </c>
      <c r="H12" s="52">
        <v>1.3491107400000001E-2</v>
      </c>
      <c r="I12" s="31" t="s">
        <v>26</v>
      </c>
      <c r="J12" s="5"/>
      <c r="M12" s="4"/>
      <c r="N12"/>
      <c r="O12" s="6"/>
      <c r="P12"/>
    </row>
    <row r="13" spans="1:19" ht="15.6" x14ac:dyDescent="0.35">
      <c r="A13" s="42"/>
      <c r="B13" s="41" t="s">
        <v>7</v>
      </c>
      <c r="C13" s="15">
        <v>3.0000000000000001E-3</v>
      </c>
      <c r="D13" s="37">
        <f>C13/9.6</f>
        <v>3.1250000000000001E-4</v>
      </c>
      <c r="E13" s="4"/>
      <c r="F13" s="57"/>
      <c r="G13" s="55" t="s">
        <v>23</v>
      </c>
      <c r="H13" s="53">
        <v>6.4289999999999998E-3</v>
      </c>
      <c r="I13" s="31" t="s">
        <v>26</v>
      </c>
      <c r="J13" s="5"/>
      <c r="M13" s="4"/>
      <c r="N13"/>
      <c r="O13" s="6"/>
      <c r="P13"/>
    </row>
    <row r="14" spans="1:19" ht="15.6" x14ac:dyDescent="0.35">
      <c r="A14" s="42"/>
      <c r="B14" s="43" t="s">
        <v>8</v>
      </c>
      <c r="C14" s="16">
        <f>H15/H13</f>
        <v>3.0829055840721729E-4</v>
      </c>
      <c r="D14" s="38">
        <f>H16/H13</f>
        <v>2.0080883496655779E-5</v>
      </c>
      <c r="E14" s="4"/>
      <c r="F14" s="57"/>
      <c r="G14" s="55" t="s">
        <v>24</v>
      </c>
      <c r="H14" s="53">
        <v>4.7370000000000002E-4</v>
      </c>
      <c r="I14" s="31" t="s">
        <v>26</v>
      </c>
      <c r="J14" s="5"/>
      <c r="M14" s="4"/>
      <c r="N14"/>
      <c r="O14" s="6"/>
      <c r="P14"/>
    </row>
    <row r="15" spans="1:19" ht="16.2" thickBot="1" x14ac:dyDescent="0.4">
      <c r="A15" s="42"/>
      <c r="B15" s="44" t="s">
        <v>9</v>
      </c>
      <c r="C15" s="40">
        <v>1.07E-3</v>
      </c>
      <c r="D15" s="39">
        <v>1.01E-4</v>
      </c>
      <c r="E15" s="4"/>
      <c r="F15" s="57"/>
      <c r="G15" s="55" t="s">
        <v>21</v>
      </c>
      <c r="H15" s="53">
        <v>1.9819999999999998E-6</v>
      </c>
      <c r="I15" s="31" t="s">
        <v>30</v>
      </c>
      <c r="J15" s="5"/>
      <c r="M15" s="4"/>
      <c r="N15"/>
      <c r="O15" s="6"/>
      <c r="P15"/>
    </row>
    <row r="16" spans="1:19" ht="16.2" thickBot="1" x14ac:dyDescent="0.4">
      <c r="B16" s="51"/>
      <c r="C16" s="45"/>
      <c r="D16" s="45"/>
      <c r="E16" s="4"/>
      <c r="F16" s="57"/>
      <c r="G16" s="56" t="s">
        <v>22</v>
      </c>
      <c r="H16" s="54">
        <v>1.2910000000000001E-7</v>
      </c>
      <c r="I16" s="31" t="s">
        <v>31</v>
      </c>
      <c r="J16" s="5"/>
      <c r="M16" s="4"/>
      <c r="N16"/>
      <c r="O16" s="6"/>
      <c r="P16"/>
    </row>
    <row r="17" spans="1:16" ht="15.6" x14ac:dyDescent="0.35">
      <c r="A17" s="42"/>
      <c r="B17" s="50" t="s">
        <v>57</v>
      </c>
      <c r="C17" s="32">
        <f>(1/$H$13)*((C13 - C14)/(C15 - C14) - 1)</f>
        <v>394.11643383846945</v>
      </c>
      <c r="D17" s="46">
        <f>(1/$H$13)*((D13 - D14)/(D15 - D14) - 1)</f>
        <v>406.55173010347374</v>
      </c>
      <c r="E17" s="4"/>
      <c r="F17"/>
      <c r="G17" s="9"/>
      <c r="H17" s="4"/>
      <c r="I17" s="9"/>
      <c r="J17" s="5"/>
      <c r="M17" s="4"/>
      <c r="N17"/>
      <c r="O17" s="6"/>
      <c r="P17"/>
    </row>
    <row r="18" spans="1:16" ht="15" thickBot="1" x14ac:dyDescent="0.35">
      <c r="A18" s="42"/>
      <c r="B18" s="49" t="s">
        <v>4</v>
      </c>
      <c r="C18" s="48">
        <f>AVERAGE(C17:D17)</f>
        <v>400.33408197097162</v>
      </c>
      <c r="D18" s="47"/>
    </row>
    <row r="19" spans="1:16" ht="15" thickBot="1" x14ac:dyDescent="0.35"/>
    <row r="20" spans="1:16" ht="16.2" x14ac:dyDescent="0.3">
      <c r="A20" s="73" t="s">
        <v>47</v>
      </c>
      <c r="B20" s="78" t="s">
        <v>53</v>
      </c>
      <c r="C20" s="79" t="s">
        <v>60</v>
      </c>
      <c r="D20" s="79" t="s">
        <v>39</v>
      </c>
      <c r="E20" s="79"/>
      <c r="F20" s="79" t="s">
        <v>43</v>
      </c>
      <c r="G20" s="79" t="s">
        <v>40</v>
      </c>
      <c r="H20" s="79" t="s">
        <v>10</v>
      </c>
      <c r="I20" s="80" t="s">
        <v>42</v>
      </c>
    </row>
    <row r="21" spans="1:16" x14ac:dyDescent="0.3">
      <c r="B21" s="88" t="s">
        <v>41</v>
      </c>
      <c r="C21" s="87" t="s">
        <v>37</v>
      </c>
      <c r="D21" s="87" t="s">
        <v>41</v>
      </c>
      <c r="E21" s="87"/>
      <c r="F21" s="87" t="s">
        <v>37</v>
      </c>
      <c r="G21" s="87" t="s">
        <v>41</v>
      </c>
      <c r="H21" s="87" t="s">
        <v>37</v>
      </c>
      <c r="I21" s="89" t="s">
        <v>41</v>
      </c>
    </row>
    <row r="22" spans="1:16" x14ac:dyDescent="0.3">
      <c r="B22" s="81">
        <v>10000000000000</v>
      </c>
      <c r="C22" s="74">
        <v>1.4999999999999999E-2</v>
      </c>
      <c r="D22" s="75">
        <f>B22*C22</f>
        <v>150000000000</v>
      </c>
      <c r="E22" s="74"/>
      <c r="F22" s="76">
        <f>H8</f>
        <v>0.71002766619240598</v>
      </c>
      <c r="G22" s="75">
        <f>D22/F22-D22</f>
        <v>61259373602.144165</v>
      </c>
      <c r="H22" s="77">
        <f>F8</f>
        <v>1380.5468399820707</v>
      </c>
      <c r="I22" s="90">
        <f>G22*H22</f>
        <v>84571434645721.203</v>
      </c>
    </row>
    <row r="23" spans="1:16" x14ac:dyDescent="0.3">
      <c r="B23" s="81">
        <v>10000000000000</v>
      </c>
      <c r="C23" s="74">
        <v>1.4999999999999999E-2</v>
      </c>
      <c r="D23" s="75">
        <f t="shared" ref="D23:D25" si="7">B23*C23</f>
        <v>150000000000</v>
      </c>
      <c r="E23" s="74"/>
      <c r="F23" s="76">
        <f>H9</f>
        <v>0.47606828701432341</v>
      </c>
      <c r="G23" s="75">
        <f t="shared" ref="G23:G25" si="8">D23/F23-D23</f>
        <v>165080848885.62842</v>
      </c>
      <c r="H23" s="77">
        <f>F9</f>
        <v>764.07839245844707</v>
      </c>
      <c r="I23" s="90">
        <f t="shared" ref="I23:I25" si="9">G23*H23</f>
        <v>126134709642206.78</v>
      </c>
    </row>
    <row r="24" spans="1:16" x14ac:dyDescent="0.3">
      <c r="B24" s="81">
        <v>10000000000000</v>
      </c>
      <c r="C24" s="74">
        <v>1.0999999999999999E-2</v>
      </c>
      <c r="D24" s="75">
        <f t="shared" si="7"/>
        <v>110000000000</v>
      </c>
      <c r="E24" s="74"/>
      <c r="F24" s="76">
        <f>H8</f>
        <v>0.71002766619240598</v>
      </c>
      <c r="G24" s="75">
        <f t="shared" si="8"/>
        <v>44923540641.572388</v>
      </c>
      <c r="H24" s="77">
        <f>F8</f>
        <v>1380.5468399820707</v>
      </c>
      <c r="I24" s="90">
        <f t="shared" si="9"/>
        <v>62019052073528.883</v>
      </c>
    </row>
    <row r="25" spans="1:16" ht="15" thickBot="1" x14ac:dyDescent="0.35">
      <c r="A25" s="8"/>
      <c r="B25" s="82">
        <v>10000000000000</v>
      </c>
      <c r="C25" s="83">
        <v>1.0999999999999999E-2</v>
      </c>
      <c r="D25" s="84">
        <f t="shared" si="7"/>
        <v>110000000000</v>
      </c>
      <c r="E25" s="83"/>
      <c r="F25" s="85">
        <f>H9</f>
        <v>0.47606828701432341</v>
      </c>
      <c r="G25" s="84">
        <f t="shared" si="8"/>
        <v>121059289182.79416</v>
      </c>
      <c r="H25" s="86">
        <f>F9</f>
        <v>764.07839245844707</v>
      </c>
      <c r="I25" s="91">
        <f t="shared" si="9"/>
        <v>92498787070951.625</v>
      </c>
    </row>
    <row r="26" spans="1:16" x14ac:dyDescent="0.3">
      <c r="A26" s="8"/>
    </row>
    <row r="27" spans="1:16" ht="16.2" x14ac:dyDescent="0.3">
      <c r="A27" s="8" t="s">
        <v>36</v>
      </c>
    </row>
    <row r="28" spans="1:16" ht="16.8" x14ac:dyDescent="0.35">
      <c r="A28" s="8" t="s">
        <v>33</v>
      </c>
    </row>
    <row r="29" spans="1:16" ht="16.8" x14ac:dyDescent="0.35">
      <c r="A29" s="8" t="s">
        <v>32</v>
      </c>
    </row>
    <row r="30" spans="1:16" ht="16.8" x14ac:dyDescent="0.35">
      <c r="A30" s="8" t="s">
        <v>34</v>
      </c>
    </row>
    <row r="31" spans="1:16" ht="16.8" x14ac:dyDescent="0.35">
      <c r="A31" s="8" t="s">
        <v>54</v>
      </c>
    </row>
    <row r="32" spans="1:16" ht="16.8" x14ac:dyDescent="0.35">
      <c r="A32" s="8" t="s">
        <v>56</v>
      </c>
    </row>
    <row r="33" spans="1:1" ht="16.8" x14ac:dyDescent="0.35">
      <c r="A33" s="72" t="s">
        <v>51</v>
      </c>
    </row>
    <row r="34" spans="1:1" ht="16.2" x14ac:dyDescent="0.3">
      <c r="A34" s="72" t="s">
        <v>52</v>
      </c>
    </row>
    <row r="35" spans="1:1" ht="16.2" x14ac:dyDescent="0.3">
      <c r="A35" s="72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>Keele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Carter</dc:creator>
  <cp:lastModifiedBy>Elliot Carter</cp:lastModifiedBy>
  <dcterms:created xsi:type="dcterms:W3CDTF">2024-07-30T14:01:52Z</dcterms:created>
  <dcterms:modified xsi:type="dcterms:W3CDTF">2026-02-18T11:09:46Z</dcterms:modified>
</cp:coreProperties>
</file>