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4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5.xml" ContentType="application/vnd.openxmlformats-officedocument.drawing+xml"/>
  <Override PartName="/xl/comments1.xml" ContentType="application/vnd.openxmlformats-officedocument.spreadsheetml.comments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https://keeleacuk-my.sharepoint.com/personal/e_carter2_keele_ac_uk/Documents/Documents/Work/manuscripts/Listvenites/Revision 2/Final editorial checks/Additional requests/"/>
    </mc:Choice>
  </mc:AlternateContent>
  <xr:revisionPtr revIDLastSave="1086" documentId="13_ncr:1_{89498336-3453-4B1D-871C-AD4DB7BED01F}" xr6:coauthVersionLast="47" xr6:coauthVersionMax="47" xr10:uidLastSave="{7D87C56D-D589-45F5-9A67-DB00067EB703}"/>
  <bookViews>
    <workbookView xWindow="-108" yWindow="-108" windowWidth="23256" windowHeight="12456" tabRatio="244" firstSheet="12" activeTab="12" xr2:uid="{00000000-000D-0000-FFFF-FFFF00000000}"/>
  </bookViews>
  <sheets>
    <sheet name="Halogen Samples (2)" sheetId="109" r:id="rId1"/>
    <sheet name="LogFile" sheetId="14" r:id="rId2"/>
    <sheet name="Ref Values " sheetId="7" r:id="rId3"/>
    <sheet name="Salts" sheetId="15" r:id="rId4"/>
    <sheet name="Hb3Gr" sheetId="10" r:id="rId5"/>
    <sheet name="Scapolite" sheetId="1" r:id="rId6"/>
    <sheet name="Shallowater" sheetId="16" r:id="rId7"/>
    <sheet name="Vertical_variation" sheetId="18" r:id="rId8"/>
    <sheet name="PlotDat4" sheetId="114" state="hidden" r:id="rId9"/>
    <sheet name="PlotDat14" sheetId="133" state="hidden" r:id="rId10"/>
    <sheet name="PlotDat15" sheetId="135" state="hidden" r:id="rId11"/>
    <sheet name="Hb3gr_interpolation" sheetId="137" r:id="rId12"/>
    <sheet name="Supplementary Data 3" sheetId="136" r:id="rId13"/>
    <sheet name="Sheet2" sheetId="13" state="hidden" r:id="rId14"/>
  </sheets>
  <externalReferences>
    <externalReference r:id="rId15"/>
    <externalReference r:id="rId16"/>
    <externalReference r:id="rId17"/>
    <externalReference r:id="rId18"/>
    <externalReference r:id="rId19"/>
    <externalReference r:id="rId20"/>
    <externalReference r:id="rId21"/>
  </externalReferences>
  <definedNames>
    <definedName name="_xlnm._FilterDatabase" localSheetId="11" hidden="1">[1]STD_ARGUS130115!$A$1:$DB$11</definedName>
    <definedName name="_xlnm._FilterDatabase" localSheetId="7" hidden="1">[1]STD_ARGUS130115!$A$1:$DB$11</definedName>
    <definedName name="_xlnm._FilterDatabase" hidden="1">[2]STD_ARGUS130115!$A$1:$DB$11</definedName>
    <definedName name="_gXY1" localSheetId="11">#REF!</definedName>
    <definedName name="_gXY1">PlotDat15!$C$1:$D$16</definedName>
    <definedName name="Age" localSheetId="0">'Halogen Samples (2)'!$EG:$EG</definedName>
    <definedName name="Age" localSheetId="5">Scapolite!$EJ:$EJ</definedName>
    <definedName name="Age" localSheetId="12">'Supplementary Data 3'!$EM:$EM</definedName>
    <definedName name="Age_err" localSheetId="0">'Halogen Samples (2)'!$EH:$EH</definedName>
    <definedName name="Age_err" localSheetId="12">'Supplementary Data 3'!$EN:$EN</definedName>
    <definedName name="Age_exterr" localSheetId="0">'Halogen Samples (2)'!$EI:$EI</definedName>
    <definedName name="Age_exterr" localSheetId="12">'Supplementary Data 3'!$EO:$EO</definedName>
    <definedName name="airratio">298.56</definedName>
    <definedName name="airratio4036">298.56</definedName>
    <definedName name="alpha" localSheetId="0">'Halogen Samples (2)'!$CT:$CT</definedName>
    <definedName name="alpha" localSheetId="4">Hb3Gr!$CK:$CK</definedName>
    <definedName name="alpha" localSheetId="5">Scapolite!$CT:$CT</definedName>
    <definedName name="alpha" localSheetId="12">'Supplementary Data 3'!$CZ:$CZ</definedName>
    <definedName name="alpha" localSheetId="7">Vertical_variation!$CI:$CI</definedName>
    <definedName name="alphaerr" localSheetId="0">'Halogen Samples (2)'!$CU:$CU</definedName>
    <definedName name="alphaerr" localSheetId="4">Hb3Gr!$CL:$CL</definedName>
    <definedName name="alphaerr" localSheetId="5">Scapolite!$CU:$CU</definedName>
    <definedName name="alphaerr" localSheetId="12">'Supplementary Data 3'!$DA:$DA</definedName>
    <definedName name="alphaerr" localSheetId="7">Vertical_variation!$CJ:$CJ</definedName>
    <definedName name="Ar_Sensitivity" localSheetId="0">'Halogen Samples (2)'!$BX:$BX</definedName>
    <definedName name="Ar_Sensitivity" localSheetId="5">Scapolite!$BX:$BX</definedName>
    <definedName name="Ar_Sensitivity" localSheetId="12">'Supplementary Data 3'!$CD:$CD</definedName>
    <definedName name="Ar_sensitivityerr" localSheetId="0">'Halogen Samples (2)'!$BY:$BY</definedName>
    <definedName name="Ar_sensitivityerr" localSheetId="5">Scapolite!$BY:$BY</definedName>
    <definedName name="Ar_sensitivityerr" localSheetId="12">'Supplementary Data 3'!$CE:$CE</definedName>
    <definedName name="Ar36_ClCor" localSheetId="0">'Halogen Samples (2)'!$BR:$BR</definedName>
    <definedName name="Ar36_ClCor" localSheetId="4">Hb3Gr!$BR:$BR</definedName>
    <definedName name="Ar36_ClCor" localSheetId="3">Salts!$BR:$BR</definedName>
    <definedName name="Ar36_ClCor" localSheetId="5">Scapolite!$BR:$BR</definedName>
    <definedName name="Ar36_ClCor" localSheetId="12">'Supplementary Data 3'!$BX:$BX</definedName>
    <definedName name="Ar36_ClCorerr" localSheetId="0">'Halogen Samples (2)'!$BS:$BS</definedName>
    <definedName name="Ar36_ClCorerr" localSheetId="4">Hb3Gr!$BS:$BS</definedName>
    <definedName name="Ar36_ClCorerr" localSheetId="3">Salts!$BS:$BS</definedName>
    <definedName name="Ar36_ClCorerr" localSheetId="5">Scapolite!$BS:$BS</definedName>
    <definedName name="Ar36_ClCorerr" localSheetId="12">'Supplementary Data 3'!$BY:$BY</definedName>
    <definedName name="Ar36_DC" localSheetId="0">'Halogen Samples (2)'!$BA:$BA</definedName>
    <definedName name="Ar36_DC" localSheetId="4">Hb3Gr!$BA:$BA</definedName>
    <definedName name="Ar36_DC" localSheetId="3">Salts!$BA:$BA</definedName>
    <definedName name="Ar36_DC" localSheetId="5">Scapolite!$BA:$BA</definedName>
    <definedName name="Ar36_DC" localSheetId="12">'Supplementary Data 3'!$BA:$BA</definedName>
    <definedName name="Ar36_DCerr" localSheetId="0">'Halogen Samples (2)'!$BB:$BB</definedName>
    <definedName name="Ar36_DCerr" localSheetId="4">Hb3Gr!$BB:$BB</definedName>
    <definedName name="Ar36_DCerr" localSheetId="3">Salts!$BB:$BB</definedName>
    <definedName name="Ar36_DCerr" localSheetId="5">Scapolite!$BB:$BB</definedName>
    <definedName name="Ar36_DCerr" localSheetId="12">'Supplementary Data 3'!$BB:$BB</definedName>
    <definedName name="Ar36_DecayFactor" localSheetId="0">'Halogen Samples (2)'!$BQ:$BQ</definedName>
    <definedName name="Ar36_DecayFactor" localSheetId="4">Hb3Gr!$BQ:$BQ</definedName>
    <definedName name="Ar36_DecayFactor" localSheetId="3">Salts!$BQ:$BQ</definedName>
    <definedName name="Ar36_DecayFactor" localSheetId="5">Scapolite!$BQ:$BQ</definedName>
    <definedName name="Ar36_DecayFactor" localSheetId="12">'Supplementary Data 3'!$BW:$BW</definedName>
    <definedName name="Ar36_IC" localSheetId="0">'Halogen Samples (2)'!$BO:$BO</definedName>
    <definedName name="Ar36_IC" localSheetId="4">Hb3Gr!$BO:$BO</definedName>
    <definedName name="Ar36_IC" localSheetId="3">Salts!$BO:$BO</definedName>
    <definedName name="Ar36_IC" localSheetId="5">Scapolite!$BO:$BO</definedName>
    <definedName name="Ar36_IC" localSheetId="12">'Supplementary Data 3'!$BU:$BU</definedName>
    <definedName name="Ar36_ICerr" localSheetId="0">'Halogen Samples (2)'!$BP:$BP</definedName>
    <definedName name="Ar36_ICerr" localSheetId="4">Hb3Gr!$BP:$BP</definedName>
    <definedName name="Ar36_ICerr" localSheetId="3">Salts!$BP:$BP</definedName>
    <definedName name="Ar36_ICerr" localSheetId="5">Scapolite!$BP:$BP</definedName>
    <definedName name="Ar36_ICerr" localSheetId="12">'Supplementary Data 3'!$BV:$BV</definedName>
    <definedName name="Ar3637_Ca" localSheetId="3">Salts!$CB:$CB</definedName>
    <definedName name="Ar3637_Caerr" localSheetId="3">Salts!$CC:$CC</definedName>
    <definedName name="Ar36BC" localSheetId="0">'Halogen Samples (2)'!$AQ:$AQ</definedName>
    <definedName name="Ar36BC" localSheetId="4">Hb3Gr!$AQ:$AQ</definedName>
    <definedName name="Ar36BC" localSheetId="3">Salts!$AQ:$AQ</definedName>
    <definedName name="Ar36BC" localSheetId="5">Scapolite!$AQ:$AQ</definedName>
    <definedName name="Ar36BC" localSheetId="12">'Supplementary Data 3'!$AQ:$AQ</definedName>
    <definedName name="Ar36BCerr" localSheetId="0">'Halogen Samples (2)'!$AR:$AR</definedName>
    <definedName name="Ar36BCerr" localSheetId="4">Hb3Gr!$AR:$AR</definedName>
    <definedName name="Ar36BCerr" localSheetId="3">Salts!$AR:$AR</definedName>
    <definedName name="Ar36BCerr" localSheetId="5">Scapolite!$AR:$AR</definedName>
    <definedName name="Ar36BCerr" localSheetId="12">'Supplementary Data 3'!$AR:$AR</definedName>
    <definedName name="Ar36Blank" localSheetId="0">'Halogen Samples (2)'!$AG:$AG</definedName>
    <definedName name="Ar36Blank" localSheetId="4">Hb3Gr!$AG:$AG</definedName>
    <definedName name="Ar36Blank" localSheetId="3">Salts!$AG:$AG</definedName>
    <definedName name="Ar36Blank" localSheetId="5">Scapolite!$AG:$AG</definedName>
    <definedName name="Ar36Blank" localSheetId="12">'Supplementary Data 3'!$AG:$AG</definedName>
    <definedName name="Ar36Blankerr" localSheetId="0">'Halogen Samples (2)'!$AH:$AH</definedName>
    <definedName name="Ar36Blankerr" localSheetId="4">Hb3Gr!$AH:$AH</definedName>
    <definedName name="Ar36Blankerr" localSheetId="3">Salts!$AH:$AH</definedName>
    <definedName name="Ar36Blankerr" localSheetId="5">Scapolite!$AH:$AH</definedName>
    <definedName name="Ar36Blankerr" localSheetId="12">'Supplementary Data 3'!$AH:$AH</definedName>
    <definedName name="Ar36CC" localSheetId="0">'Halogen Samples (2)'!$BZ:$BZ</definedName>
    <definedName name="Ar36CC" localSheetId="5">Scapolite!$BZ:$BZ</definedName>
    <definedName name="Ar36CC" localSheetId="12">'Supplementary Data 3'!$CF:$CF</definedName>
    <definedName name="Ar36CCerr" localSheetId="0">'Halogen Samples (2)'!$CA:$CA</definedName>
    <definedName name="Ar36CCerr" localSheetId="5">Scapolite!$CA:$CA</definedName>
    <definedName name="Ar36CCerr" localSheetId="12">'Supplementary Data 3'!$CG:$CG</definedName>
    <definedName name="Ar36Raw" localSheetId="0">'Halogen Samples (2)'!$W:$W</definedName>
    <definedName name="Ar36Raw" localSheetId="4">Hb3Gr!$W:$W</definedName>
    <definedName name="Ar36Raw" localSheetId="3">Salts!$W:$W</definedName>
    <definedName name="Ar36Raw" localSheetId="5">Scapolite!$W:$W</definedName>
    <definedName name="Ar36Raw" localSheetId="12">'Supplementary Data 3'!$W:$W</definedName>
    <definedName name="Ar36Rawerr" localSheetId="0">'Halogen Samples (2)'!$X:$X</definedName>
    <definedName name="Ar36Rawerr" localSheetId="4">Hb3Gr!$X:$X</definedName>
    <definedName name="Ar36Rawerr" localSheetId="3">Salts!$X:$X</definedName>
    <definedName name="Ar36Rawerr" localSheetId="5">Scapolite!$X:$X</definedName>
    <definedName name="Ar36Rawerr" localSheetId="12">'Supplementary Data 3'!$X:$X</definedName>
    <definedName name="Ar37_DC" localSheetId="0">'Halogen Samples (2)'!$AY:$AY</definedName>
    <definedName name="Ar37_DC" localSheetId="4">Hb3Gr!$AY:$AY</definedName>
    <definedName name="Ar37_DC" localSheetId="3">Salts!$AY:$AY</definedName>
    <definedName name="Ar37_DC" localSheetId="5">Scapolite!$AY:$AY</definedName>
    <definedName name="Ar37_DC" localSheetId="12">'Supplementary Data 3'!$AY:$AY</definedName>
    <definedName name="Ar37_DCerr" localSheetId="0">'Halogen Samples (2)'!$AZ:$AZ</definedName>
    <definedName name="Ar37_DCerr" localSheetId="4">Hb3Gr!$AZ:$AZ</definedName>
    <definedName name="Ar37_DCerr" localSheetId="3">Salts!$AZ:$AZ</definedName>
    <definedName name="Ar37_DCerr" localSheetId="5">Scapolite!$AZ:$AZ</definedName>
    <definedName name="Ar37_DCerr" localSheetId="12">'Supplementary Data 3'!$AZ:$AZ</definedName>
    <definedName name="Ar37_DecayCor" localSheetId="0">'Halogen Samples (2)'!$BE:$BE</definedName>
    <definedName name="Ar37_DecayCor" localSheetId="4">Hb3Gr!$BE:$BE</definedName>
    <definedName name="Ar37_DecayCor" localSheetId="3">Salts!$BE:$BE</definedName>
    <definedName name="Ar37_DecayCor" localSheetId="5">Scapolite!$BE:$BE</definedName>
    <definedName name="Ar37_DecayCor" localSheetId="12">'Supplementary Data 3'!$BK:$BK</definedName>
    <definedName name="Ar37_DecayCorerr" localSheetId="0">'Halogen Samples (2)'!$BF:$BF</definedName>
    <definedName name="Ar37_DecayCorerr" localSheetId="4">Hb3Gr!$BF:$BF</definedName>
    <definedName name="Ar37_DecayCorerr" localSheetId="3">Salts!$BF:$BF</definedName>
    <definedName name="Ar37_DecayCorerr" localSheetId="5">Scapolite!$BF:$BF</definedName>
    <definedName name="Ar37_DecayCorerr" localSheetId="12">'Supplementary Data 3'!$BL:$BL</definedName>
    <definedName name="Ar37_DecayFactor" localSheetId="0">'Halogen Samples (2)'!$BC:$BC</definedName>
    <definedName name="Ar37_DecayFactor" localSheetId="4">Hb3Gr!$BC:$BC</definedName>
    <definedName name="Ar37_DecayFactor" localSheetId="3">Salts!$BC:$BC</definedName>
    <definedName name="Ar37_DecayFactor" localSheetId="5">Scapolite!$BC:$BC</definedName>
    <definedName name="Ar37_DecayFactor" localSheetId="12">'Supplementary Data 3'!$BC:$BC</definedName>
    <definedName name="Ar37Ar39" localSheetId="4">Hb3Gr!$CB:$CB</definedName>
    <definedName name="Ar37Ar39err" localSheetId="4">Hb3Gr!$CC:$CC</definedName>
    <definedName name="Ar37BC" localSheetId="0">'Halogen Samples (2)'!$AO:$AO</definedName>
    <definedName name="Ar37BC" localSheetId="4">Hb3Gr!$AO:$AO</definedName>
    <definedName name="Ar37BC" localSheetId="3">Salts!$AO:$AO</definedName>
    <definedName name="Ar37BC" localSheetId="5">Scapolite!$AO:$AO</definedName>
    <definedName name="Ar37BC" localSheetId="12">'Supplementary Data 3'!$AO:$AO</definedName>
    <definedName name="Ar37BCerr" localSheetId="0">'Halogen Samples (2)'!$AP:$AP</definedName>
    <definedName name="Ar37BCerr" localSheetId="4">Hb3Gr!$AP:$AP</definedName>
    <definedName name="Ar37BCerr" localSheetId="3">Salts!$AP:$AP</definedName>
    <definedName name="Ar37BCerr" localSheetId="5">Scapolite!$AP:$AP</definedName>
    <definedName name="Ar37BCerr" localSheetId="12">'Supplementary Data 3'!$AP:$AP</definedName>
    <definedName name="Ar37Blank" localSheetId="0">'Halogen Samples (2)'!$AE:$AE</definedName>
    <definedName name="Ar37Blank" localSheetId="4">Hb3Gr!$AE:$AE</definedName>
    <definedName name="Ar37Blank" localSheetId="3">Salts!$AE:$AE</definedName>
    <definedName name="Ar37Blank" localSheetId="5">Scapolite!$AE:$AE</definedName>
    <definedName name="Ar37Blank" localSheetId="12">'Supplementary Data 3'!$AE:$AE</definedName>
    <definedName name="Ar37Blankerr" localSheetId="0">'Halogen Samples (2)'!$AF:$AF</definedName>
    <definedName name="Ar37Blankerr" localSheetId="4">Hb3Gr!$AF:$AF</definedName>
    <definedName name="Ar37Blankerr" localSheetId="3">Salts!$AF:$AF</definedName>
    <definedName name="Ar37Blankerr" localSheetId="5">Scapolite!$AF:$AF</definedName>
    <definedName name="Ar37Blankerr" localSheetId="12">'Supplementary Data 3'!$AF:$AF</definedName>
    <definedName name="Ar37CC" localSheetId="0">'Halogen Samples (2)'!$CB:$CB</definedName>
    <definedName name="Ar37CC" localSheetId="5">Scapolite!$CB:$CB</definedName>
    <definedName name="Ar37CC" localSheetId="12">'Supplementary Data 3'!$CH:$CH</definedName>
    <definedName name="Ar37CCerr" localSheetId="0">'Halogen Samples (2)'!$CC:$CC</definedName>
    <definedName name="Ar37CCerr" localSheetId="5">Scapolite!$CC:$CC</definedName>
    <definedName name="Ar37CCerr" localSheetId="12">'Supplementary Data 3'!$CI:$CI</definedName>
    <definedName name="Ar37Raw" localSheetId="0">'Halogen Samples (2)'!$U:$U</definedName>
    <definedName name="Ar37Raw" localSheetId="4">Hb3Gr!$U:$U</definedName>
    <definedName name="Ar37Raw" localSheetId="3">Salts!$U:$U</definedName>
    <definedName name="Ar37Raw" localSheetId="5">Scapolite!$U:$U</definedName>
    <definedName name="Ar37Raw" localSheetId="12">'Supplementary Data 3'!$U:$U</definedName>
    <definedName name="Ar37Rawerr" localSheetId="0">'Halogen Samples (2)'!$V:$V</definedName>
    <definedName name="Ar37Rawerr" localSheetId="4">Hb3Gr!$V:$V</definedName>
    <definedName name="Ar37Rawerr" localSheetId="3">Salts!$V:$V</definedName>
    <definedName name="Ar37Rawerr" localSheetId="5">Scapolite!$V:$V</definedName>
    <definedName name="Ar37Rawerr" localSheetId="12">'Supplementary Data 3'!$V:$V</definedName>
    <definedName name="Ar38_Cl" localSheetId="0">'Halogen Samples (2)'!$BT:$BT</definedName>
    <definedName name="Ar38_Cl" localSheetId="4">Hb3Gr!$BT:$BT</definedName>
    <definedName name="Ar38_Cl" localSheetId="3">Salts!$BT:$BT</definedName>
    <definedName name="Ar38_Cl" localSheetId="5">Scapolite!$BT:$BT</definedName>
    <definedName name="Ar38_Cl" localSheetId="12">'Supplementary Data 3'!$BZ:$BZ</definedName>
    <definedName name="Ar38_Clerr" localSheetId="0">'Halogen Samples (2)'!$BU:$BU</definedName>
    <definedName name="Ar38_Clerr" localSheetId="4">Hb3Gr!$BU:$BU</definedName>
    <definedName name="Ar38_Clerr" localSheetId="3">Salts!$BU:$BU</definedName>
    <definedName name="Ar38_Clerr" localSheetId="5">Scapolite!$BU:$BU</definedName>
    <definedName name="Ar38_Clerr" localSheetId="12">'Supplementary Data 3'!$CA:$CA</definedName>
    <definedName name="Ar38_DC" localSheetId="0">'Halogen Samples (2)'!$AW:$AW</definedName>
    <definedName name="Ar38_DC" localSheetId="4">Hb3Gr!$AW:$AW</definedName>
    <definedName name="Ar38_DC" localSheetId="3">Salts!$AW:$AW</definedName>
    <definedName name="Ar38_DC" localSheetId="5">Scapolite!$AW:$AW</definedName>
    <definedName name="Ar38_DC" localSheetId="12">'Supplementary Data 3'!$AW:$AW</definedName>
    <definedName name="Ar38_DCerr" localSheetId="0">'Halogen Samples (2)'!$AX:$AX</definedName>
    <definedName name="Ar38_DCerr" localSheetId="4">Hb3Gr!$AX:$AX</definedName>
    <definedName name="Ar38_DCerr" localSheetId="3">Salts!$AX:$AX</definedName>
    <definedName name="Ar38_DCerr" localSheetId="5">Scapolite!$AX:$AX</definedName>
    <definedName name="Ar38_DCerr" localSheetId="12">'Supplementary Data 3'!$AX:$AX</definedName>
    <definedName name="Ar38_IC" localSheetId="0">'Halogen Samples (2)'!$BM:$BM</definedName>
    <definedName name="Ar38_IC" localSheetId="4">Hb3Gr!$BM:$BM</definedName>
    <definedName name="Ar38_IC" localSheetId="3">Salts!$BM:$BM</definedName>
    <definedName name="Ar38_IC" localSheetId="5">Scapolite!$BM:$BM</definedName>
    <definedName name="Ar38_IC" localSheetId="12">'Supplementary Data 3'!$BS:$BS</definedName>
    <definedName name="Ar38_ICerr" localSheetId="0">'Halogen Samples (2)'!$BN:$BN</definedName>
    <definedName name="Ar38_ICerr" localSheetId="4">Hb3Gr!$BN:$BN</definedName>
    <definedName name="Ar38_ICerr" localSheetId="3">Salts!$BN:$BN</definedName>
    <definedName name="Ar38_ICerr" localSheetId="5">Scapolite!$BN:$BN</definedName>
    <definedName name="Ar38_ICerr" localSheetId="12">'Supplementary Data 3'!$BT:$BT</definedName>
    <definedName name="Ar38_mole" localSheetId="0">'Halogen Samples (2)'!$CJ:$CJ</definedName>
    <definedName name="Ar38_mole" localSheetId="5">Scapolite!$CJ:$CJ</definedName>
    <definedName name="Ar38_mole" localSheetId="12">'Supplementary Data 3'!$CP:$CP</definedName>
    <definedName name="Ar38_moleerr" localSheetId="0">'Halogen Samples (2)'!$CK:$CK</definedName>
    <definedName name="Ar38_moleerr" localSheetId="5">Scapolite!$CK:$CK</definedName>
    <definedName name="Ar38_moleerr" localSheetId="12">'Supplementary Data 3'!$CQ:$CQ</definedName>
    <definedName name="Ar3836_Air" localSheetId="11">'[3]Ref Values '!$B$31</definedName>
    <definedName name="Ar3836_Air" localSheetId="7">'[4]Ref Values '!$B$31</definedName>
    <definedName name="Ar3836_Air">'Ref Values '!$B$31</definedName>
    <definedName name="Ar3836_airerr">'Ref Values '!$C$31</definedName>
    <definedName name="Ar3839_K" localSheetId="3">Salts!$BZ:$BZ</definedName>
    <definedName name="Ar3839_Kerr">Salts!$CA:$CA</definedName>
    <definedName name="Ar38Ar39" localSheetId="4">Hb3Gr!$BZ:$BZ</definedName>
    <definedName name="Ar38Ar39err" localSheetId="4">Hb3Gr!$CA:$CA</definedName>
    <definedName name="Ar38BC" localSheetId="0">'Halogen Samples (2)'!$AM:$AM</definedName>
    <definedName name="Ar38BC" localSheetId="4">Hb3Gr!$AM:$AM</definedName>
    <definedName name="Ar38BC" localSheetId="3">Salts!$AM:$AM</definedName>
    <definedName name="Ar38BC" localSheetId="5">Scapolite!$AM:$AM</definedName>
    <definedName name="Ar38BC" localSheetId="12">'Supplementary Data 3'!$AM:$AM</definedName>
    <definedName name="Ar38BCerr" localSheetId="0">'Halogen Samples (2)'!$AN:$AN</definedName>
    <definedName name="Ar38BCerr" localSheetId="4">Hb3Gr!$AN:$AN</definedName>
    <definedName name="Ar38BCerr" localSheetId="3">Salts!$AN:$AN</definedName>
    <definedName name="Ar38BCerr" localSheetId="5">Scapolite!$AN:$AN</definedName>
    <definedName name="Ar38BCerr" localSheetId="12">'Supplementary Data 3'!$AN:$AN</definedName>
    <definedName name="Ar38Blank" localSheetId="0">'Halogen Samples (2)'!$AC:$AC</definedName>
    <definedName name="Ar38Blank" localSheetId="4">Hb3Gr!$AC:$AC</definedName>
    <definedName name="Ar38Blank" localSheetId="3">Salts!$AC:$AC</definedName>
    <definedName name="Ar38Blank" localSheetId="5">Scapolite!$AC:$AC</definedName>
    <definedName name="Ar38Blank" localSheetId="12">'Supplementary Data 3'!$AC:$AC</definedName>
    <definedName name="Ar38Blankerr" localSheetId="0">'Halogen Samples (2)'!$AD:$AD</definedName>
    <definedName name="Ar38Blankerr" localSheetId="4">Hb3Gr!$AD:$AD</definedName>
    <definedName name="Ar38Blankerr" localSheetId="3">Salts!$AD:$AD</definedName>
    <definedName name="Ar38Blankerr" localSheetId="5">Scapolite!$AD:$AD</definedName>
    <definedName name="Ar38Blankerr" localSheetId="12">'Supplementary Data 3'!$AD:$AD</definedName>
    <definedName name="Ar38CC" localSheetId="0">'Halogen Samples (2)'!$CD:$CD</definedName>
    <definedName name="Ar38CC" localSheetId="5">Scapolite!$CD:$CD</definedName>
    <definedName name="Ar38CC" localSheetId="12">'Supplementary Data 3'!$CJ:$CJ</definedName>
    <definedName name="Ar38CCerr" localSheetId="0">'Halogen Samples (2)'!$CE:$CE</definedName>
    <definedName name="Ar38CCerr" localSheetId="5">Scapolite!$CE:$CE</definedName>
    <definedName name="Ar38CCerr" localSheetId="12">'Supplementary Data 3'!$CK:$CK</definedName>
    <definedName name="Ar38Raw" localSheetId="0">'Halogen Samples (2)'!$S:$S</definedName>
    <definedName name="Ar38Raw" localSheetId="4">Hb3Gr!$S:$S</definedName>
    <definedName name="Ar38Raw" localSheetId="3">Salts!$S:$S</definedName>
    <definedName name="Ar38Raw" localSheetId="5">Scapolite!$S:$S</definedName>
    <definedName name="Ar38Raw" localSheetId="12">'Supplementary Data 3'!$S:$S</definedName>
    <definedName name="Ar38Rawerr" localSheetId="0">'Halogen Samples (2)'!$T:$T</definedName>
    <definedName name="Ar38Rawerr" localSheetId="4">Hb3Gr!$T:$T</definedName>
    <definedName name="Ar38Rawerr" localSheetId="3">Salts!$T:$T</definedName>
    <definedName name="Ar38Rawerr" localSheetId="5">Scapolite!$T:$T</definedName>
    <definedName name="Ar38Rawerr" localSheetId="12">'Supplementary Data 3'!$T:$T</definedName>
    <definedName name="Ar39_DC" localSheetId="0">'Halogen Samples (2)'!$AU:$AU</definedName>
    <definedName name="Ar39_DC" localSheetId="4">Hb3Gr!$AU:$AU</definedName>
    <definedName name="Ar39_DC" localSheetId="3">Salts!$AU:$AU</definedName>
    <definedName name="Ar39_DC" localSheetId="5">Scapolite!$AU:$AU</definedName>
    <definedName name="Ar39_DC" localSheetId="12">'Supplementary Data 3'!$AU:$AU</definedName>
    <definedName name="Ar39_DCerr" localSheetId="0">'Halogen Samples (2)'!$AV:$AV</definedName>
    <definedName name="Ar39_DCerr" localSheetId="4">Hb3Gr!$AV:$AV</definedName>
    <definedName name="Ar39_DCerr" localSheetId="3">Salts!$AV:$AV</definedName>
    <definedName name="Ar39_DCerr" localSheetId="5">Scapolite!$AV:$AV</definedName>
    <definedName name="Ar39_DCerr" localSheetId="12">'Supplementary Data 3'!$AV:$AV</definedName>
    <definedName name="Ar39_DecayCor" localSheetId="0">'Halogen Samples (2)'!$BG:$BG</definedName>
    <definedName name="Ar39_DecayCor" localSheetId="4">Hb3Gr!$BG:$BG</definedName>
    <definedName name="Ar39_DecayCor" localSheetId="3">Salts!$BG:$BG</definedName>
    <definedName name="Ar39_DecayCor" localSheetId="5">Scapolite!$BG:$BG</definedName>
    <definedName name="Ar39_DecayCor" localSheetId="12">'Supplementary Data 3'!$BM:$BM</definedName>
    <definedName name="Ar39_DecayCorerr" localSheetId="0">'Halogen Samples (2)'!$BH:$BH</definedName>
    <definedName name="Ar39_DecayCorerr" localSheetId="4">Hb3Gr!$BH:$BH</definedName>
    <definedName name="Ar39_DecayCorerr" localSheetId="3">Salts!$BH:$BH</definedName>
    <definedName name="Ar39_DecayCorerr" localSheetId="5">Scapolite!$BH:$BH</definedName>
    <definedName name="Ar39_DecayCorerr" localSheetId="12">'Supplementary Data 3'!$BN:$BN</definedName>
    <definedName name="Ar39_DecayFactor" localSheetId="0">'Halogen Samples (2)'!$BD:$BD</definedName>
    <definedName name="Ar39_DecayFactor" localSheetId="4">Hb3Gr!$BD:$BD</definedName>
    <definedName name="Ar39_DecayFactor" localSheetId="3">Salts!$BD:$BD</definedName>
    <definedName name="Ar39_DecayFactor" localSheetId="5">Scapolite!$BD:$BD</definedName>
    <definedName name="Ar39_DecayFactor" localSheetId="12">'Supplementary Data 3'!$BD:$BD</definedName>
    <definedName name="Ar39_IC" localSheetId="0">'Halogen Samples (2)'!$BK:$BK</definedName>
    <definedName name="Ar39_IC" localSheetId="4">Hb3Gr!$BK:$BK</definedName>
    <definedName name="Ar39_IC" localSheetId="3">Salts!$BK:$BK</definedName>
    <definedName name="Ar39_IC" localSheetId="5">Scapolite!$BK:$BK</definedName>
    <definedName name="Ar39_IC" localSheetId="12">'Supplementary Data 3'!$BQ:$BQ</definedName>
    <definedName name="Ar39_ICerr" localSheetId="0">'Halogen Samples (2)'!$BL:$BL</definedName>
    <definedName name="Ar39_ICerr" localSheetId="4">Hb3Gr!$BL:$BL</definedName>
    <definedName name="Ar39_ICerr" localSheetId="3">Salts!$BL:$BL</definedName>
    <definedName name="Ar39_ICerr" localSheetId="5">Scapolite!$BL:$BL</definedName>
    <definedName name="Ar39_ICerr" localSheetId="12">'Supplementary Data 3'!$BR:$BR</definedName>
    <definedName name="Ar3937_Ca" localSheetId="3">Salts!$CD:$CD</definedName>
    <definedName name="Ar3937_Caerr" localSheetId="3">Salts!$CE:$CE</definedName>
    <definedName name="Ar39BC" localSheetId="0">'Halogen Samples (2)'!$AK:$AK</definedName>
    <definedName name="Ar39BC" localSheetId="4">Hb3Gr!$AK:$AK</definedName>
    <definedName name="Ar39BC" localSheetId="3">Salts!$AK:$AK</definedName>
    <definedName name="Ar39BC" localSheetId="5">Scapolite!$AK:$AK</definedName>
    <definedName name="Ar39BC" localSheetId="12">'Supplementary Data 3'!$AK:$AK</definedName>
    <definedName name="Ar39BCerr" localSheetId="0">'Halogen Samples (2)'!$AL:$AL</definedName>
    <definedName name="Ar39BCerr" localSheetId="4">Hb3Gr!$AL:$AL</definedName>
    <definedName name="Ar39BCerr" localSheetId="3">Salts!$AL:$AL</definedName>
    <definedName name="Ar39BCerr" localSheetId="5">Scapolite!$AL:$AL</definedName>
    <definedName name="Ar39BCerr" localSheetId="12">'Supplementary Data 3'!$AL:$AL</definedName>
    <definedName name="Ar39Blank" localSheetId="0">'Halogen Samples (2)'!$AA:$AA</definedName>
    <definedName name="Ar39Blank" localSheetId="4">Hb3Gr!$AA:$AA</definedName>
    <definedName name="Ar39Blank" localSheetId="3">Salts!$AA:$AA</definedName>
    <definedName name="Ar39Blank" localSheetId="5">Scapolite!$AA:$AA</definedName>
    <definedName name="Ar39Blank" localSheetId="12">'Supplementary Data 3'!$AA:$AA</definedName>
    <definedName name="Ar39Blankerr" localSheetId="0">'Halogen Samples (2)'!$AB:$AB</definedName>
    <definedName name="Ar39Blankerr" localSheetId="4">Hb3Gr!$AB:$AB</definedName>
    <definedName name="Ar39Blankerr" localSheetId="3">Salts!$AB:$AB</definedName>
    <definedName name="Ar39Blankerr" localSheetId="5">Scapolite!$AB:$AB</definedName>
    <definedName name="Ar39Blankerr" localSheetId="12">'Supplementary Data 3'!$AB:$AB</definedName>
    <definedName name="Ar39CC" localSheetId="0">'Halogen Samples (2)'!$CF:$CF</definedName>
    <definedName name="Ar39CC" localSheetId="5">Scapolite!$CF:$CF</definedName>
    <definedName name="Ar39CC" localSheetId="12">'Supplementary Data 3'!$CL:$CL</definedName>
    <definedName name="Ar39ccerr" localSheetId="0">'Halogen Samples (2)'!$CG:$CG</definedName>
    <definedName name="Ar39ccerr" localSheetId="5">Scapolite!$CG:$CG</definedName>
    <definedName name="Ar39ccerr" localSheetId="12">'Supplementary Data 3'!$CM:$CM</definedName>
    <definedName name="Ar39Raw" localSheetId="0">'Halogen Samples (2)'!$Q:$Q</definedName>
    <definedName name="Ar39Raw" localSheetId="4">Hb3Gr!$Q:$Q</definedName>
    <definedName name="Ar39Raw" localSheetId="3">Salts!$Q:$Q</definedName>
    <definedName name="Ar39Raw" localSheetId="5">Scapolite!$Q:$Q</definedName>
    <definedName name="Ar39Raw" localSheetId="12">'Supplementary Data 3'!$Q:$Q</definedName>
    <definedName name="Ar39Rawerr" localSheetId="0">'Halogen Samples (2)'!$R:$R</definedName>
    <definedName name="Ar39Rawerr" localSheetId="4">Hb3Gr!$R:$R</definedName>
    <definedName name="Ar39Rawerr" localSheetId="3">Salts!$R:$R</definedName>
    <definedName name="Ar39Rawerr" localSheetId="5">Scapolite!$R:$R</definedName>
    <definedName name="Ar39Rawerr" localSheetId="12">'Supplementary Data 3'!$R:$R</definedName>
    <definedName name="Ar40_IC" localSheetId="0">'Halogen Samples (2)'!$BI:$BI</definedName>
    <definedName name="Ar40_IC" localSheetId="4">Hb3Gr!$BI:$BI</definedName>
    <definedName name="Ar40_IC" localSheetId="3">Salts!$BI:$BI</definedName>
    <definedName name="Ar40_IC" localSheetId="5">Scapolite!$BI:$BI</definedName>
    <definedName name="Ar40_IC" localSheetId="12">'Supplementary Data 3'!$BO:$BO</definedName>
    <definedName name="Ar40_ICerr" localSheetId="0">'Halogen Samples (2)'!$BJ:$BJ</definedName>
    <definedName name="Ar40_ICerr" localSheetId="4">Hb3Gr!$BJ:$BJ</definedName>
    <definedName name="Ar40_ICerr" localSheetId="3">Salts!$BJ:$BJ</definedName>
    <definedName name="Ar40_ICerr" localSheetId="5">Scapolite!$BJ:$BJ</definedName>
    <definedName name="Ar40_ICerr" localSheetId="12">'Supplementary Data 3'!$BP:$BP</definedName>
    <definedName name="Ar40_mole" localSheetId="0">'Halogen Samples (2)'!$CL:$CL</definedName>
    <definedName name="Ar40_mole" localSheetId="4">Hb3Gr!#REF!</definedName>
    <definedName name="Ar40_mole" localSheetId="5">Scapolite!$CL:$CL</definedName>
    <definedName name="Ar40_mole" localSheetId="12">'Supplementary Data 3'!$CR:$CR</definedName>
    <definedName name="Ar40_moleerr" localSheetId="0">'Halogen Samples (2)'!$CM:$CM</definedName>
    <definedName name="Ar40_moleerr" localSheetId="5">Scapolite!$CM:$CM</definedName>
    <definedName name="Ar40_moleerr" localSheetId="12">'Supplementary Data 3'!$CS:$CS</definedName>
    <definedName name="Ar4036_Air" localSheetId="11">'[3]Ref Values '!$B$30</definedName>
    <definedName name="Ar4036_Air" localSheetId="7">'[4]Ref Values '!$B$30</definedName>
    <definedName name="Ar4036_Air">'Ref Values '!$B$30</definedName>
    <definedName name="Ar4036_Aircal" localSheetId="0">'Halogen Samples (2)'!$AS:$AS</definedName>
    <definedName name="Ar4036_Aircal" localSheetId="4">Hb3Gr!$AS:$AS</definedName>
    <definedName name="Ar4036_Aircal" localSheetId="3">Salts!$AS:$AS</definedName>
    <definedName name="Ar4036_Aircal" localSheetId="5">Scapolite!$AS:$AS</definedName>
    <definedName name="Ar4036_Aircal" localSheetId="12">'Supplementary Data 3'!$AS:$AS</definedName>
    <definedName name="Ar4036_Aircalerr" localSheetId="0">'Halogen Samples (2)'!$AT:$AT</definedName>
    <definedName name="Ar4036_Aircalerr" localSheetId="4">Hb3Gr!$AT:$AT</definedName>
    <definedName name="Ar4036_Aircalerr" localSheetId="3">Salts!$AT:$AT</definedName>
    <definedName name="Ar4036_Aircalerr" localSheetId="5">Scapolite!$AT:$AT</definedName>
    <definedName name="Ar4036_Aircalerr" localSheetId="12">'Supplementary Data 3'!$AT:$AT</definedName>
    <definedName name="Ar4036_airerr" localSheetId="11">'[3]Ref Values '!$C$30</definedName>
    <definedName name="Ar4036_airerr" localSheetId="7">'[4]Ref Values '!$C$30</definedName>
    <definedName name="Ar4036_airerr">'Ref Values '!$C$30</definedName>
    <definedName name="Ar4039_K" localSheetId="3">Salts!$BX:$BX</definedName>
    <definedName name="Ar4039_Kerr" localSheetId="3">Salts!$BY:$BY</definedName>
    <definedName name="Ar40AC" localSheetId="0">'Halogen Samples (2)'!$BV:$BV</definedName>
    <definedName name="Ar40AC" localSheetId="4">Hb3Gr!$BV:$BV</definedName>
    <definedName name="Ar40AC" localSheetId="3">Salts!$BV:$BV</definedName>
    <definedName name="Ar40AC" localSheetId="5">Scapolite!$BV:$BV</definedName>
    <definedName name="Ar40AC" localSheetId="12">'Supplementary Data 3'!$CB:$CB</definedName>
    <definedName name="Ar40ACerr" localSheetId="0">'Halogen Samples (2)'!$BW:$BW</definedName>
    <definedName name="Ar40ACerr" localSheetId="4">Hb3Gr!$BW:$BW</definedName>
    <definedName name="Ar40ACerr" localSheetId="3">Salts!$BW:$BW</definedName>
    <definedName name="Ar40ACerr" localSheetId="5">Scapolite!$BW:$BW</definedName>
    <definedName name="Ar40ACerr" localSheetId="12">'Supplementary Data 3'!$CC:$CC</definedName>
    <definedName name="Ar40Ar39" localSheetId="0">'Halogen Samples (2)'!$DZ:$DZ</definedName>
    <definedName name="Ar40Ar39" localSheetId="4">Hb3Gr!$BX:$BX</definedName>
    <definedName name="Ar40Ar39" localSheetId="5">Scapolite!$EF:$EF</definedName>
    <definedName name="Ar40Ar39" localSheetId="12">'Supplementary Data 3'!$EF:$EF</definedName>
    <definedName name="Ar40Ar39" localSheetId="7">Vertical_variation!$BV:$BV</definedName>
    <definedName name="Ar40Ar39err" localSheetId="0">'Halogen Samples (2)'!$EA:$EA</definedName>
    <definedName name="Ar40Ar39err" localSheetId="4">Hb3Gr!$BY:$BY</definedName>
    <definedName name="Ar40Ar39err" localSheetId="5">Scapolite!$EG:$EG</definedName>
    <definedName name="Ar40Ar39err" localSheetId="12">'Supplementary Data 3'!$EG:$EG</definedName>
    <definedName name="Ar40Ar39err" localSheetId="7">Vertical_variation!$BW:$BW</definedName>
    <definedName name="Ar40BC" localSheetId="0">'Halogen Samples (2)'!$AI:$AI</definedName>
    <definedName name="Ar40BC" localSheetId="4">Hb3Gr!$AI:$AI</definedName>
    <definedName name="Ar40BC" localSheetId="3">Salts!$AI:$AI</definedName>
    <definedName name="Ar40BC" localSheetId="5">Scapolite!$AI:$AI</definedName>
    <definedName name="Ar40BC" localSheetId="12">'Supplementary Data 3'!$AI:$AI</definedName>
    <definedName name="Ar40BCerr" localSheetId="0">'Halogen Samples (2)'!$AJ:$AJ</definedName>
    <definedName name="Ar40BCerr" localSheetId="4">Hb3Gr!$AJ:$AJ</definedName>
    <definedName name="Ar40BCerr" localSheetId="3">Salts!$AJ:$AJ</definedName>
    <definedName name="Ar40BCerr" localSheetId="5">Scapolite!$AJ:$AJ</definedName>
    <definedName name="Ar40BCerr" localSheetId="12">'Supplementary Data 3'!$AJ:$AJ</definedName>
    <definedName name="Ar40Blank" localSheetId="0">'Halogen Samples (2)'!$Y:$Y</definedName>
    <definedName name="Ar40Blank" localSheetId="4">Hb3Gr!$Y:$Y</definedName>
    <definedName name="Ar40Blank" localSheetId="3">Salts!$Y:$Y</definedName>
    <definedName name="Ar40Blank" localSheetId="5">Scapolite!$Y:$Y</definedName>
    <definedName name="Ar40Blank" localSheetId="12">'Supplementary Data 3'!$Y:$Y</definedName>
    <definedName name="Ar40Blankerr" localSheetId="0">'Halogen Samples (2)'!$Z:$Z</definedName>
    <definedName name="Ar40Blankerr" localSheetId="4">Hb3Gr!$Z:$Z</definedName>
    <definedName name="Ar40Blankerr" localSheetId="3">Salts!$Z:$Z</definedName>
    <definedName name="Ar40Blankerr" localSheetId="5">Scapolite!$Z:$Z</definedName>
    <definedName name="Ar40Blankerr" localSheetId="12">'Supplementary Data 3'!$Z:$Z</definedName>
    <definedName name="Ar40CC" localSheetId="0">'Halogen Samples (2)'!$CH:$CH</definedName>
    <definedName name="Ar40CC" localSheetId="5">Scapolite!$CH:$CH</definedName>
    <definedName name="Ar40CC" localSheetId="12">'Supplementary Data 3'!$CN:$CN</definedName>
    <definedName name="Ar40CCerrr" localSheetId="0">'Halogen Samples (2)'!$CI:$CI</definedName>
    <definedName name="Ar40CCerrr" localSheetId="5">Scapolite!$CI:$CI</definedName>
    <definedName name="Ar40CCerrr" localSheetId="12">'Supplementary Data 3'!$CO:$CO</definedName>
    <definedName name="Ar40Cl_mol" localSheetId="0">'Halogen Samples (2)'!$DX:$DX</definedName>
    <definedName name="Ar40Cl_mol" localSheetId="5">Scapolite!$ED:$ED</definedName>
    <definedName name="Ar40Cl_mol" localSheetId="12">'Supplementary Data 3'!$ED:$ED</definedName>
    <definedName name="Ar40Cl_molerr" localSheetId="5">Scapolite!$EE:$EE</definedName>
    <definedName name="Ar40K" localSheetId="0">'Halogen Samples (2)'!$EB:$EB</definedName>
    <definedName name="Ar40K" localSheetId="5">Scapolite!$EH:$EH</definedName>
    <definedName name="Ar40K" localSheetId="12">'Supplementary Data 3'!$EH:$EH</definedName>
    <definedName name="Ar40Raw" localSheetId="0">'Halogen Samples (2)'!$O:$O</definedName>
    <definedName name="Ar40Raw" localSheetId="4">Hb3Gr!$O:$O</definedName>
    <definedName name="Ar40Raw" localSheetId="3">Salts!$O:$O</definedName>
    <definedName name="Ar40Raw" localSheetId="5">Scapolite!$O:$O</definedName>
    <definedName name="Ar40Raw" localSheetId="12">'Supplementary Data 3'!$O:$O</definedName>
    <definedName name="Ar40Rawerr" localSheetId="0">'Halogen Samples (2)'!$P:$P</definedName>
    <definedName name="Ar40Rawerr" localSheetId="4">Hb3Gr!$P:$P</definedName>
    <definedName name="Ar40Rawerr" localSheetId="3">Salts!$P:$P</definedName>
    <definedName name="Ar40Rawerr" localSheetId="5">Scapolite!$P:$P</definedName>
    <definedName name="Ar40Rawerr" localSheetId="12">'Supplementary Data 3'!$P:$P</definedName>
    <definedName name="Ba_Factor" localSheetId="0">'Halogen Samples (2)'!$LA:$LA</definedName>
    <definedName name="Ba_Factor" localSheetId="6">Shallowater!$CZ:$CZ</definedName>
    <definedName name="Ba_Factor" localSheetId="12">'Supplementary Data 3'!$LG:$LG</definedName>
    <definedName name="Ba_Factorerr" localSheetId="0">'Halogen Samples (2)'!$LB:$LB</definedName>
    <definedName name="Ba_Factorerr" localSheetId="6">Shallowater!$DA:$DA</definedName>
    <definedName name="Ba_Factorerr" localSheetId="12">'Supplementary Data 3'!$LH:$LH</definedName>
    <definedName name="Ba_FactorSW" localSheetId="0">'Halogen Samples (2)'!$KU:$KU</definedName>
    <definedName name="Ba_FactorSW" localSheetId="5">Scapolite!$KG:$KG</definedName>
    <definedName name="Ba_FactorSW" localSheetId="12">'Supplementary Data 3'!$LA:$LA</definedName>
    <definedName name="Ba_FactorSWerr" localSheetId="0">'Halogen Samples (2)'!$KV:$KV</definedName>
    <definedName name="Ba_FactorSWerr" localSheetId="5">Scapolite!$KH:$KH</definedName>
    <definedName name="Ba_FactorSWerr" localSheetId="12">'Supplementary Data 3'!$LB:$LB</definedName>
    <definedName name="Ba_mole" localSheetId="0">'Halogen Samples (2)'!$KW:$KW</definedName>
    <definedName name="Ba_mole" localSheetId="5">Scapolite!$KI:$KI</definedName>
    <definedName name="Ba_mole" localSheetId="12">'Supplementary Data 3'!$LC:$LC</definedName>
    <definedName name="Ba_moleBF" localSheetId="0">'Halogen Samples (2)'!$LC:$LC</definedName>
    <definedName name="Ba_moleBF" localSheetId="12">'Supplementary Data 3'!$LI:$LI</definedName>
    <definedName name="Ba_moleBFerr" localSheetId="0">'Halogen Samples (2)'!$LD:$LD</definedName>
    <definedName name="Ba_moleBFerr" localSheetId="12">'Supplementary Data 3'!$LJ:$LJ</definedName>
    <definedName name="Ba_moleerr" localSheetId="0">'Halogen Samples (2)'!$KX:$KX</definedName>
    <definedName name="Ba_moleerr" localSheetId="5">Scapolite!$KJ:$KJ</definedName>
    <definedName name="Ba_moleerr" localSheetId="12">'Supplementary Data 3'!$LD:$LD</definedName>
    <definedName name="Ba_ppm" localSheetId="0">'Halogen Samples (2)'!$KY:$KY</definedName>
    <definedName name="Ba_ppm" localSheetId="5">Scapolite!$KK:$KK</definedName>
    <definedName name="Ba_ppm" localSheetId="12">'Supplementary Data 3'!$LE:$LE</definedName>
    <definedName name="Ba_ppmBF" localSheetId="0">'Halogen Samples (2)'!$LE:$LE</definedName>
    <definedName name="Ba_ppmBF" localSheetId="12">'Supplementary Data 3'!$LK:$LK</definedName>
    <definedName name="Ba_ppmBFerr" localSheetId="0">'Halogen Samples (2)'!$LF:$LF</definedName>
    <definedName name="Ba_ppmBFerr" localSheetId="12">'Supplementary Data 3'!$LL:$LL</definedName>
    <definedName name="Ba_ppmerr" localSheetId="0">'Halogen Samples (2)'!$KZ:$KZ</definedName>
    <definedName name="Ba_ppmerr" localSheetId="5">Scapolite!$KL:$KL</definedName>
    <definedName name="Ba_ppmerr" localSheetId="12">'Supplementary Data 3'!$LF:$LF</definedName>
    <definedName name="Ba130_Abun" localSheetId="11">'[3]Ref Values '!$C$96</definedName>
    <definedName name="Ba130_Abun" localSheetId="7">'[4]Ref Values '!$C$96</definedName>
    <definedName name="Ba130_Abun">'Ref Values '!$C$96</definedName>
    <definedName name="Ba130_Abunerr">'Ref Values '!$D$96</definedName>
    <definedName name="Ba130_ETh" localSheetId="6">Shallowater!$CV:$CV</definedName>
    <definedName name="Ba130_ETherr" localSheetId="6">Shallowater!$CW:$CW</definedName>
    <definedName name="Ba130_Th" localSheetId="6">Shallowater!$CX:$CX</definedName>
    <definedName name="Ba130_Therr" localSheetId="6">Shallowater!$CY:$CY</definedName>
    <definedName name="BB1_Br" localSheetId="11">'[3]Ref Values '!$B$60</definedName>
    <definedName name="BB1_Br" localSheetId="7">'[4]Ref Values '!$B$60</definedName>
    <definedName name="BB1_Br">'Ref Values '!$B$60</definedName>
    <definedName name="BB1_BrCl" localSheetId="11">'[3]Ref Values '!$B$66</definedName>
    <definedName name="BB1_BrCl" localSheetId="7">'[4]Ref Values '!$B$66</definedName>
    <definedName name="BB1_BrCl">'Ref Values '!$B$66</definedName>
    <definedName name="BB1_BrClerr" localSheetId="11">'[3]Ref Values '!$C$66</definedName>
    <definedName name="BB1_BrClerr" localSheetId="7">'[4]Ref Values '!$C$66</definedName>
    <definedName name="BB1_BrClerr">'Ref Values '!$C$66</definedName>
    <definedName name="BB1_Brerr" localSheetId="11">'[3]Ref Values '!$C$60</definedName>
    <definedName name="BB1_Brerr" localSheetId="7">'[4]Ref Values '!$C$60</definedName>
    <definedName name="BB1_Brerr">'Ref Values '!$C$60</definedName>
    <definedName name="BB1_Ca">'Ref Values '!$B$53</definedName>
    <definedName name="BB1_Caerr">'Ref Values '!$C$53</definedName>
    <definedName name="BB1_Cl" localSheetId="11">'[3]Ref Values '!$B$57</definedName>
    <definedName name="BB1_Cl" localSheetId="7">'[4]Ref Values '!$B$57</definedName>
    <definedName name="BB1_Cl">'Ref Values '!$B$57</definedName>
    <definedName name="BB1_Clerr" localSheetId="11">'[3]Ref Values '!$C$57</definedName>
    <definedName name="BB1_Clerr" localSheetId="7">'[4]Ref Values '!$C$57</definedName>
    <definedName name="BB1_Clerr">'Ref Values '!$C$57</definedName>
    <definedName name="BB1_I" localSheetId="11">'[3]Ref Values '!$B$63</definedName>
    <definedName name="BB1_I" localSheetId="7">'[4]Ref Values '!$B$63</definedName>
    <definedName name="BB1_I">'Ref Values '!$B$63</definedName>
    <definedName name="BB1_ICl" localSheetId="11">'[3]Ref Values '!$B$69</definedName>
    <definedName name="BB1_ICl" localSheetId="7">'[4]Ref Values '!$B$69</definedName>
    <definedName name="BB1_ICl">'Ref Values '!$B$69</definedName>
    <definedName name="BB1_IClerr" localSheetId="11">'[3]Ref Values '!$C$69</definedName>
    <definedName name="BB1_IClerr" localSheetId="7">'[4]Ref Values '!$C$69</definedName>
    <definedName name="BB1_IClerr">'Ref Values '!$C$69</definedName>
    <definedName name="BB1_Ierr" localSheetId="11">'[3]Ref Values '!$C$63</definedName>
    <definedName name="BB1_Ierr" localSheetId="7">'[4]Ref Values '!$C$63</definedName>
    <definedName name="BB1_Ierr">'Ref Values '!$C$63</definedName>
    <definedName name="BB1_K">'Ref Values '!$B$49</definedName>
    <definedName name="BB1_KCa">'Ref Values '!$B$77</definedName>
    <definedName name="BB1_KCaerr">'Ref Values '!$C$77</definedName>
    <definedName name="BB1_KCl">'Ref Values '!$B$73</definedName>
    <definedName name="BB1_KClerr">'Ref Values '!$C$73</definedName>
    <definedName name="BB1_Kerr">'Ref Values '!$C$49</definedName>
    <definedName name="BB2__SP_KCa">'Ref Values '!$B$78</definedName>
    <definedName name="BB2__SP_KCaerr">'Ref Values '!$C$78</definedName>
    <definedName name="BB2_SP_Br" localSheetId="11">'[3]Ref Values '!$B$61</definedName>
    <definedName name="BB2_SP_Br" localSheetId="7">'[4]Ref Values '!$B$61</definedName>
    <definedName name="BB2_SP_Br">'Ref Values '!$B$61</definedName>
    <definedName name="BB2_SP_BrCl" localSheetId="11">'[3]Ref Values '!$B$67</definedName>
    <definedName name="BB2_SP_BrCl" localSheetId="7">'[4]Ref Values '!$B$67</definedName>
    <definedName name="BB2_SP_BrCl">'Ref Values '!$B$67</definedName>
    <definedName name="BB2_SP_BrClerr" localSheetId="11">'[3]Ref Values '!$C$67</definedName>
    <definedName name="BB2_SP_BrClerr" localSheetId="7">'[4]Ref Values '!$C$67</definedName>
    <definedName name="BB2_SP_BrClerr">'Ref Values '!$C$67</definedName>
    <definedName name="BB2_SP_Brerr" localSheetId="11">'[3]Ref Values '!$C$61</definedName>
    <definedName name="BB2_SP_Brerr" localSheetId="7">'[4]Ref Values '!$C$61</definedName>
    <definedName name="BB2_SP_Brerr">'Ref Values '!$C$61</definedName>
    <definedName name="BB2_SP_Ca">'Ref Values '!$B$54</definedName>
    <definedName name="BB2_SP_Caerr">'Ref Values '!$C$54</definedName>
    <definedName name="BB2_SP_Cl" localSheetId="11">'[3]Ref Values '!$B$58</definedName>
    <definedName name="BB2_SP_Cl" localSheetId="7">'[4]Ref Values '!$B$58</definedName>
    <definedName name="BB2_SP_Cl">'Ref Values '!$B$58</definedName>
    <definedName name="BB2_SP_Clerr" localSheetId="11">'[3]Ref Values '!$C$58</definedName>
    <definedName name="BB2_SP_Clerr" localSheetId="7">'[4]Ref Values '!$C$58</definedName>
    <definedName name="BB2_SP_Clerr">'Ref Values '!$C$58</definedName>
    <definedName name="BB2_SP_I" localSheetId="11">'[3]Ref Values '!$B$64</definedName>
    <definedName name="BB2_SP_I" localSheetId="7">'[4]Ref Values '!$B$64</definedName>
    <definedName name="BB2_SP_I">'Ref Values '!$B$64</definedName>
    <definedName name="BB2_SP_ICl" localSheetId="11">'[3]Ref Values '!$B$70</definedName>
    <definedName name="BB2_SP_ICl" localSheetId="7">'[4]Ref Values '!$B$70</definedName>
    <definedName name="BB2_SP_ICl">'Ref Values '!$B$70</definedName>
    <definedName name="BB2_SP_IClerr" localSheetId="11">'[3]Ref Values '!$C$70</definedName>
    <definedName name="BB2_SP_IClerr" localSheetId="7">'[4]Ref Values '!$C$70</definedName>
    <definedName name="BB2_SP_IClerr">'Ref Values '!$C$70</definedName>
    <definedName name="BB2_SP_Ierr" localSheetId="11">'[3]Ref Values '!$C$64</definedName>
    <definedName name="BB2_SP_Ierr" localSheetId="7">'[4]Ref Values '!$C$64</definedName>
    <definedName name="BB2_SP_Ierr">'Ref Values '!$C$64</definedName>
    <definedName name="BB2_SP_K">'Ref Values '!$B$50</definedName>
    <definedName name="BB2_SP_KCl">'Ref Values '!$B$74</definedName>
    <definedName name="BB2_SP_KClerr">'Ref Values '!$C$74</definedName>
    <definedName name="BB2_SP_Kerr">'Ref Values '!$C$50</definedName>
    <definedName name="Beta" localSheetId="0">'Halogen Samples (2)'!$CV:$CV</definedName>
    <definedName name="Beta" localSheetId="4">Hb3Gr!$CM:$CM</definedName>
    <definedName name="Beta" localSheetId="5">Scapolite!$CV:$CV</definedName>
    <definedName name="Beta" localSheetId="12">'Supplementary Data 3'!$DB:$DB</definedName>
    <definedName name="Beta" localSheetId="7">Vertical_variation!$CK:$CK</definedName>
    <definedName name="Betaerr" localSheetId="0">'Halogen Samples (2)'!$CW:$CW</definedName>
    <definedName name="Betaerr" localSheetId="4">Hb3Gr!$CN:$CN</definedName>
    <definedName name="Betaerr" localSheetId="5">Scapolite!$CW:$CW</definedName>
    <definedName name="Betaerr" localSheetId="12">'Supplementary Data 3'!$DC:$DC</definedName>
    <definedName name="Betaerr" localSheetId="7">Vertical_variation!$CL:$CL</definedName>
    <definedName name="Br79_Abun" localSheetId="11">'[3]Ref Values '!$C$93</definedName>
    <definedName name="Br79_Abun" localSheetId="7">'[4]Ref Values '!$C$93</definedName>
    <definedName name="Br79_Abun">'Ref Values '!$C$93</definedName>
    <definedName name="Br79_Abunerr" localSheetId="11">'[3]Ref Values '!$D$93</definedName>
    <definedName name="Br79_Abunerr" localSheetId="7">'[4]Ref Values '!$D$93</definedName>
    <definedName name="Br79_Abunerr">'Ref Values '!$D$93</definedName>
    <definedName name="Br79_Cl_meas" localSheetId="5">Scapolite!$GM:$GM</definedName>
    <definedName name="Br79_Cl_measerr" localSheetId="5">Scapolite!$GN:$GN</definedName>
    <definedName name="Br79_Constant" localSheetId="11">'[3]Ref Values '!$B$116</definedName>
    <definedName name="Br79_Constant" localSheetId="7">'[4]Ref Values '!$B$116</definedName>
    <definedName name="Br79_Constant">'Ref Values '!$B$116</definedName>
    <definedName name="Br79_Constanterr" localSheetId="11">'[3]Ref Values '!$C$116</definedName>
    <definedName name="Br79_Constanterr" localSheetId="7">'[4]Ref Values '!$C$116</definedName>
    <definedName name="Br79_Constanterr">'Ref Values '!$C$116</definedName>
    <definedName name="Br79_ETh" localSheetId="6">Shallowater!$CJ:$CJ</definedName>
    <definedName name="Br79_ETherr" localSheetId="6">Shallowater!$CK:$CK</definedName>
    <definedName name="Br79_Factor" localSheetId="5">Scapolite!$GO:$GO</definedName>
    <definedName name="Br79_Factor" localSheetId="6">Shallowater!$CN:$CN</definedName>
    <definedName name="Br79_Factorerr" localSheetId="5">Scapolite!$GP:$GP</definedName>
    <definedName name="Br79_Factorerr" localSheetId="6">Shallowater!$CO:$CO</definedName>
    <definedName name="Br79_FactorSW" localSheetId="0">'Halogen Samples (2)'!$HK:$HK</definedName>
    <definedName name="Br79_FactorSW" localSheetId="5">Scapolite!$HC:$HC</definedName>
    <definedName name="Br79_FactorSW" localSheetId="12">'Supplementary Data 3'!$HQ:$HQ</definedName>
    <definedName name="Br79_ppm" localSheetId="5">Scapolite!$HE:$HE</definedName>
    <definedName name="Br79_ppmerr" localSheetId="5">Scapolite!$HF:$HF</definedName>
    <definedName name="Br79_Prod" localSheetId="5">Scapolite!$GS:$GS</definedName>
    <definedName name="Br79_Proderr" localSheetId="5">Scapolite!$GT:$GT</definedName>
    <definedName name="Br79_Th" localSheetId="6">Shallowater!$CL:$CL</definedName>
    <definedName name="Br79_Therr" localSheetId="6">Shallowater!$CM:$CM</definedName>
    <definedName name="Br79Factor_SWerr" localSheetId="0">'Halogen Samples (2)'!$HL:$HL</definedName>
    <definedName name="Br79Factor_SWerr" localSheetId="5">Scapolite!$HD:$HD</definedName>
    <definedName name="Br79Factor_SWerr" localSheetId="12">'Supplementary Data 3'!$HR:$HR</definedName>
    <definedName name="Br79mole_SC" localSheetId="0">'Halogen Samples (2)'!$GY:$GY</definedName>
    <definedName name="Br79mole_SC" localSheetId="12">'Supplementary Data 3'!$HE:$HE</definedName>
    <definedName name="Br79mole_SCerr" localSheetId="0">'Halogen Samples (2)'!$GZ:$GZ</definedName>
    <definedName name="Br79mole_SCerr" localSheetId="12">'Supplementary Data 3'!$HF:$HF</definedName>
    <definedName name="Br79ppb_SC" localSheetId="0">'Halogen Samples (2)'!$HA:$HA</definedName>
    <definedName name="Br79ppb_SC" localSheetId="12">'Supplementary Data 3'!$HG:$HG</definedName>
    <definedName name="Br79ppb_SCerr" localSheetId="0">'Halogen Samples (2)'!$HB:$HB</definedName>
    <definedName name="Br79ppb_SCerr" localSheetId="12">'Supplementary Data 3'!$HH:$HH</definedName>
    <definedName name="Br79ppb_SW" localSheetId="0">'Halogen Samples (2)'!$HM:$HM</definedName>
    <definedName name="Br79ppb_SW" localSheetId="12">'Supplementary Data 3'!$HS:$HS</definedName>
    <definedName name="Br79ppb_SWerr" localSheetId="0">'Halogen Samples (2)'!$HN:$HN</definedName>
    <definedName name="Br79ppb_SWerr" localSheetId="12">'Supplementary Data 3'!$HT:$HT</definedName>
    <definedName name="Br81_Abun" localSheetId="11">'[3]Ref Values '!$C$94</definedName>
    <definedName name="Br81_Abun" localSheetId="7">'[4]Ref Values '!$C$94</definedName>
    <definedName name="Br81_Abun">'Ref Values '!$C$94</definedName>
    <definedName name="Br81_Abunerr" localSheetId="11">'[3]Ref Values '!$D$94</definedName>
    <definedName name="Br81_Abunerr" localSheetId="7">'[4]Ref Values '!$D$94</definedName>
    <definedName name="Br81_Abunerr">'Ref Values '!$D$94</definedName>
    <definedName name="Br81_Cl_meas" localSheetId="5">Scapolite!$GU:$GU</definedName>
    <definedName name="Br81_Cl_measerr" localSheetId="5">Scapolite!$GV:$GV</definedName>
    <definedName name="Br81_Constant" localSheetId="11">'[3]Ref Values '!$B$117</definedName>
    <definedName name="Br81_Constant" localSheetId="7">'[4]Ref Values '!$B$117</definedName>
    <definedName name="Br81_Constant">'Ref Values '!$B$117</definedName>
    <definedName name="Br81_Constanterr" localSheetId="11">'[3]Ref Values '!$C$117</definedName>
    <definedName name="Br81_Constanterr" localSheetId="7">'[4]Ref Values '!$C$117</definedName>
    <definedName name="Br81_Constanterr">'Ref Values '!$C$117</definedName>
    <definedName name="Br81_ETh" localSheetId="6">Shallowater!$CP:$CP</definedName>
    <definedName name="Br81_ETherr" localSheetId="6">Shallowater!$CQ:$CQ</definedName>
    <definedName name="Br81_Factor" localSheetId="5">Scapolite!$GW:$GW</definedName>
    <definedName name="Br81_Factor" localSheetId="6">Shallowater!$CT:$CT</definedName>
    <definedName name="Br81_Factorerr" localSheetId="5">Scapolite!$GX:$GX</definedName>
    <definedName name="Br81_Factorerr" localSheetId="6">Shallowater!$CU:$CU</definedName>
    <definedName name="Br81_FactorSW" localSheetId="0">'Halogen Samples (2)'!$HO:$HO</definedName>
    <definedName name="Br81_FactorSW" localSheetId="5">Scapolite!$HG:$HG</definedName>
    <definedName name="Br81_FactorSW" localSheetId="12">'Supplementary Data 3'!$HU:$HU</definedName>
    <definedName name="Br81_FactorSWerr" localSheetId="0">'Halogen Samples (2)'!$HP:$HP</definedName>
    <definedName name="Br81_FactorSWerr" localSheetId="5">Scapolite!$HH:$HH</definedName>
    <definedName name="Br81_FactorSWerr" localSheetId="12">'Supplementary Data 3'!$HV:$HV</definedName>
    <definedName name="Br81_ppm" localSheetId="5">Scapolite!$HI:$HI</definedName>
    <definedName name="Br81_ppmerr" localSheetId="5">Scapolite!$HJ:$HJ</definedName>
    <definedName name="Br81_Prod" localSheetId="5">Scapolite!$HA:$HA</definedName>
    <definedName name="Br81_Proderr" localSheetId="5">Scapolite!$HB:$HB</definedName>
    <definedName name="Br81_Th" localSheetId="6">Shallowater!$CR:$CR</definedName>
    <definedName name="Br81_Therr" localSheetId="6">Shallowater!$CS:$CS</definedName>
    <definedName name="Br81mole_SC" localSheetId="0">'Halogen Samples (2)'!$HG:$HG</definedName>
    <definedName name="Br81mole_SC" localSheetId="12">'Supplementary Data 3'!$HM:$HM</definedName>
    <definedName name="Br81mole_SCerr" localSheetId="0">'Halogen Samples (2)'!$HH:$HH</definedName>
    <definedName name="Br81mole_SCerr" localSheetId="12">'Supplementary Data 3'!$HN:$HN</definedName>
    <definedName name="Br81ppb_SC" localSheetId="0">'Halogen Samples (2)'!$HI:$HI</definedName>
    <definedName name="Br81ppb_SC" localSheetId="12">'Supplementary Data 3'!$HO:$HO</definedName>
    <definedName name="Br81ppb_SCerr" localSheetId="0">'Halogen Samples (2)'!$HJ:$HJ</definedName>
    <definedName name="Br81ppb_SCerr" localSheetId="12">'Supplementary Data 3'!$HP:$HP</definedName>
    <definedName name="Br81ppb_SW" localSheetId="0">'Halogen Samples (2)'!$HQ:$HQ</definedName>
    <definedName name="Br81ppb_SW" localSheetId="12">'Supplementary Data 3'!$HW:$HW</definedName>
    <definedName name="Br81ppb_SWerr" localSheetId="0">'Halogen Samples (2)'!$HR:$HR</definedName>
    <definedName name="Br81ppb_SWerr" localSheetId="12">'Supplementary Data 3'!$HX:$HX</definedName>
    <definedName name="Ca_Constant" localSheetId="11">'[3]Ref Values '!$B$111</definedName>
    <definedName name="Ca_Constant" localSheetId="7">'[4]Ref Values '!$B$111</definedName>
    <definedName name="Ca_Constant">'Ref Values '!$B$111</definedName>
    <definedName name="Ca_Constanterr" localSheetId="11">'[3]Ref Values '!$C$111</definedName>
    <definedName name="Ca_Constanterr" localSheetId="7">'[4]Ref Values '!$C$111</definedName>
    <definedName name="Ca_Constanterr">'Ref Values '!$C$111</definedName>
    <definedName name="Ca_mole" localSheetId="0">'Halogen Samples (2)'!$DJ:$DJ</definedName>
    <definedName name="Ca_mole" localSheetId="5">Scapolite!$DP:$DP</definedName>
    <definedName name="Ca_mole" localSheetId="12">'Supplementary Data 3'!$DP:$DP</definedName>
    <definedName name="Ca_moleerr" localSheetId="0">'Halogen Samples (2)'!$DK:$DK</definedName>
    <definedName name="Ca_moleerr" localSheetId="5">Scapolite!$DQ:$DQ</definedName>
    <definedName name="Ca_moleerr" localSheetId="12">'Supplementary Data 3'!$DQ:$DQ</definedName>
    <definedName name="Ca_ppm" localSheetId="0">'Halogen Samples (2)'!$DL:$DL</definedName>
    <definedName name="Ca_ppm" localSheetId="5">Scapolite!$DR:$DR</definedName>
    <definedName name="Ca_ppm" localSheetId="12">'Supplementary Data 3'!$DR:$DR</definedName>
    <definedName name="Ca_ppmerr" localSheetId="0">'Halogen Samples (2)'!$DM:$DM</definedName>
    <definedName name="Ca_ppmerr" localSheetId="5">Scapolite!$DS:$DS</definedName>
    <definedName name="Ca_ppmerr" localSheetId="12">'Supplementary Data 3'!$DS:$DS</definedName>
    <definedName name="Ca37_Prod" localSheetId="4">Hb3Gr!$CS:$CS</definedName>
    <definedName name="Ca37_Prod" localSheetId="5">Scapolite!$DB:$DB</definedName>
    <definedName name="Ca37_Proderr" localSheetId="4">Hb3Gr!$CT:$CT</definedName>
    <definedName name="Ca37_Proderr" localSheetId="5">Scapolite!$DC:$DC</definedName>
    <definedName name="Cl_79Br" localSheetId="0">'Halogen Samples (2)'!$GW:$GW</definedName>
    <definedName name="Cl_79Br" localSheetId="12">'Supplementary Data 3'!$HC:$HC</definedName>
    <definedName name="Cl_79Brerr" localSheetId="0">'Halogen Samples (2)'!$GX:$GX</definedName>
    <definedName name="Cl_79Brerr" localSheetId="12">'Supplementary Data 3'!$HD:$HD</definedName>
    <definedName name="Cl_81Br" localSheetId="0">'Halogen Samples (2)'!$HE:$HE</definedName>
    <definedName name="Cl_81Br" localSheetId="12">'Supplementary Data 3'!$HK:$HK</definedName>
    <definedName name="Cl_81Brerr" localSheetId="0">'Halogen Samples (2)'!$HF:$HF</definedName>
    <definedName name="Cl_81Brerr" localSheetId="12">'Supplementary Data 3'!$HL:$HL</definedName>
    <definedName name="Cl_Constant" localSheetId="11">'[3]Ref Values '!$B$110</definedName>
    <definedName name="Cl_Constant" localSheetId="7">'[4]Ref Values '!$B$110</definedName>
    <definedName name="Cl_Constant">'Ref Values '!$B$110</definedName>
    <definedName name="Cl_Constanterr" localSheetId="11">'[3]Ref Values '!$C$110</definedName>
    <definedName name="Cl_Constanterr" localSheetId="7">'[4]Ref Values '!$C$110</definedName>
    <definedName name="Cl_Constanterr">'Ref Values '!$C$110</definedName>
    <definedName name="Cl_I" localSheetId="0">'Halogen Samples (2)'!$KK:$KK</definedName>
    <definedName name="Cl_I" localSheetId="12">'Supplementary Data 3'!$KQ:$KQ</definedName>
    <definedName name="Cl_Ierr" localSheetId="0">'Halogen Samples (2)'!$KL:$KL</definedName>
    <definedName name="Cl_Ierr" localSheetId="12">'Supplementary Data 3'!$KR:$KR</definedName>
    <definedName name="Cl_mole" localSheetId="0">'Halogen Samples (2)'!$DD:$DD</definedName>
    <definedName name="Cl_mole" localSheetId="5">Scapolite!$DJ:$DJ</definedName>
    <definedName name="Cl_mole" localSheetId="12">'Supplementary Data 3'!$DJ:$DJ</definedName>
    <definedName name="Cl_moleerr" localSheetId="0">'Halogen Samples (2)'!$DE:$DE</definedName>
    <definedName name="Cl_moleerr" localSheetId="5">Scapolite!$DK:$DK</definedName>
    <definedName name="Cl_moleerr" localSheetId="12">'Supplementary Data 3'!$DK:$DK</definedName>
    <definedName name="Cl_ppm" localSheetId="0">'Halogen Samples (2)'!$DF:$DF</definedName>
    <definedName name="Cl_ppm" localSheetId="5">Scapolite!$DL:$DL</definedName>
    <definedName name="Cl_ppm" localSheetId="12">'Supplementary Data 3'!$DL:$DL</definedName>
    <definedName name="Cl_ppmerr" localSheetId="0">'Halogen Samples (2)'!$DG:$DG</definedName>
    <definedName name="Cl_ppmerr" localSheetId="5">Scapolite!$DM:$DM</definedName>
    <definedName name="Cl_ppmerr" localSheetId="12">'Supplementary Data 3'!$DM:$DM</definedName>
    <definedName name="Cl3638_PR" localSheetId="11">'[3]Ref Values '!$B$103</definedName>
    <definedName name="Cl3638_PR" localSheetId="7">'[4]Ref Values '!$B$103</definedName>
    <definedName name="Cl3638_PR">'Ref Values '!$B$103</definedName>
    <definedName name="Cl37_Abun" localSheetId="11">'[3]Ref Values '!$C$90</definedName>
    <definedName name="Cl37_Abun" localSheetId="7">'[4]Ref Values '!$C$90</definedName>
    <definedName name="Cl37_Abun">'Ref Values '!$C$90</definedName>
    <definedName name="Cl37_Abunerr" localSheetId="11">'[3]Ref Values '!$D$90</definedName>
    <definedName name="Cl37_Abunerr" localSheetId="7">'[4]Ref Values '!$D$90</definedName>
    <definedName name="Cl37_Abunerr">'Ref Values '!$D$90</definedName>
    <definedName name="Cl38_Prod" localSheetId="4">Hb3Gr!$CQ:$CQ</definedName>
    <definedName name="Cl38_Prod" localSheetId="5">Scapolite!$CZ:$CZ</definedName>
    <definedName name="Cl38_Proderr" localSheetId="4">Hb3Gr!$CR:$CR</definedName>
    <definedName name="Cl38_Proderr" localSheetId="5">Scapolite!$DA:$DA</definedName>
    <definedName name="Ellipse1_1" localSheetId="0">#REF!</definedName>
    <definedName name="Ellipse1_1" localSheetId="11">#REF!</definedName>
    <definedName name="Ellipse1_1" localSheetId="12">#REF!</definedName>
    <definedName name="Ellipse1_1" localSheetId="7">#REF!</definedName>
    <definedName name="Ellipse1_1">#REF!</definedName>
    <definedName name="Ellipse1_10" localSheetId="0">#REF!</definedName>
    <definedName name="Ellipse1_10" localSheetId="11">#REF!</definedName>
    <definedName name="Ellipse1_10" localSheetId="12">#REF!</definedName>
    <definedName name="Ellipse1_10">#REF!</definedName>
    <definedName name="Ellipse1_11" localSheetId="0">#REF!</definedName>
    <definedName name="Ellipse1_11" localSheetId="11">#REF!</definedName>
    <definedName name="Ellipse1_11" localSheetId="12">#REF!</definedName>
    <definedName name="Ellipse1_11">#REF!</definedName>
    <definedName name="Ellipse1_12" localSheetId="0">#REF!</definedName>
    <definedName name="Ellipse1_12" localSheetId="11">#REF!</definedName>
    <definedName name="Ellipse1_12" localSheetId="12">#REF!</definedName>
    <definedName name="Ellipse1_12">#REF!</definedName>
    <definedName name="Ellipse1_13" localSheetId="12">#REF!</definedName>
    <definedName name="Ellipse1_13">#REF!</definedName>
    <definedName name="Ellipse1_14" localSheetId="12">#REF!</definedName>
    <definedName name="Ellipse1_14">#REF!</definedName>
    <definedName name="Ellipse1_15" localSheetId="12">#REF!</definedName>
    <definedName name="Ellipse1_15">#REF!</definedName>
    <definedName name="Ellipse1_16" localSheetId="12">#REF!</definedName>
    <definedName name="Ellipse1_16">#REF!</definedName>
    <definedName name="Ellipse1_17" localSheetId="12">#REF!</definedName>
    <definedName name="Ellipse1_17">#REF!</definedName>
    <definedName name="Ellipse1_18" localSheetId="12">#REF!</definedName>
    <definedName name="Ellipse1_18">#REF!</definedName>
    <definedName name="Ellipse1_19" localSheetId="12">#REF!</definedName>
    <definedName name="Ellipse1_19">#REF!</definedName>
    <definedName name="Ellipse1_2" localSheetId="0">#REF!</definedName>
    <definedName name="Ellipse1_2" localSheetId="11">#REF!</definedName>
    <definedName name="Ellipse1_2" localSheetId="12">#REF!</definedName>
    <definedName name="Ellipse1_2" localSheetId="7">#REF!</definedName>
    <definedName name="Ellipse1_2">#REF!</definedName>
    <definedName name="Ellipse1_20" localSheetId="12">#REF!</definedName>
    <definedName name="Ellipse1_20">#REF!</definedName>
    <definedName name="Ellipse1_3" localSheetId="0">#REF!</definedName>
    <definedName name="Ellipse1_3" localSheetId="11">#REF!</definedName>
    <definedName name="Ellipse1_3" localSheetId="12">#REF!</definedName>
    <definedName name="Ellipse1_3" localSheetId="7">#REF!</definedName>
    <definedName name="Ellipse1_3">#REF!</definedName>
    <definedName name="Ellipse1_4" localSheetId="0">#REF!</definedName>
    <definedName name="Ellipse1_4" localSheetId="11">#REF!</definedName>
    <definedName name="Ellipse1_4" localSheetId="12">#REF!</definedName>
    <definedName name="Ellipse1_4" localSheetId="7">#REF!</definedName>
    <definedName name="Ellipse1_4">#REF!</definedName>
    <definedName name="Ellipse1_5" localSheetId="0">#REF!</definedName>
    <definedName name="Ellipse1_5" localSheetId="11">#REF!</definedName>
    <definedName name="Ellipse1_5" localSheetId="12">#REF!</definedName>
    <definedName name="Ellipse1_5" localSheetId="7">#REF!</definedName>
    <definedName name="Ellipse1_5">#REF!</definedName>
    <definedName name="Ellipse1_6" localSheetId="0">#REF!</definedName>
    <definedName name="Ellipse1_6" localSheetId="11">#REF!</definedName>
    <definedName name="Ellipse1_6" localSheetId="12">#REF!</definedName>
    <definedName name="Ellipse1_6" localSheetId="7">#REF!</definedName>
    <definedName name="Ellipse1_6">#REF!</definedName>
    <definedName name="Ellipse1_7" localSheetId="0">#REF!</definedName>
    <definedName name="Ellipse1_7" localSheetId="11">#REF!</definedName>
    <definedName name="Ellipse1_7" localSheetId="12">#REF!</definedName>
    <definedName name="Ellipse1_7" localSheetId="7">#REF!</definedName>
    <definedName name="Ellipse1_7">#REF!</definedName>
    <definedName name="Ellipse1_8" localSheetId="0">#REF!</definedName>
    <definedName name="Ellipse1_8" localSheetId="11">#REF!</definedName>
    <definedName name="Ellipse1_8" localSheetId="12">#REF!</definedName>
    <definedName name="Ellipse1_8" localSheetId="7">#REF!</definedName>
    <definedName name="Ellipse1_8">#REF!</definedName>
    <definedName name="Ellipse1_9" localSheetId="0">#REF!</definedName>
    <definedName name="Ellipse1_9" localSheetId="11">#REF!</definedName>
    <definedName name="Ellipse1_9" localSheetId="12">#REF!</definedName>
    <definedName name="Ellipse1_9">#REF!</definedName>
    <definedName name="Epitherm_CS_127I" localSheetId="11">'[3]Ref Values '!$G$95</definedName>
    <definedName name="Epitherm_CS_127I" localSheetId="7">'[4]Ref Values '!$G$95</definedName>
    <definedName name="Epitherm_CS_127I">'Ref Values '!$G$95</definedName>
    <definedName name="Epitherm_CS_127Ierr" localSheetId="11">'[3]Ref Values '!$H$95</definedName>
    <definedName name="Epitherm_CS_127Ierr" localSheetId="7">'[4]Ref Values '!$H$95</definedName>
    <definedName name="Epitherm_CS_127Ierr">'Ref Values '!$H$95</definedName>
    <definedName name="Epitherm_CS_130Ba" localSheetId="11">'[3]Ref Values '!$G$96</definedName>
    <definedName name="Epitherm_CS_130Ba" localSheetId="7">'[4]Ref Values '!$G$96</definedName>
    <definedName name="Epitherm_CS_130Ba">'Ref Values '!$G$96</definedName>
    <definedName name="Epitherm_CS_130Baerr" localSheetId="11">'[3]Ref Values '!$H$96</definedName>
    <definedName name="Epitherm_CS_130Baerr" localSheetId="7">'[4]Ref Values '!$H$96</definedName>
    <definedName name="Epitherm_CS_130Baerr">'Ref Values '!$H$96</definedName>
    <definedName name="Epitherm_CS_37Cl">'Ref Values '!$G$90</definedName>
    <definedName name="Epitherm_CS_37Clerr">'Ref Values '!$H$90</definedName>
    <definedName name="Epitherm_CS_39K">'Ref Values '!$G$91</definedName>
    <definedName name="Epitherm_CS_39Kerr">'Ref Values '!$H$91</definedName>
    <definedName name="Epitherm_CS_79Br" localSheetId="11">'[3]Ref Values '!$G$93</definedName>
    <definedName name="Epitherm_CS_79Br" localSheetId="7">'[4]Ref Values '!$G$93</definedName>
    <definedName name="Epitherm_CS_79Br">'Ref Values '!$G$93</definedName>
    <definedName name="Epitherm_CS_79Brerr" localSheetId="11">'[3]Ref Values '!$H$93</definedName>
    <definedName name="Epitherm_CS_79Brerr" localSheetId="7">'[4]Ref Values '!$H$93</definedName>
    <definedName name="Epitherm_CS_79Brerr">'Ref Values '!$H$93</definedName>
    <definedName name="Epitherm_CS_81Br" localSheetId="11">'[3]Ref Values '!$G$94</definedName>
    <definedName name="Epitherm_CS_81Br" localSheetId="7">'[4]Ref Values '!$G$94</definedName>
    <definedName name="Epitherm_CS_81Br">'Ref Values '!$G$94</definedName>
    <definedName name="Epitherm_CS_81Brerr" localSheetId="11">'[3]Ref Values '!$H$94</definedName>
    <definedName name="Epitherm_CS_81Brerr" localSheetId="7">'[4]Ref Values '!$H$94</definedName>
    <definedName name="Epitherm_CS_81Brerr">'Ref Values '!$H$94</definedName>
    <definedName name="EpiTherm_Flux" localSheetId="6">Shallowater!$CH:$CH</definedName>
    <definedName name="EpiTherm_Fluxerr" localSheetId="6">Shallowater!$CI:$CI</definedName>
    <definedName name="Fast_CS_39K" localSheetId="11">'[3]Ref Values '!$M$91</definedName>
    <definedName name="Fast_CS_39K" localSheetId="7">'[4]Ref Values '!$M$91</definedName>
    <definedName name="Fast_CS_39K">'Ref Values '!$M$91</definedName>
    <definedName name="Fast_CS_39Kerr" localSheetId="11">'[3]Ref Values '!$N$91</definedName>
    <definedName name="Fast_CS_39Kerr" localSheetId="7">'[4]Ref Values '!$N$91</definedName>
    <definedName name="Fast_CS_39Kerr">'Ref Values '!$N$91</definedName>
    <definedName name="Fast_Flux" localSheetId="0">'Halogen Samples (2)'!$CR:$CR</definedName>
    <definedName name="Fast_Flux" localSheetId="4">Hb3Gr!$CH:$CH</definedName>
    <definedName name="Fast_Flux" localSheetId="5">Scapolite!$CR:$CR</definedName>
    <definedName name="Fast_Flux" localSheetId="12">'Supplementary Data 3'!$CX:$CX</definedName>
    <definedName name="Fast_Flux_Constant" localSheetId="11">'[3]Ref Values '!$B$114</definedName>
    <definedName name="Fast_Flux_Constant" localSheetId="7">'[4]Ref Values '!$B$114</definedName>
    <definedName name="Fast_Flux_Constant">'Ref Values '!$B$114</definedName>
    <definedName name="Fast_Flux_Constanterr" localSheetId="11">'[3]Ref Values '!$C$114</definedName>
    <definedName name="Fast_Flux_Constanterr" localSheetId="7">'[4]Ref Values '!$C$114</definedName>
    <definedName name="Fast_Flux_Constanterr">'Ref Values '!$C$114</definedName>
    <definedName name="Fast_Fluxerr" localSheetId="0">'Halogen Samples (2)'!$CS:$CS</definedName>
    <definedName name="Fast_Fluxerr" localSheetId="4">Hb3Gr!$CI:$CI</definedName>
    <definedName name="Fast_Fluxerr" localSheetId="5">Scapolite!$CS:$CS</definedName>
    <definedName name="Fast_Fluxerr" localSheetId="12">'Supplementary Data 3'!$CY:$CY</definedName>
    <definedName name="Hb3Gr_Age" localSheetId="11">'[3]Ref Values '!$B$81</definedName>
    <definedName name="Hb3Gr_Age" localSheetId="7">'[4]Ref Values '!$B$81</definedName>
    <definedName name="Hb3Gr_Age">'Ref Values '!$B$81</definedName>
    <definedName name="Hb3Gr_Ageerr" localSheetId="11">'[3]Ref Values '!$C$81</definedName>
    <definedName name="Hb3Gr_Ageerr" localSheetId="7">'[4]Ref Values '!$C$81</definedName>
    <definedName name="Hb3Gr_Ageerr">'Ref Values '!$C$81</definedName>
    <definedName name="Hb3Gr_Ca">'Ref Values '!$B$52</definedName>
    <definedName name="Hb3Gr_Caerr">'Ref Values '!$C$52</definedName>
    <definedName name="Hb3Gr_Cl">'Ref Values '!$B$56</definedName>
    <definedName name="Hb3Gr_Clerr">'Ref Values '!$C$56</definedName>
    <definedName name="Hb3Gr_K">'Ref Values '!$B$48</definedName>
    <definedName name="Hb3Gr_KCa" localSheetId="11">'[3]Ref Values '!$B$76</definedName>
    <definedName name="Hb3Gr_KCa" localSheetId="7">'[4]Ref Values '!$B$76</definedName>
    <definedName name="Hb3Gr_KCa">'Ref Values '!$B$76</definedName>
    <definedName name="Hb3Gr_KCaerr" localSheetId="11">'[3]Ref Values '!$C$76</definedName>
    <definedName name="Hb3Gr_KCaerr" localSheetId="7">'[4]Ref Values '!$C$76</definedName>
    <definedName name="Hb3Gr_KCaerr">'Ref Values '!$C$76</definedName>
    <definedName name="Hb3Gr_KCl" localSheetId="11">'[3]Ref Values '!$B$72</definedName>
    <definedName name="Hb3Gr_KCl" localSheetId="7">'[4]Ref Values '!$B$72</definedName>
    <definedName name="Hb3Gr_KCl">'Ref Values '!$B$72</definedName>
    <definedName name="Hb3Gr_KClerr" localSheetId="11">'[3]Ref Values '!$C$72</definedName>
    <definedName name="Hb3Gr_KClerr" localSheetId="7">'[4]Ref Values '!$C$72</definedName>
    <definedName name="Hb3Gr_KClerr">'Ref Values '!$C$72</definedName>
    <definedName name="Hb3Gr_Kerr">'Ref Values '!$C$48</definedName>
    <definedName name="Heating_Type" localSheetId="6">Shallowater!$N:$N</definedName>
    <definedName name="I_Cl_meas" localSheetId="5">Scapolite!$KU:$KU</definedName>
    <definedName name="I_Cl_measerr" localSheetId="5">Scapolite!$KV:$KV</definedName>
    <definedName name="I_Factor" localSheetId="5">Scapolite!$KW:$KW</definedName>
    <definedName name="I_Factor" localSheetId="6">Shallowater!$CF:$CF</definedName>
    <definedName name="I_Factor" localSheetId="12">'Supplementary Data 3'!$CF:$CF</definedName>
    <definedName name="I_Factorerr" localSheetId="5">Scapolite!$KX:$KX</definedName>
    <definedName name="I_Factorerr" localSheetId="6">Shallowater!$CG:$CG</definedName>
    <definedName name="I_mole" localSheetId="0">'Halogen Samples (2)'!$KE:$KE</definedName>
    <definedName name="I_mole" localSheetId="5">Scapolite!$JW:$JW</definedName>
    <definedName name="I_mole" localSheetId="12">'Supplementary Data 3'!$KK:$KK</definedName>
    <definedName name="I_moleerr" localSheetId="0">'Halogen Samples (2)'!$KF:$KF</definedName>
    <definedName name="I_moleerr" localSheetId="5">Scapolite!$JX:$JX</definedName>
    <definedName name="I_moleerr" localSheetId="12">'Supplementary Data 3'!$KL:$KL</definedName>
    <definedName name="I_ppb" localSheetId="0">'Halogen Samples (2)'!$KG:$KG</definedName>
    <definedName name="I_ppb" localSheetId="5">Scapolite!$JY:$JY</definedName>
    <definedName name="I_ppb" localSheetId="12">'Supplementary Data 3'!$KM:$KM</definedName>
    <definedName name="I_ppberr" localSheetId="0">'Halogen Samples (2)'!$KH:$KH</definedName>
    <definedName name="I_ppberr" localSheetId="5">Scapolite!$JZ:$JZ</definedName>
    <definedName name="I_ppberr" localSheetId="12">'Supplementary Data 3'!$KN:$KN</definedName>
    <definedName name="I127_Abun" localSheetId="11">'[3]Ref Values '!$C$95</definedName>
    <definedName name="I127_Abun" localSheetId="7">'[4]Ref Values '!$C$95</definedName>
    <definedName name="I127_Abun">'Ref Values '!$C$95</definedName>
    <definedName name="I127_Constant" localSheetId="11">'[3]Ref Values '!$B$118</definedName>
    <definedName name="I127_Constant" localSheetId="7">'[4]Ref Values '!$B$118</definedName>
    <definedName name="I127_Constant">'Ref Values '!$B$118</definedName>
    <definedName name="I127_Constanterr" localSheetId="11">'[3]Ref Values '!$C$118</definedName>
    <definedName name="I127_Constanterr" localSheetId="7">'[4]Ref Values '!$C$118</definedName>
    <definedName name="I127_Constanterr">'Ref Values '!$C$118</definedName>
    <definedName name="I127_Prod" localSheetId="5">Scapolite!$LA:$LA</definedName>
    <definedName name="I127_Prod" localSheetId="6">Shallowater!$CB:$CB</definedName>
    <definedName name="I127_Prod" localSheetId="12">'Supplementary Data 3'!$CB:$CB</definedName>
    <definedName name="I127_Proderr" localSheetId="5">Scapolite!$LB:$LB</definedName>
    <definedName name="I127_Proderr" localSheetId="6">Shallowater!$CC:$CC</definedName>
    <definedName name="I127_Proderr" localSheetId="12">'Supplementary Data 3'!$CC:$CC</definedName>
    <definedName name="I127_Th" localSheetId="5">Scapolite!$CD:$CD</definedName>
    <definedName name="I127_Th" localSheetId="6">Shallowater!$CD:$CD</definedName>
    <definedName name="I127_Th" localSheetId="12">'Supplementary Data 3'!$CD:$CD</definedName>
    <definedName name="I127_Therr" localSheetId="5">Scapolite!$CE:$CE</definedName>
    <definedName name="I127_Therr" localSheetId="6">Shallowater!$CE:$CE</definedName>
    <definedName name="I127_Therr" localSheetId="12">'Supplementary Data 3'!$CE:$CE</definedName>
    <definedName name="IFactor_SW" localSheetId="0">'Halogen Samples (2)'!$KC:$KC</definedName>
    <definedName name="IFactor_SW" localSheetId="5">Scapolite!$JU:$JU</definedName>
    <definedName name="IFactor_SW" localSheetId="12">'Supplementary Data 3'!$KI:$KI</definedName>
    <definedName name="IFactor_SWerr" localSheetId="0">'Halogen Samples (2)'!$KD:$KD</definedName>
    <definedName name="IFactor_SWerr" localSheetId="5">Scapolite!$JV:$JV</definedName>
    <definedName name="IFactor_SWerr" localSheetId="12">'Supplementary Data 3'!$KJ:$KJ</definedName>
    <definedName name="Ippb_SC" localSheetId="0">'Halogen Samples (2)'!$KM:$KM</definedName>
    <definedName name="Ippb_SC" localSheetId="12">'Supplementary Data 3'!$KS:$KS</definedName>
    <definedName name="Ippb_SCerr" localSheetId="0">'Halogen Samples (2)'!$KN:$KN</definedName>
    <definedName name="Ippb_SCerr" localSheetId="12">'Supplementary Data 3'!$KT:$KT</definedName>
    <definedName name="Irradiation" localSheetId="0">'Halogen Samples (2)'!$G:$G</definedName>
    <definedName name="Irradiation" localSheetId="4">Hb3Gr!$G:$G</definedName>
    <definedName name="Irradiation" localSheetId="3">Salts!$G:$G</definedName>
    <definedName name="Irradiation" localSheetId="5">Scapolite!$G:$G</definedName>
    <definedName name="Irradiation" localSheetId="6">Shallowater!$G:$G</definedName>
    <definedName name="Irradiation" localSheetId="12">'Supplementary Data 3'!$G:$G</definedName>
    <definedName name="Irradiation" localSheetId="7">Vertical_variation!$G:$G</definedName>
    <definedName name="Irradiation_Date">42909</definedName>
    <definedName name="J" localSheetId="0">'Halogen Samples (2)'!$CN:$CN</definedName>
    <definedName name="J" localSheetId="4">Hb3Gr!$CD:$CD</definedName>
    <definedName name="J" localSheetId="5">Scapolite!$CN:$CN</definedName>
    <definedName name="J" localSheetId="12">'Supplementary Data 3'!$CT:$CT</definedName>
    <definedName name="J" localSheetId="7">Vertical_variation!$CB:$CB</definedName>
    <definedName name="J1_Lagrange">Hb3gr_interpolation!$K$7:$K$506</definedName>
    <definedName name="J2_Lagrange">Hb3gr_interpolation!$U$7:$U$506</definedName>
    <definedName name="J3_Lagrange">Hb3gr_interpolation!$AE$7:$AE$506</definedName>
    <definedName name="Jerr" localSheetId="0">'Halogen Samples (2)'!$CO:$CO</definedName>
    <definedName name="Jerr" localSheetId="4">Hb3Gr!$CE:$CE</definedName>
    <definedName name="Jerr" localSheetId="5">Scapolite!$CO:$CO</definedName>
    <definedName name="Jerr" localSheetId="12">'Supplementary Data 3'!$CU:$CU</definedName>
    <definedName name="K_constant" localSheetId="11">'[3]Ref Values '!$B$109</definedName>
    <definedName name="K_constant" localSheetId="7">'[4]Ref Values '!$B$109</definedName>
    <definedName name="K_constant">'Ref Values '!$B$109</definedName>
    <definedName name="K_Constanterr" localSheetId="11">'[3]Ref Values '!$C$109</definedName>
    <definedName name="K_Constanterr" localSheetId="7">'[4]Ref Values '!$C$109</definedName>
    <definedName name="K_Constanterr">'Ref Values '!$C$109</definedName>
    <definedName name="K_mole" localSheetId="0">'Halogen Samples (2)'!$CX:$CX</definedName>
    <definedName name="K_mole" localSheetId="5">Scapolite!$DD:$DD</definedName>
    <definedName name="K_mole" localSheetId="12">'Supplementary Data 3'!$DD:$DD</definedName>
    <definedName name="K_moleerr" localSheetId="0">'Halogen Samples (2)'!$CY:$CY</definedName>
    <definedName name="K_moleerr" localSheetId="5">Scapolite!$DE:$DE</definedName>
    <definedName name="K_moleerr" localSheetId="12">'Supplementary Data 3'!$DE:$DE</definedName>
    <definedName name="K_ppm" localSheetId="0">'Halogen Samples (2)'!$CZ:$CZ</definedName>
    <definedName name="K_ppm" localSheetId="5">Scapolite!$DF:$DF</definedName>
    <definedName name="K_ppm" localSheetId="12">'Supplementary Data 3'!$DF:$DF</definedName>
    <definedName name="K_ppmerr" localSheetId="0">'Halogen Samples (2)'!$DA:$DA</definedName>
    <definedName name="K_ppmerr" localSheetId="5">Scapolite!$DG:$DG</definedName>
    <definedName name="K_ppmerr" localSheetId="12">'Supplementary Data 3'!$DG:$DG</definedName>
    <definedName name="K39_Abun" localSheetId="11">'[3]Ref Values '!$C$91</definedName>
    <definedName name="K39_Abun" localSheetId="7">'[4]Ref Values '!$C$91</definedName>
    <definedName name="K39_Abun">'Ref Values '!$C$91</definedName>
    <definedName name="K39_Abunerr" localSheetId="11">'[3]Ref Values '!$D$91</definedName>
    <definedName name="K39_Abunerr" localSheetId="7">'[4]Ref Values '!$D$91</definedName>
    <definedName name="K39_Abunerr">'Ref Values '!$D$91</definedName>
    <definedName name="K39_Prod" localSheetId="4">Hb3Gr!$CO:$CO</definedName>
    <definedName name="K39_Prod" localSheetId="5">Scapolite!$CX:$CX</definedName>
    <definedName name="K39_Proderr" localSheetId="4">Hb3Gr!$CP:$CP</definedName>
    <definedName name="K39_Proderr" localSheetId="5">Scapolite!$CY:$CY</definedName>
    <definedName name="K40_Abun" localSheetId="11">'[3]Ref Values '!$B$34</definedName>
    <definedName name="K40_Abun" localSheetId="7">'[4]Ref Values '!$B$34</definedName>
    <definedName name="K40_Abun">'Ref Values '!$B$34</definedName>
    <definedName name="K40_Abunerr" localSheetId="11">'[3]Ref Values '!$C$34</definedName>
    <definedName name="K40_Abunerr" localSheetId="7">'[4]Ref Values '!$C$34</definedName>
    <definedName name="K40_Abunerr">'Ref Values '!$C$34</definedName>
    <definedName name="KCa_mol" localSheetId="0">'Halogen Samples (2)'!$DR:$DR</definedName>
    <definedName name="KCa_mol" localSheetId="5">Scapolite!$DX:$DX</definedName>
    <definedName name="KCa_mol" localSheetId="12">'Supplementary Data 3'!$DX:$DX</definedName>
    <definedName name="KCa_molerr" localSheetId="0">'Halogen Samples (2)'!$DS:$DS</definedName>
    <definedName name="KCa_molerr" localSheetId="5">Scapolite!$DY:$DY</definedName>
    <definedName name="KCa_molerr" localSheetId="12">'Supplementary Data 3'!$DY:$DY</definedName>
    <definedName name="KCa_wt" localSheetId="0">'Halogen Samples (2)'!$DV:$DV</definedName>
    <definedName name="KCa_wt" localSheetId="5">Scapolite!$EB:$EB</definedName>
    <definedName name="KCa_wt" localSheetId="12">'Supplementary Data 3'!$EB:$EB</definedName>
    <definedName name="KCa_wterr" localSheetId="0">'Halogen Samples (2)'!$DW:$DW</definedName>
    <definedName name="KCa_wterr" localSheetId="5">Scapolite!$EC:$EC</definedName>
    <definedName name="KCa_wterr" localSheetId="12">'Supplementary Data 3'!$EC:$EC</definedName>
    <definedName name="KCl_mol" localSheetId="0">'Halogen Samples (2)'!$DP:$DP</definedName>
    <definedName name="KCl_mol" localSheetId="5">Scapolite!$DV:$DV</definedName>
    <definedName name="KCl_mol" localSheetId="12">'Supplementary Data 3'!$DV:$DV</definedName>
    <definedName name="KCl_molerr" localSheetId="0">'Halogen Samples (2)'!$DQ:$DQ</definedName>
    <definedName name="KCl_molerr" localSheetId="5">Scapolite!$DW:$DW</definedName>
    <definedName name="KCl_molerr" localSheetId="12">'Supplementary Data 3'!$DW:$DW</definedName>
    <definedName name="KCl_wt" localSheetId="0">'Halogen Samples (2)'!$DT:$DT</definedName>
    <definedName name="KCl_wt" localSheetId="5">Scapolite!$DZ:$DZ</definedName>
    <definedName name="KCl_wt" localSheetId="12">'Supplementary Data 3'!$DZ:$DZ</definedName>
    <definedName name="KCl_wterr" localSheetId="0">'Halogen Samples (2)'!$DU:$DU</definedName>
    <definedName name="KCl_wterr" localSheetId="5">Scapolite!$EA:$EA</definedName>
    <definedName name="KCl_wterr" localSheetId="12">'Supplementary Data 3'!$EA:$EA</definedName>
    <definedName name="Kr_sensitivity" localSheetId="0">'Halogen Samples (2)'!$GA:$GA</definedName>
    <definedName name="Kr_sensitivity" localSheetId="5">Scapolite!$FS:$FS</definedName>
    <definedName name="Kr_sensitivity" localSheetId="12">'Supplementary Data 3'!$GG:$GG</definedName>
    <definedName name="Kr_sensitivityerr" localSheetId="0">'Halogen Samples (2)'!$GB:$GB</definedName>
    <definedName name="Kr_sensitivityerr" localSheetId="5">Scapolite!$FT:$FT</definedName>
    <definedName name="Kr_sensitivityerr" localSheetId="12">'Supplementary Data 3'!$GH:$GH</definedName>
    <definedName name="Kr80_mole" localSheetId="0">'Halogen Samples (2)'!$GM:$GM</definedName>
    <definedName name="Kr80_mole" localSheetId="5">Scapolite!$GE:$GE</definedName>
    <definedName name="Kr80_mole" localSheetId="12">'Supplementary Data 3'!$GS:$GS</definedName>
    <definedName name="Kr80_moleerr" localSheetId="0">'Halogen Samples (2)'!$GN:$GN</definedName>
    <definedName name="Kr80_moleerr" localSheetId="5">Scapolite!$GF:$GF</definedName>
    <definedName name="Kr80_moleerr" localSheetId="12">'Supplementary Data 3'!$GT:$GT</definedName>
    <definedName name="Kr8082_mole" localSheetId="0">'Halogen Samples (2)'!$GS:$GS</definedName>
    <definedName name="Kr8082_mole" localSheetId="5">Scapolite!$GK:$GK</definedName>
    <definedName name="Kr8082_mole" localSheetId="12">'Supplementary Data 3'!$GY:$GY</definedName>
    <definedName name="Kr8082_moleeerr" localSheetId="0">'Halogen Samples (2)'!$GT:$GT</definedName>
    <definedName name="Kr8082_moleeerr" localSheetId="5">Scapolite!$GL:$GL</definedName>
    <definedName name="Kr8082_moleeerr" localSheetId="12">'Supplementary Data 3'!$GZ:$GZ</definedName>
    <definedName name="Kr8084_Air" localSheetId="11">'[3]Ref Values '!$B$125</definedName>
    <definedName name="Kr8084_Air" localSheetId="7">'[4]Ref Values '!$B$125</definedName>
    <definedName name="Kr8084_Air">'Ref Values '!$B$125</definedName>
    <definedName name="Kr8084_Mix">'Ref Values '!$B$158</definedName>
    <definedName name="Kr8084_Mixerr">'Ref Values '!$C$158</definedName>
    <definedName name="Kr8084_Q" localSheetId="11">'[3]Ref Values '!$B$147</definedName>
    <definedName name="Kr8084_Q" localSheetId="7">'[4]Ref Values '!$B$147</definedName>
    <definedName name="Kr8084_Q">'Ref Values '!$B$147</definedName>
    <definedName name="Kr8084_Qerr">'Ref Values '!$C$147</definedName>
    <definedName name="Kr8084_SW" localSheetId="11">'[3]Ref Values '!$B$136</definedName>
    <definedName name="Kr8084_SW" localSheetId="7">'[4]Ref Values '!$B$136</definedName>
    <definedName name="Kr8084_SW">'Ref Values '!$B$136</definedName>
    <definedName name="Kr8084_SWerr">'Ref Values '!$C$136</definedName>
    <definedName name="Kr80AC" localSheetId="0">'Halogen Samples (2)'!$FU:$FU</definedName>
    <definedName name="Kr80AC" localSheetId="5">Scapolite!$FM:$FM</definedName>
    <definedName name="Kr80AC" localSheetId="12">'Supplementary Data 3'!$GA:$GA</definedName>
    <definedName name="Kr80ACerr" localSheetId="0">'Halogen Samples (2)'!$FV:$FV</definedName>
    <definedName name="Kr80ACerr" localSheetId="5">Scapolite!$FN:$FN</definedName>
    <definedName name="Kr80ACerr" localSheetId="12">'Supplementary Data 3'!$GB:$GB</definedName>
    <definedName name="Kr80BC" localSheetId="0">'Halogen Samples (2)'!$FK:$FK</definedName>
    <definedName name="Kr80BC" localSheetId="5">Scapolite!$FC:$FC</definedName>
    <definedName name="Kr80BC" localSheetId="12">'Supplementary Data 3'!$FQ:$FQ</definedName>
    <definedName name="Kr80BCerr" localSheetId="0">'Halogen Samples (2)'!$FL:$FL</definedName>
    <definedName name="Kr80BCerr" localSheetId="5">Scapolite!$FD:$FD</definedName>
    <definedName name="Kr80BCerr" localSheetId="12">'Supplementary Data 3'!$FR:$FR</definedName>
    <definedName name="Kr80Blank" localSheetId="0">'Halogen Samples (2)'!$FC:$FC</definedName>
    <definedName name="Kr80Blank" localSheetId="5">Scapolite!$EU:$EU</definedName>
    <definedName name="Kr80Blank" localSheetId="12">'Supplementary Data 3'!$FI:$FI</definedName>
    <definedName name="Kr80Blankerr" localSheetId="0">'Halogen Samples (2)'!$FD:$FD</definedName>
    <definedName name="Kr80Blankerr" localSheetId="5">Scapolite!$EV:$EV</definedName>
    <definedName name="Kr80Blankerr" localSheetId="12">'Supplementary Data 3'!$FJ:$FJ</definedName>
    <definedName name="Kr80cc" localSheetId="0">'Halogen Samples (2)'!$GE:$GE</definedName>
    <definedName name="Kr80cc" localSheetId="5">Scapolite!$FW:$FW</definedName>
    <definedName name="Kr80cc" localSheetId="12">'Supplementary Data 3'!$GK:$GK</definedName>
    <definedName name="Kr80ccerr" localSheetId="0">'Halogen Samples (2)'!$GF:$GF</definedName>
    <definedName name="Kr80ccerr" localSheetId="5">Scapolite!$FX:$FX</definedName>
    <definedName name="Kr80ccerr" localSheetId="12">'Supplementary Data 3'!$GL:$GL</definedName>
    <definedName name="Kr80Raw" localSheetId="0">'Halogen Samples (2)'!$EU:$EU</definedName>
    <definedName name="Kr80Raw" localSheetId="5">Scapolite!$EM:$EM</definedName>
    <definedName name="Kr80Raw" localSheetId="12">'Supplementary Data 3'!$FA:$FA</definedName>
    <definedName name="Kr80Rawerr" localSheetId="0">'Halogen Samples (2)'!$EV:$EV</definedName>
    <definedName name="Kr80Rawerr" localSheetId="5">Scapolite!$EN:$EN</definedName>
    <definedName name="Kr80Rawerr" localSheetId="12">'Supplementary Data 3'!$FB:$FB</definedName>
    <definedName name="Kr82_mole" localSheetId="0">'Halogen Samples (2)'!$GO:$GO</definedName>
    <definedName name="Kr82_mole" localSheetId="5">Scapolite!$GG:$GG</definedName>
    <definedName name="Kr82_mole" localSheetId="12">'Supplementary Data 3'!$GU:$GU</definedName>
    <definedName name="Kr82_moleerr" localSheetId="0">'Halogen Samples (2)'!$GP:$GP</definedName>
    <definedName name="Kr82_moleerr" localSheetId="5">Scapolite!$GH:$GH</definedName>
    <definedName name="Kr82_moleerr" localSheetId="12">'Supplementary Data 3'!$GV:$GV</definedName>
    <definedName name="Kr8284_Air" localSheetId="11">'[3]Ref Values '!$B$126</definedName>
    <definedName name="Kr8284_Air" localSheetId="7">'[4]Ref Values '!$B$126</definedName>
    <definedName name="Kr8284_Air">'Ref Values '!$B$126</definedName>
    <definedName name="Kr8284_Mix">'Ref Values '!$B$159</definedName>
    <definedName name="Kr8284_Mixerr">'Ref Values '!$C$159</definedName>
    <definedName name="Kr8284_Q" localSheetId="11">'[3]Ref Values '!$B$148</definedName>
    <definedName name="Kr8284_Q" localSheetId="7">'[4]Ref Values '!$B$148</definedName>
    <definedName name="Kr8284_Q">'Ref Values '!$B$148</definedName>
    <definedName name="Kr8284_Qerr">'Ref Values '!$C$148</definedName>
    <definedName name="Kr8284_SW" localSheetId="11">'[3]Ref Values '!$B$137</definedName>
    <definedName name="Kr8284_SW" localSheetId="7">'[4]Ref Values '!$B$137</definedName>
    <definedName name="Kr8284_SW">'Ref Values '!$B$137</definedName>
    <definedName name="Kr8284_SWerr">'Ref Values '!$C$137</definedName>
    <definedName name="Kr82AC" localSheetId="0">'Halogen Samples (2)'!$FW:$FW</definedName>
    <definedName name="Kr82AC" localSheetId="5">Scapolite!$FO:$FO</definedName>
    <definedName name="Kr82AC" localSheetId="12">'Supplementary Data 3'!$GC:$GC</definedName>
    <definedName name="Kr82ACerr" localSheetId="0">'Halogen Samples (2)'!$FX:$FX</definedName>
    <definedName name="Kr82ACerr" localSheetId="5">Scapolite!$FP:$FP</definedName>
    <definedName name="Kr82ACerr" localSheetId="12">'Supplementary Data 3'!$GD:$GD</definedName>
    <definedName name="Kr82BC" localSheetId="0">'Halogen Samples (2)'!$FM:$FM</definedName>
    <definedName name="Kr82BC" localSheetId="5">Scapolite!$FE:$FE</definedName>
    <definedName name="Kr82BC" localSheetId="12">'Supplementary Data 3'!$FS:$FS</definedName>
    <definedName name="Kr82BCerr" localSheetId="0">'Halogen Samples (2)'!$FN:$FN</definedName>
    <definedName name="Kr82BCerr" localSheetId="5">Scapolite!$FF:$FF</definedName>
    <definedName name="Kr82BCerr" localSheetId="12">'Supplementary Data 3'!$FT:$FT</definedName>
    <definedName name="Kr82Blank" localSheetId="0">'Halogen Samples (2)'!$FE:$FE</definedName>
    <definedName name="Kr82Blank" localSheetId="5">Scapolite!$EW:$EW</definedName>
    <definedName name="Kr82Blank" localSheetId="12">'Supplementary Data 3'!$FK:$FK</definedName>
    <definedName name="Kr82Blankerr" localSheetId="0">'Halogen Samples (2)'!$EX:$EX</definedName>
    <definedName name="Kr82Blankerr" localSheetId="5">Scapolite!$EX:$EX</definedName>
    <definedName name="Kr82Blankerr" localSheetId="12">'Supplementary Data 3'!$FD:$FD</definedName>
    <definedName name="Kr82cc" localSheetId="0">'Halogen Samples (2)'!$GG:$GG</definedName>
    <definedName name="Kr82cc" localSheetId="5">Scapolite!$FY:$FY</definedName>
    <definedName name="Kr82cc" localSheetId="12">'Supplementary Data 3'!$GM:$GM</definedName>
    <definedName name="Kr82ccerr" localSheetId="0">'Halogen Samples (2)'!$GH:$GH</definedName>
    <definedName name="Kr82ccerr" localSheetId="5">Scapolite!$FZ:$FZ</definedName>
    <definedName name="Kr82ccerr" localSheetId="12">'Supplementary Data 3'!$GN:$GN</definedName>
    <definedName name="Kr82Raw" localSheetId="0">'Halogen Samples (2)'!$EW:$EW</definedName>
    <definedName name="Kr82Raw" localSheetId="5">Scapolite!$EO:$EO</definedName>
    <definedName name="Kr82Raw" localSheetId="12">'Supplementary Data 3'!$FC:$FC</definedName>
    <definedName name="Kr82Rawerr" localSheetId="0">'Halogen Samples (2)'!$EX:$EX</definedName>
    <definedName name="Kr82Rawerr" localSheetId="5">Scapolite!$EP:$EP</definedName>
    <definedName name="Kr82Rawerr" localSheetId="12">'Supplementary Data 3'!$FD:$FD</definedName>
    <definedName name="Kr84_mole" localSheetId="0">'Halogen Samples (2)'!$GQ:$GQ</definedName>
    <definedName name="Kr84_mole" localSheetId="5">Scapolite!$GI:$GI</definedName>
    <definedName name="Kr84_mole" localSheetId="12">'Supplementary Data 3'!$GW:$GW</definedName>
    <definedName name="Kr84_moleerr" localSheetId="0">'Halogen Samples (2)'!$GR:$GR</definedName>
    <definedName name="Kr84_moleerr" localSheetId="5">Scapolite!$GJ:$GJ</definedName>
    <definedName name="Kr84_moleerr" localSheetId="12">'Supplementary Data 3'!$GX:$GX</definedName>
    <definedName name="Kr84BC" localSheetId="0">'Halogen Samples (2)'!$FO:$FO</definedName>
    <definedName name="Kr84BC" localSheetId="5">Scapolite!$FG:$FG</definedName>
    <definedName name="Kr84BC" localSheetId="12">'Supplementary Data 3'!$FU:$FU</definedName>
    <definedName name="Kr84BCerr" localSheetId="0">'Halogen Samples (2)'!$FP:$FP</definedName>
    <definedName name="Kr84BCerr" localSheetId="5">Scapolite!$FH:$FH</definedName>
    <definedName name="Kr84BCerr" localSheetId="12">'Supplementary Data 3'!$FV:$FV</definedName>
    <definedName name="Kr84Blank" localSheetId="0">'Halogen Samples (2)'!$FG:$FG</definedName>
    <definedName name="Kr84Blank" localSheetId="5">Scapolite!$EY:$EY</definedName>
    <definedName name="Kr84Blank" localSheetId="12">'Supplementary Data 3'!$FM:$FM</definedName>
    <definedName name="Kr84Blankerr" localSheetId="0">'Halogen Samples (2)'!$FH:$FH</definedName>
    <definedName name="Kr84Blankerr" localSheetId="11">#REF!</definedName>
    <definedName name="Kr84Blankerr" localSheetId="5">Scapolite!$EZ:$EZ</definedName>
    <definedName name="Kr84Blankerr" localSheetId="12">'Supplementary Data 3'!$FN:$FN</definedName>
    <definedName name="Kr84Blankerr" localSheetId="7">#REF!</definedName>
    <definedName name="Kr84Blankerr">#REF!</definedName>
    <definedName name="Kr84cc" localSheetId="0">'Halogen Samples (2)'!$GI:$GI</definedName>
    <definedName name="Kr84cc" localSheetId="5">Scapolite!$GA:$GA</definedName>
    <definedName name="Kr84cc" localSheetId="12">'Supplementary Data 3'!$GO:$GO</definedName>
    <definedName name="Kr84ccerr" localSheetId="0">'Halogen Samples (2)'!$GJ:$GJ</definedName>
    <definedName name="Kr84ccerr" localSheetId="5">Scapolite!$GB:$GB</definedName>
    <definedName name="Kr84ccerr" localSheetId="12">'Supplementary Data 3'!$GP:$GP</definedName>
    <definedName name="Kr84Raw" localSheetId="0">'Halogen Samples (2)'!$EY:$EY</definedName>
    <definedName name="Kr84Raw" localSheetId="5">Scapolite!$EQ:$EQ</definedName>
    <definedName name="Kr84Raw" localSheetId="12">'Supplementary Data 3'!$FE:$FE</definedName>
    <definedName name="Kr84Rawerr" localSheetId="0">'Halogen Samples (2)'!$EZ:$EZ</definedName>
    <definedName name="Kr84Rawerr" localSheetId="5">Scapolite!$ER:$ER</definedName>
    <definedName name="Kr84Rawerr" localSheetId="12">'Supplementary Data 3'!$FF:$FF</definedName>
    <definedName name="Kr84U" localSheetId="0">'Halogen Samples (2)'!$FS:$FS</definedName>
    <definedName name="Kr84U" localSheetId="5">Scapolite!$FK:$FK</definedName>
    <definedName name="Kr84U" localSheetId="12">'Supplementary Data 3'!$FY:$FY</definedName>
    <definedName name="Kr84Uerr" localSheetId="0">'Halogen Samples (2)'!$FT:$FT</definedName>
    <definedName name="Kr84Uerr" localSheetId="5">Scapolite!$FL:$FL</definedName>
    <definedName name="Kr84Uerr" localSheetId="12">'Supplementary Data 3'!$FZ:$FZ</definedName>
    <definedName name="Kr8684_Air" localSheetId="11">'[3]Ref Values '!$B$127</definedName>
    <definedName name="Kr8684_Air" localSheetId="7">'[4]Ref Values '!$B$127</definedName>
    <definedName name="Kr8684_Air">'Ref Values '!$B$127</definedName>
    <definedName name="Kr8684_Mix">'Ref Values '!$B$160</definedName>
    <definedName name="Kr8684_Mixerr">'Ref Values '!$C$160</definedName>
    <definedName name="Kr8684_nf" localSheetId="11">'[3]Ref Values '!$B$170</definedName>
    <definedName name="Kr8684_nf" localSheetId="7">'[4]Ref Values '!$B$170</definedName>
    <definedName name="Kr8684_nf">'Ref Values '!$B$170</definedName>
    <definedName name="Kr8684_nferr" localSheetId="11">'[3]Ref Values '!$C$170</definedName>
    <definedName name="Kr8684_nferr" localSheetId="7">'[4]Ref Values '!$C$170</definedName>
    <definedName name="Kr8684_nferr">'Ref Values '!$C$170</definedName>
    <definedName name="Kr8684_Q" localSheetId="11">'[3]Ref Values '!$B$149</definedName>
    <definedName name="Kr8684_Q" localSheetId="7">'[4]Ref Values '!$B$149</definedName>
    <definedName name="Kr8684_Q">'Ref Values '!$B$149</definedName>
    <definedName name="Kr8684_Qerr">'Ref Values '!$C$149</definedName>
    <definedName name="Kr8684_SW" localSheetId="11">'[3]Ref Values '!$B$138</definedName>
    <definedName name="Kr8684_SW" localSheetId="7">'[4]Ref Values '!$B$138</definedName>
    <definedName name="Kr8684_SW">'Ref Values '!$B$138</definedName>
    <definedName name="Kr8684_SWerr">'Ref Values '!$C$138</definedName>
    <definedName name="Kr86AC" localSheetId="0">'Halogen Samples (2)'!$FY:$FY</definedName>
    <definedName name="Kr86AC" localSheetId="5">Scapolite!$FQ:$FQ</definedName>
    <definedName name="Kr86AC" localSheetId="12">'Supplementary Data 3'!$GE:$GE</definedName>
    <definedName name="Kr86ACerr" localSheetId="0">'Halogen Samples (2)'!$FZ:$FZ</definedName>
    <definedName name="Kr86ACerr" localSheetId="5">Scapolite!$FR:$FR</definedName>
    <definedName name="Kr86ACerr" localSheetId="12">'Supplementary Data 3'!$GF:$GF</definedName>
    <definedName name="Kr86BC" localSheetId="0">'Halogen Samples (2)'!$FQ:$FQ</definedName>
    <definedName name="Kr86BC" localSheetId="5">Scapolite!$FI:$FI</definedName>
    <definedName name="Kr86BC" localSheetId="12">'Supplementary Data 3'!$FW:$FW</definedName>
    <definedName name="Kr86BCerr" localSheetId="0">'Halogen Samples (2)'!$FR:$FR</definedName>
    <definedName name="Kr86BCerr" localSheetId="5">Scapolite!$FJ:$FJ</definedName>
    <definedName name="Kr86BCerr" localSheetId="12">'Supplementary Data 3'!$FX:$FX</definedName>
    <definedName name="Kr86Blank" localSheetId="0">'Halogen Samples (2)'!$FI:$FI</definedName>
    <definedName name="Kr86Blank" localSheetId="5">Scapolite!$FA:$FA</definedName>
    <definedName name="Kr86Blank" localSheetId="12">'Supplementary Data 3'!$FO:$FO</definedName>
    <definedName name="Kr86Blankerr" localSheetId="0">'Halogen Samples (2)'!$FJ:$FJ</definedName>
    <definedName name="Kr86Blankerr" localSheetId="11">#REF!</definedName>
    <definedName name="Kr86Blankerr" localSheetId="5">Scapolite!$FB:$FB</definedName>
    <definedName name="Kr86Blankerr" localSheetId="12">'Supplementary Data 3'!$FP:$FP</definedName>
    <definedName name="Kr86Blankerr" localSheetId="7">#REF!</definedName>
    <definedName name="Kr86Blankerr">#REF!</definedName>
    <definedName name="Kr86cc" localSheetId="0">'Halogen Samples (2)'!$GK:$GK</definedName>
    <definedName name="Kr86cc" localSheetId="5">Scapolite!$GC:$GC</definedName>
    <definedName name="Kr86cc" localSheetId="12">'Supplementary Data 3'!$GQ:$GQ</definedName>
    <definedName name="Kr86ccerr" localSheetId="0">'Halogen Samples (2)'!$GL:$GL</definedName>
    <definedName name="Kr86ccerr" localSheetId="5">Scapolite!$GD:$GD</definedName>
    <definedName name="Kr86ccerr" localSheetId="12">'Supplementary Data 3'!$GR:$GR</definedName>
    <definedName name="Kr86Raw" localSheetId="0">'Halogen Samples (2)'!$FA:$FA</definedName>
    <definedName name="Kr86Raw" localSheetId="5">Scapolite!$ES:$ES</definedName>
    <definedName name="Kr86Raw" localSheetId="12">'Supplementary Data 3'!$FG:$FG</definedName>
    <definedName name="Kr86Rawerr" localSheetId="0">'Halogen Samples (2)'!$FB:$FB</definedName>
    <definedName name="Kr86Rawerr" localSheetId="5">Scapolite!$ET:$ET</definedName>
    <definedName name="Kr86Rawerr" localSheetId="12">'Supplementary Data 3'!$FH:$FH</definedName>
    <definedName name="lambda" localSheetId="11">'[3]Ref Values '!$B$18</definedName>
    <definedName name="lambda" localSheetId="7">'[4]Ref Values '!$B$18</definedName>
    <definedName name="lambda">'Ref Values '!$B$18</definedName>
    <definedName name="lambda_36Ar" localSheetId="11">'[3]Ref Values '!$B$21</definedName>
    <definedName name="lambda_36Ar" localSheetId="7">'[4]Ref Values '!$B$21</definedName>
    <definedName name="lambda_36Ar">'Ref Values '!$B$21</definedName>
    <definedName name="lambda_36Arerr">'Ref Values '!$C$21</definedName>
    <definedName name="lambda_37Ar" localSheetId="11">'[3]Ref Values '!$B$19</definedName>
    <definedName name="lambda_37Ar" localSheetId="7">'[4]Ref Values '!$B$19</definedName>
    <definedName name="lambda_37Ar">'Ref Values '!$B$19</definedName>
    <definedName name="lambda_37Arerr">'Ref Values '!$C$19</definedName>
    <definedName name="lambda_39Ar" localSheetId="11">'[3]Ref Values '!$B$20</definedName>
    <definedName name="lambda_39Ar" localSheetId="7">'[4]Ref Values '!$B$20</definedName>
    <definedName name="lambda_39Ar">'Ref Values '!$B$20</definedName>
    <definedName name="lambda_39Arerr">'Ref Values '!$C$20</definedName>
    <definedName name="lambda_Berr">'Ref Values '!$C$16</definedName>
    <definedName name="lambda_e" localSheetId="11">'[3]Ref Values '!$B$17</definedName>
    <definedName name="lambda_e" localSheetId="7">'[4]Ref Values '!$B$17</definedName>
    <definedName name="lambda_e">'Ref Values '!$B$17</definedName>
    <definedName name="lambda_eerr" localSheetId="11">'[3]Ref Values '!$C$17</definedName>
    <definedName name="lambda_eerr" localSheetId="7">'[4]Ref Values '!$C$17</definedName>
    <definedName name="lambda_eerr">'Ref Values '!$C$17</definedName>
    <definedName name="lambda_err" localSheetId="11">'[3]Ref Values '!$C$18</definedName>
    <definedName name="lambda_err" localSheetId="7">'[4]Ref Values '!$C$18</definedName>
    <definedName name="lambda_err">'Ref Values '!$C$18</definedName>
    <definedName name="MV" localSheetId="11">'[3]Ref Values '!$B$106</definedName>
    <definedName name="MV" localSheetId="7">'[4]Ref Values '!$B$106</definedName>
    <definedName name="MV">'Ref Values '!$B$106</definedName>
    <definedName name="MVerr" localSheetId="11">'[3]Ref Values '!$C$106</definedName>
    <definedName name="MVerr" localSheetId="7">'[4]Ref Values '!$C$106</definedName>
    <definedName name="MVerr">'Ref Values '!$C$106</definedName>
    <definedName name="MW_Ba" localSheetId="11">'[3]Ref Values '!$B$11</definedName>
    <definedName name="MW_Ba" localSheetId="7">'[4]Ref Values '!$B$11</definedName>
    <definedName name="MW_Ba">'Ref Values '!$B$11</definedName>
    <definedName name="MW_Baerr">'Ref Values '!$C$11</definedName>
    <definedName name="MW_Br" localSheetId="11">'[3]Ref Values '!$B$7</definedName>
    <definedName name="MW_Br" localSheetId="7">'[4]Ref Values '!$B$7</definedName>
    <definedName name="MW_Br">'Ref Values '!$B$7</definedName>
    <definedName name="MW_Brerr" localSheetId="11">'[3]Ref Values '!$C$7</definedName>
    <definedName name="MW_Brerr" localSheetId="7">'[4]Ref Values '!$C$7</definedName>
    <definedName name="MW_Brerr">'Ref Values '!$C$7</definedName>
    <definedName name="MW_Ca" localSheetId="11">'[3]Ref Values '!$B$9</definedName>
    <definedName name="MW_Ca" localSheetId="7">'[4]Ref Values '!$B$9</definedName>
    <definedName name="MW_Ca">'Ref Values '!$B$9</definedName>
    <definedName name="MW_Caerr" localSheetId="11">'[3]Ref Values '!$C$9</definedName>
    <definedName name="MW_Caerr" localSheetId="7">'[4]Ref Values '!$C$9</definedName>
    <definedName name="MW_Caerr">'Ref Values '!$C$9</definedName>
    <definedName name="MW_Cl" localSheetId="11">'[3]Ref Values '!$B$6</definedName>
    <definedName name="MW_Cl" localSheetId="7">'[4]Ref Values '!$B$6</definedName>
    <definedName name="MW_Cl">'Ref Values '!$B$6</definedName>
    <definedName name="MW_Clerr" localSheetId="11">'[3]Ref Values '!$C$6</definedName>
    <definedName name="MW_Clerr" localSheetId="7">'[4]Ref Values '!$C$6</definedName>
    <definedName name="MW_Clerr">'Ref Values '!$C$6</definedName>
    <definedName name="MW_F">'Ref Values '!$B$5</definedName>
    <definedName name="MW_Ferr">'Ref Values '!$C$5</definedName>
    <definedName name="MW_I" localSheetId="11">'[3]Ref Values '!$B$8</definedName>
    <definedName name="MW_I" localSheetId="7">'[4]Ref Values '!$B$8</definedName>
    <definedName name="MW_I">'Ref Values '!$B$8</definedName>
    <definedName name="MW_Ierr" localSheetId="11">'[3]Ref Values '!$C$8</definedName>
    <definedName name="MW_Ierr" localSheetId="7">'[4]Ref Values '!$C$8</definedName>
    <definedName name="MW_Ierr">'Ref Values '!$C$8</definedName>
    <definedName name="MW_K" localSheetId="11">'[3]Ref Values '!$B$10</definedName>
    <definedName name="MW_K" localSheetId="7">'[4]Ref Values '!$B$10</definedName>
    <definedName name="MW_K">'Ref Values '!$B$10</definedName>
    <definedName name="MW_Kerr" localSheetId="11">'[3]Ref Values '!$C$10</definedName>
    <definedName name="MW_Kerr" localSheetId="7">'[4]Ref Values '!$C$10</definedName>
    <definedName name="MW_Kerr">'Ref Values '!$C$10</definedName>
    <definedName name="MW_U" localSheetId="11">'[3]Ref Values '!$B$12</definedName>
    <definedName name="MW_U" localSheetId="7">'[4]Ref Values '!$B$12</definedName>
    <definedName name="MW_U">'Ref Values '!$B$12</definedName>
    <definedName name="Name" localSheetId="0">'Halogen Samples (2)'!$B:$B</definedName>
    <definedName name="Name" localSheetId="4">Hb3Gr!$B:$B</definedName>
    <definedName name="Name" localSheetId="3">Salts!$B:$B</definedName>
    <definedName name="Name" localSheetId="6">Shallowater!$B:$B</definedName>
    <definedName name="Name" localSheetId="12">'Supplementary Data 3'!$B:$B</definedName>
    <definedName name="Name" localSheetId="7">Vertical_variation!$B:$B</definedName>
    <definedName name="Omega" localSheetId="0">'Halogen Samples (2)'!$KI:$KI</definedName>
    <definedName name="Omega" localSheetId="5">Scapolite!$KY:$KY</definedName>
    <definedName name="Omega" localSheetId="12">'Supplementary Data 3'!$KO:$KO</definedName>
    <definedName name="Omegaerr" localSheetId="0">'Halogen Samples (2)'!$KJ:$KJ</definedName>
    <definedName name="Omegaerr" localSheetId="5">Scapolite!$KZ:$KZ</definedName>
    <definedName name="Omegaerr" localSheetId="12">'Supplementary Data 3'!$KP:$KP</definedName>
    <definedName name="Pi" localSheetId="0">'Halogen Samples (2)'!$GU:$GU</definedName>
    <definedName name="Pi" localSheetId="5">Scapolite!$GQ:$GQ</definedName>
    <definedName name="Pi" localSheetId="12">'Supplementary Data 3'!$HA:$HA</definedName>
    <definedName name="Pi_err" localSheetId="0">'Halogen Samples (2)'!$GV:$GV</definedName>
    <definedName name="Pi_err" localSheetId="5">Scapolite!$GR:$GR</definedName>
    <definedName name="Pi_err" localSheetId="12">'Supplementary Data 3'!$HB:$HB</definedName>
    <definedName name="Pi_prime" localSheetId="0">'Halogen Samples (2)'!$HC:$HC</definedName>
    <definedName name="Pi_prime" localSheetId="5">Scapolite!$GY:$GY</definedName>
    <definedName name="Pi_prime" localSheetId="12">'Supplementary Data 3'!$HI:$HI</definedName>
    <definedName name="Pi_primeerr" localSheetId="0">'Halogen Samples (2)'!$HD:$HD</definedName>
    <definedName name="Pi_primeerr" localSheetId="5">Scapolite!$GZ:$GZ</definedName>
    <definedName name="Pi_primeerr" localSheetId="12">'Supplementary Data 3'!$HJ:$HJ</definedName>
    <definedName name="Rad_Date" localSheetId="0">'Halogen Samples (2)'!$J:$J</definedName>
    <definedName name="Rad_Date" localSheetId="4">Hb3Gr!$J:$J</definedName>
    <definedName name="Rad_Date" localSheetId="3">Salts!$J:$J</definedName>
    <definedName name="Rad_Date" localSheetId="5">Scapolite!$J:$J</definedName>
    <definedName name="Rad_Date" localSheetId="6">Shallowater!$J:$J</definedName>
    <definedName name="Rad_Date" localSheetId="12">'Supplementary Data 3'!$J:$J</definedName>
    <definedName name="Rad_Type" localSheetId="0">'Halogen Samples (2)'!$K:$K</definedName>
    <definedName name="Rad_Type" localSheetId="4">Hb3Gr!$K:$K</definedName>
    <definedName name="Rad_Type" localSheetId="3">Salts!$K:$K</definedName>
    <definedName name="Rad_Type" localSheetId="5">Scapolite!$K:$K</definedName>
    <definedName name="Rad_Type" localSheetId="6">Shallowater!$K:$K</definedName>
    <definedName name="Rad_Type" localSheetId="12">'Supplementary Data 3'!$K:$K</definedName>
    <definedName name="Run_Date" localSheetId="0">'Halogen Samples (2)'!$E:$E</definedName>
    <definedName name="Run_Date" localSheetId="4">Hb3Gr!$E:$E</definedName>
    <definedName name="Run_Date" localSheetId="3">Salts!$E:$E</definedName>
    <definedName name="Run_Date" localSheetId="5">Scapolite!$E:$E</definedName>
    <definedName name="Run_Date" localSheetId="6">Shallowater!$E:$E</definedName>
    <definedName name="Run_Date" localSheetId="12">'Supplementary Data 3'!$E:$E</definedName>
    <definedName name="Salt_36Ar37Ar_Ca" localSheetId="11">'[3]Ref Values '!$B$42</definedName>
    <definedName name="Salt_36Ar37Ar_Ca" localSheetId="7">'[4]Ref Values '!$B$42</definedName>
    <definedName name="Salt_36Ar37Ar_Ca">'Ref Values '!$B$42</definedName>
    <definedName name="Salt_36Ar37Ar_Caerr">'Ref Values '!$C$42</definedName>
    <definedName name="Salt_38Ar39Ar_K" localSheetId="11">'[3]Ref Values '!$B$41</definedName>
    <definedName name="Salt_38Ar39Ar_K" localSheetId="7">'[4]Ref Values '!$B$41</definedName>
    <definedName name="Salt_38Ar39Ar_K">'Ref Values '!$B$41</definedName>
    <definedName name="Salt_38Ar39Ar_Kerr">'Ref Values '!$C$41</definedName>
    <definedName name="Salt_39Ar37Ar_Ca" localSheetId="11">'[3]Ref Values '!$B$43</definedName>
    <definedName name="Salt_39Ar37Ar_Ca" localSheetId="7">'[4]Ref Values '!$B$43</definedName>
    <definedName name="Salt_39Ar37Ar_Ca">'Ref Values '!$B$43</definedName>
    <definedName name="Salt_39Ar37Ar_Caerr">'Ref Values '!$C$43</definedName>
    <definedName name="Salt_40Ar39Ar_K" localSheetId="11">'[3]Ref Values '!$B$40</definedName>
    <definedName name="Salt_40Ar39Ar_K" localSheetId="7">'[4]Ref Values '!$B$40</definedName>
    <definedName name="Salt_40Ar39Ar_K">'Ref Values '!$B$40</definedName>
    <definedName name="Salt_40Ar39Ar_Kerr">'Ref Values '!$C$40</definedName>
    <definedName name="Sample_Mass" localSheetId="0">'Halogen Samples (2)'!$C:$C</definedName>
    <definedName name="Sample_Mass" localSheetId="4">Hb3Gr!$C:$C</definedName>
    <definedName name="Sample_Mass" localSheetId="3">Salts!$C:$C</definedName>
    <definedName name="Sample_Mass" localSheetId="5">Scapolite!$C:$C</definedName>
    <definedName name="Sample_Mass" localSheetId="6">Shallowater!$C:$C</definedName>
    <definedName name="Sample_Mass" localSheetId="12">'Supplementary Data 3'!$C:$C</definedName>
    <definedName name="Sample_Masserr" localSheetId="0">'Halogen Samples (2)'!$D:$D</definedName>
    <definedName name="Sample_Masserr" localSheetId="4">Hb3Gr!$D:$D</definedName>
    <definedName name="Sample_Masserr" localSheetId="3">Salts!$D:$D</definedName>
    <definedName name="Sample_Masserr" localSheetId="5">Scapolite!$D:$D</definedName>
    <definedName name="Sample_Masserr" localSheetId="6">Shallowater!$D:$D</definedName>
    <definedName name="Sample_Masserr" localSheetId="12">'Supplementary Data 3'!$D:$D</definedName>
    <definedName name="Scapolite" localSheetId="5">Scapolite!$B:$B</definedName>
    <definedName name="Slope_SW" localSheetId="6">Shallowater!$BX:$BX</definedName>
    <definedName name="Slope_SWerr" localSheetId="6">Shallowater!$BY:$BY</definedName>
    <definedName name="SRAW_40">[5]Samples!$H:$H</definedName>
    <definedName name="SRAW_84">[5]Samples!$CX:$CX</definedName>
    <definedName name="SW_Initial" localSheetId="11">'[3]Ref Values '!$B$86</definedName>
    <definedName name="SW_Initial" localSheetId="7">'[4]Ref Values '!$B$86</definedName>
    <definedName name="SW_Initial">'Ref Values '!$B$86</definedName>
    <definedName name="SW_Initialerr" localSheetId="11">'[3]Ref Values '!$C$86</definedName>
    <definedName name="SW_Initialerr" localSheetId="7">'[4]Ref Values '!$C$86</definedName>
    <definedName name="SW_Initialerr">'Ref Values '!$C$86</definedName>
    <definedName name="Therm_CS_127I" localSheetId="11">'[3]Ref Values '!$E$95</definedName>
    <definedName name="Therm_CS_127I" localSheetId="7">'[4]Ref Values '!$E$95</definedName>
    <definedName name="Therm_CS_127I">'Ref Values '!$E$95</definedName>
    <definedName name="Therm_CS_127Ierr" localSheetId="11">'[3]Ref Values '!$F$95</definedName>
    <definedName name="Therm_CS_127Ierr" localSheetId="7">'[4]Ref Values '!$F$95</definedName>
    <definedName name="Therm_CS_127Ierr">'Ref Values '!$F$95</definedName>
    <definedName name="Therm_CS_130Ba" localSheetId="11">'[3]Ref Values '!$E$96</definedName>
    <definedName name="Therm_CS_130Ba" localSheetId="7">'[4]Ref Values '!$E$96</definedName>
    <definedName name="Therm_CS_130Ba">'Ref Values '!$E$96</definedName>
    <definedName name="Therm_CS_130Baerr" localSheetId="11">'[3]Ref Values '!$F$96</definedName>
    <definedName name="Therm_CS_130Baerr" localSheetId="7">'[4]Ref Values '!$F$96</definedName>
    <definedName name="Therm_CS_130Baerr">'Ref Values '!$F$96</definedName>
    <definedName name="Therm_CS_235U" localSheetId="11">'[3]Ref Values '!$E$98</definedName>
    <definedName name="Therm_CS_235U" localSheetId="7">'[4]Ref Values '!$E$98</definedName>
    <definedName name="Therm_CS_235U">'Ref Values '!$E$98</definedName>
    <definedName name="Therm_CS_235Uerr" localSheetId="11">'[3]Ref Values '!$F$98</definedName>
    <definedName name="Therm_CS_235Uerr" localSheetId="7">'[4]Ref Values '!$F$98</definedName>
    <definedName name="Therm_CS_235Uerr">'Ref Values '!$F$98</definedName>
    <definedName name="Therm_CS_37Cl" localSheetId="11">'[3]Ref Values '!$E$90</definedName>
    <definedName name="Therm_CS_37Cl" localSheetId="7">'[4]Ref Values '!$E$90</definedName>
    <definedName name="Therm_CS_37Cl">'Ref Values '!$E$90</definedName>
    <definedName name="Therm_CS_37Clerr" localSheetId="11">'[3]Ref Values '!$F$90</definedName>
    <definedName name="Therm_CS_37Clerr" localSheetId="7">'[4]Ref Values '!$F$90</definedName>
    <definedName name="Therm_CS_37Clerr">'Ref Values '!$F$90</definedName>
    <definedName name="Therm_CS_39K">'Ref Values '!$E$91</definedName>
    <definedName name="Therm_CS_39Kerr">'Ref Values '!$F$91</definedName>
    <definedName name="Therm_CS_79Br" localSheetId="11">'[3]Ref Values '!$E$93</definedName>
    <definedName name="Therm_CS_79Br" localSheetId="7">'[4]Ref Values '!$E$93</definedName>
    <definedName name="Therm_CS_79Br">'Ref Values '!$E$93</definedName>
    <definedName name="Therm_CS_79Brerr" localSheetId="11">'[3]Ref Values '!$F$93</definedName>
    <definedName name="Therm_CS_79Brerr" localSheetId="7">'[4]Ref Values '!$F$93</definedName>
    <definedName name="Therm_CS_79Brerr">'Ref Values '!$F$93</definedName>
    <definedName name="Therm_CS_81Br" localSheetId="11">'[3]Ref Values '!$E$94</definedName>
    <definedName name="Therm_CS_81Br" localSheetId="7">'[4]Ref Values '!$E$94</definedName>
    <definedName name="Therm_CS_81Br">'Ref Values '!$E$94</definedName>
    <definedName name="Therm_CS_81Brerr" localSheetId="11">'[3]Ref Values '!$F$94</definedName>
    <definedName name="Therm_CS_81Brerr" localSheetId="7">'[4]Ref Values '!$F$94</definedName>
    <definedName name="Therm_CS_81Brerr">'Ref Values '!$F$94</definedName>
    <definedName name="Therm_Flux" localSheetId="0">'Halogen Samples (2)'!$CP:$CP</definedName>
    <definedName name="Therm_Flux" localSheetId="4">Hb3Gr!$CF:$CF</definedName>
    <definedName name="Therm_Flux" localSheetId="5">Scapolite!$CP:$CP</definedName>
    <definedName name="Therm_Flux" localSheetId="6">Shallowater!$BV:$BV</definedName>
    <definedName name="Therm_Flux" localSheetId="12">'Supplementary Data 3'!$CV:$CV</definedName>
    <definedName name="Therm_Flux" localSheetId="7">Vertical_variation!$CD:$CD</definedName>
    <definedName name="Therm_Fluxerr" localSheetId="0">'Halogen Samples (2)'!$CQ:$CQ</definedName>
    <definedName name="Therm_Fluxerr" localSheetId="4">Hb3Gr!$CG:$CG</definedName>
    <definedName name="Therm_Fluxerr" localSheetId="5">Scapolite!$CQ:$CQ</definedName>
    <definedName name="Therm_Fluxerr" localSheetId="6">Shallowater!$BW:$BW</definedName>
    <definedName name="Therm_Fluxerr" localSheetId="12">'Supplementary Data 3'!$CW:$CW</definedName>
    <definedName name="Therm_Fluxerr" localSheetId="7">Vertical_variation!$CE:$CE</definedName>
    <definedName name="Thermal_Flux_Constant" localSheetId="11">'[3]Ref Values '!$B$113</definedName>
    <definedName name="Thermal_Flux_Constant" localSheetId="7">'[4]Ref Values '!$B$113</definedName>
    <definedName name="Thermal_Flux_Constant">'Ref Values '!$B$113</definedName>
    <definedName name="Thermal_Flux_Constanterr" localSheetId="11">'[3]Ref Values '!$C$113</definedName>
    <definedName name="Thermal_Flux_Constanterr" localSheetId="7">'[4]Ref Values '!$C$113</definedName>
    <definedName name="Thermal_Flux_Constanterr">'Ref Values '!$C$113</definedName>
    <definedName name="Tube" localSheetId="4">Hb3Gr!$H:$H</definedName>
    <definedName name="Tube" localSheetId="3">Salts!$H:$H</definedName>
    <definedName name="Tube" localSheetId="5">Scapolite!$H:$H</definedName>
    <definedName name="Tube" localSheetId="6">Shallowater!$H:$H</definedName>
    <definedName name="Tube" localSheetId="7">Vertical_variation!$H:$H</definedName>
    <definedName name="U_mole" localSheetId="0">'Halogen Samples (2)'!$LK:$LK</definedName>
    <definedName name="U_mole" localSheetId="5">Scapolite!$KQ:$KQ</definedName>
    <definedName name="U_mole" localSheetId="12">'Supplementary Data 3'!$LQ:$LQ</definedName>
    <definedName name="U_moleerr" localSheetId="0">'Halogen Samples (2)'!$LL:$LL</definedName>
    <definedName name="U_moleerr" localSheetId="5">Scapolite!$KR:$KR</definedName>
    <definedName name="U_moleerr" localSheetId="12">'Supplementary Data 3'!$LR:$LR</definedName>
    <definedName name="U_ppb" localSheetId="0">'Halogen Samples (2)'!$LM:$LM</definedName>
    <definedName name="U_ppb" localSheetId="5">Scapolite!$KS:$KS</definedName>
    <definedName name="U_ppb" localSheetId="12">'Supplementary Data 3'!$LS:$LS</definedName>
    <definedName name="U_ppberr" localSheetId="0">'Halogen Samples (2)'!$LN:$LN</definedName>
    <definedName name="U_ppberr" localSheetId="5">Scapolite!$KT:$KT</definedName>
    <definedName name="U_ppberr" localSheetId="12">'Supplementary Data 3'!$LT:$LT</definedName>
    <definedName name="U235_Abun" localSheetId="11">'[3]Ref Values '!$C$98</definedName>
    <definedName name="U235_Abun" localSheetId="7">'[4]Ref Values '!$C$98</definedName>
    <definedName name="U235_Abun">'Ref Values '!$C$98</definedName>
    <definedName name="x">Hb3gr_interpolation!$F$7</definedName>
    <definedName name="x_1">Hb3gr_interpolation!$C$7</definedName>
    <definedName name="x_2">Hb3gr_interpolation!$C$8</definedName>
    <definedName name="x_3">Hb3gr_interpolation!$C$9</definedName>
    <definedName name="x_4">Hb3gr_interpolation!$C$10</definedName>
    <definedName name="x_5">Hb3gr_interpolation!$C$14</definedName>
    <definedName name="Xe_Sensitivity" localSheetId="0">'Halogen Samples (2)'!$JU:$JU</definedName>
    <definedName name="Xe_Sensitivity" localSheetId="5">Scapolite!$JM:$JM</definedName>
    <definedName name="Xe_Sensitivity" localSheetId="12">'Supplementary Data 3'!$KA:$KA</definedName>
    <definedName name="Xe_Sensitivityerr" localSheetId="0">'Halogen Samples (2)'!$JV:$JV</definedName>
    <definedName name="Xe_Sensitivityerr" localSheetId="5">Scapolite!$JN:$JN</definedName>
    <definedName name="Xe_Sensitivityerr" localSheetId="12">'Supplementary Data 3'!$KB:$KB</definedName>
    <definedName name="Xe128130_Air" localSheetId="11">'[3]Ref Values '!$B$128</definedName>
    <definedName name="Xe128130_Air" localSheetId="7">'[4]Ref Values '!$B$128</definedName>
    <definedName name="Xe128130_Air">'Ref Values '!$B$128</definedName>
    <definedName name="Xe128130_Mix" localSheetId="11">'[3]Ref Values '!$B$161</definedName>
    <definedName name="Xe128130_Mix" localSheetId="7">'[4]Ref Values '!$B$161</definedName>
    <definedName name="Xe128130_Mix">'Ref Values '!$B$161</definedName>
    <definedName name="Xe128130_Mixerr" localSheetId="11">'[3]Ref Values '!$C$161</definedName>
    <definedName name="Xe128130_Mixerr" localSheetId="7">'[4]Ref Values '!$C$161</definedName>
    <definedName name="Xe128130_Mixerr">'Ref Values '!$C$161</definedName>
    <definedName name="Xe128130_Q" localSheetId="11">'[3]Ref Values '!$B$150</definedName>
    <definedName name="Xe128130_Q" localSheetId="7">'[4]Ref Values '!$B$150</definedName>
    <definedName name="Xe128130_Q">'Ref Values '!$B$150</definedName>
    <definedName name="Xe128130_Qerr">'Ref Values '!$C$150</definedName>
    <definedName name="Xe128130_SW">'Ref Values '!$B$138:$B$139</definedName>
    <definedName name="Xe128130_SWerr">'Ref Values '!$C$139</definedName>
    <definedName name="Xe128AC" localSheetId="0">'Halogen Samples (2)'!$JI:$JI</definedName>
    <definedName name="Xe128AC" localSheetId="5">Scapolite!$JA:$JA</definedName>
    <definedName name="Xe128AC" localSheetId="6">Shallowater!$BF:$BF</definedName>
    <definedName name="Xe128AC" localSheetId="12">'Supplementary Data 3'!$JO:$JO</definedName>
    <definedName name="Xe128ACerr" localSheetId="0">'Halogen Samples (2)'!$JJ:$JJ</definedName>
    <definedName name="Xe128ACerr" localSheetId="5">Scapolite!$JB:$JB</definedName>
    <definedName name="Xe128ACerr" localSheetId="6">Shallowater!$BG:$BG</definedName>
    <definedName name="Xe128ACerr" localSheetId="12">'Supplementary Data 3'!$JP:$JP</definedName>
    <definedName name="Xe128BC" localSheetId="0">'Halogen Samples (2)'!$IU:$IU</definedName>
    <definedName name="Xe128BC" localSheetId="5">Scapolite!$IM:$IM</definedName>
    <definedName name="Xe128BC" localSheetId="6">Shallowater!$AR:$AR</definedName>
    <definedName name="Xe128BC" localSheetId="12">'Supplementary Data 3'!$JA:$JA</definedName>
    <definedName name="Xe128BCerr" localSheetId="0">'Halogen Samples (2)'!$IV:$IV</definedName>
    <definedName name="Xe128BCerr" localSheetId="5">Scapolite!$IN:$IN</definedName>
    <definedName name="Xe128BCerr" localSheetId="6">Shallowater!$AS:$AS</definedName>
    <definedName name="Xe128BCerr" localSheetId="12">'Supplementary Data 3'!$JB:$JB</definedName>
    <definedName name="Xe128Blank" localSheetId="0">'Halogen Samples (2)'!$IG:$IG</definedName>
    <definedName name="Xe128Blank" localSheetId="5">Scapolite!$HY:$HY</definedName>
    <definedName name="Xe128Blank" localSheetId="6">Shallowater!$AD:$AD</definedName>
    <definedName name="Xe128Blank" localSheetId="12">'Supplementary Data 3'!$IM:$IM</definedName>
    <definedName name="Xe128Blankerr" localSheetId="0">'Halogen Samples (2)'!$IH:$IH</definedName>
    <definedName name="Xe128Blankerr" localSheetId="5">Scapolite!$HZ:$HZ</definedName>
    <definedName name="Xe128Blankerr" localSheetId="6">Shallowater!$AE:$AE</definedName>
    <definedName name="Xe128Blankerr" localSheetId="12">'Supplementary Data 3'!$IN:$IN</definedName>
    <definedName name="Xe128CC" localSheetId="0">'Halogen Samples (2)'!$JY:$JY</definedName>
    <definedName name="Xe128CC" localSheetId="5">Scapolite!$JQ:$JQ</definedName>
    <definedName name="Xe128CC" localSheetId="12">'Supplementary Data 3'!$KE:$KE</definedName>
    <definedName name="Xe128CCerr" localSheetId="0">'Halogen Samples (2)'!$JZ:$JZ</definedName>
    <definedName name="Xe128CCerr" localSheetId="5">Scapolite!$JR:$JR</definedName>
    <definedName name="Xe128CCerr" localSheetId="12">'Supplementary Data 3'!$KF:$KF</definedName>
    <definedName name="Xe128mole" localSheetId="0">'Halogen Samples (2)'!$KA:$KA</definedName>
    <definedName name="Xe128mole" localSheetId="5">Scapolite!$JS:$JS</definedName>
    <definedName name="Xe128mole" localSheetId="12">'Supplementary Data 3'!$KG:$KG</definedName>
    <definedName name="Xe128moleerr" localSheetId="0">'Halogen Samples (2)'!$KB:$KB</definedName>
    <definedName name="Xe128moleerr" localSheetId="5">Scapolite!$JT:$JT</definedName>
    <definedName name="Xe128moleerr" localSheetId="12">'Supplementary Data 3'!$KH:$KH</definedName>
    <definedName name="Xe128Raw" localSheetId="0">'Halogen Samples (2)'!$HS:$HS</definedName>
    <definedName name="Xe128Raw" localSheetId="5">Scapolite!$HK:$HK</definedName>
    <definedName name="Xe128Raw" localSheetId="6">Shallowater!$P:$P</definedName>
    <definedName name="Xe128Raw" localSheetId="12">'Supplementary Data 3'!$HY:$HY</definedName>
    <definedName name="Xe128Rawerr" localSheetId="0">'Halogen Samples (2)'!$HT:$HT</definedName>
    <definedName name="Xe128Rawerr" localSheetId="5">Scapolite!$HL:$HL</definedName>
    <definedName name="Xe128Rawerr" localSheetId="6">Shallowater!$Q:$Q</definedName>
    <definedName name="Xe128Rawerr" localSheetId="12">'Supplementary Data 3'!$HZ:$HZ</definedName>
    <definedName name="Xe128Xe129" localSheetId="6">Shallowater!$BZ:$BZ</definedName>
    <definedName name="Xe128Xe129err" localSheetId="6">Shallowater!$CA:$CA</definedName>
    <definedName name="Xe129130_Air" localSheetId="11">'[3]Ref Values '!$B$129</definedName>
    <definedName name="Xe129130_Air" localSheetId="7">'[4]Ref Values '!$B$129</definedName>
    <definedName name="Xe129130_Air">'Ref Values '!$B$129</definedName>
    <definedName name="Xe129130_Mix" localSheetId="11">'[3]Ref Values '!$B$162</definedName>
    <definedName name="Xe129130_Mix" localSheetId="7">'[4]Ref Values '!$B$162</definedName>
    <definedName name="Xe129130_Mix">'Ref Values '!$B$162</definedName>
    <definedName name="Xe129130_Mixerr" localSheetId="11">'[3]Ref Values '!$C$162</definedName>
    <definedName name="Xe129130_Mixerr" localSheetId="7">'[4]Ref Values '!$C$162</definedName>
    <definedName name="Xe129130_Mixerr">'Ref Values '!$C$162</definedName>
    <definedName name="Xe129130_Q" localSheetId="11">'[6]Ref Values '!$B$151</definedName>
    <definedName name="Xe129130_Q">'Ref Values '!$B$151</definedName>
    <definedName name="Xe129130_Qerr">'Ref Values '!$C$151</definedName>
    <definedName name="Xe129130_SW" localSheetId="11">'[3]Ref Values '!$B$140</definedName>
    <definedName name="Xe129130_SW" localSheetId="7">'[4]Ref Values '!$B$140</definedName>
    <definedName name="Xe129130_SW">'Ref Values '!$B$140</definedName>
    <definedName name="Xe129130_SWerr">'Ref Values '!$C$140</definedName>
    <definedName name="Xe129AC" localSheetId="0">'Halogen Samples (2)'!$JK:$JK</definedName>
    <definedName name="Xe129AC" localSheetId="5">Scapolite!$JC:$JC</definedName>
    <definedName name="Xe129AC" localSheetId="6">Shallowater!$BH:$BH</definedName>
    <definedName name="Xe129AC" localSheetId="12">'Supplementary Data 3'!$JQ:$JQ</definedName>
    <definedName name="Xe129ACerr" localSheetId="0">'Halogen Samples (2)'!$JL:$JL</definedName>
    <definedName name="Xe129ACerr" localSheetId="5">Scapolite!$JD:$JD</definedName>
    <definedName name="Xe129ACerr" localSheetId="6">Shallowater!$BI:$BI</definedName>
    <definedName name="Xe129ACerr" localSheetId="12">'Supplementary Data 3'!$JR:$JR</definedName>
    <definedName name="Xe129BC" localSheetId="0">'Halogen Samples (2)'!$IW:$IW</definedName>
    <definedName name="Xe129BC" localSheetId="5">Scapolite!$IO:$IO</definedName>
    <definedName name="Xe129BC" localSheetId="6">Shallowater!$AT:$AT</definedName>
    <definedName name="Xe129BC" localSheetId="12">'Supplementary Data 3'!$JC:$JC</definedName>
    <definedName name="Xe129BCerr" localSheetId="0">'Halogen Samples (2)'!$IX:$IX</definedName>
    <definedName name="Xe129BCerr" localSheetId="5">Scapolite!$IP:$IP</definedName>
    <definedName name="Xe129BCerr" localSheetId="6">Shallowater!$AU:$AU</definedName>
    <definedName name="Xe129BCerr" localSheetId="12">'Supplementary Data 3'!$JD:$JD</definedName>
    <definedName name="Xe129Blank" localSheetId="0">'Halogen Samples (2)'!$II:$II</definedName>
    <definedName name="Xe129Blank" localSheetId="5">Scapolite!$IA:$IA</definedName>
    <definedName name="Xe129Blank" localSheetId="6">Shallowater!$AF:$AF</definedName>
    <definedName name="Xe129Blank" localSheetId="12">'Supplementary Data 3'!$IO:$IO</definedName>
    <definedName name="Xe129Blankerr" localSheetId="0">'Halogen Samples (2)'!$IJ:$IJ</definedName>
    <definedName name="Xe129Blankerr" localSheetId="5">Scapolite!$IB:$IB</definedName>
    <definedName name="Xe129Blankerr" localSheetId="6">Shallowater!$AG:$AG</definedName>
    <definedName name="Xe129Blankerr" localSheetId="12">'Supplementary Data 3'!$IP:$IP</definedName>
    <definedName name="Xe129Raw" localSheetId="0">'Halogen Samples (2)'!$HU:$HU</definedName>
    <definedName name="Xe129Raw" localSheetId="5">Scapolite!$HM:$HM</definedName>
    <definedName name="Xe129Raw" localSheetId="6">Shallowater!$R:$R</definedName>
    <definedName name="Xe129Raw" localSheetId="12">'Supplementary Data 3'!$IA:$IA</definedName>
    <definedName name="Xe129Rawerr" localSheetId="0">'Halogen Samples (2)'!$HV:$HV</definedName>
    <definedName name="Xe129Rawerr" localSheetId="5">Scapolite!$HN:$HN</definedName>
    <definedName name="Xe129Rawerr" localSheetId="6">Shallowater!$S:$S</definedName>
    <definedName name="Xe129Rawerr" localSheetId="12">'Supplementary Data 3'!$IB:$IB</definedName>
    <definedName name="Xe130BC" localSheetId="0">'Halogen Samples (2)'!$IY:$IY</definedName>
    <definedName name="Xe130BC" localSheetId="5">Scapolite!$IQ:$IQ</definedName>
    <definedName name="Xe130BC" localSheetId="6">Shallowater!$AV:$AV</definedName>
    <definedName name="Xe130BC" localSheetId="12">'Supplementary Data 3'!$JE:$JE</definedName>
    <definedName name="Xe130BCerr" localSheetId="0">'Halogen Samples (2)'!$IZ:$IZ</definedName>
    <definedName name="Xe130BCerr" localSheetId="5">Scapolite!$IR:$IR</definedName>
    <definedName name="Xe130BCerr" localSheetId="6">Shallowater!$AW:$AW</definedName>
    <definedName name="Xe130BCerr" localSheetId="12">'Supplementary Data 3'!$JF:$JF</definedName>
    <definedName name="Xe130Blank" localSheetId="0">'Halogen Samples (2)'!$IK:$IK</definedName>
    <definedName name="Xe130Blank" localSheetId="5">Scapolite!$IC:$IC</definedName>
    <definedName name="Xe130Blank" localSheetId="6">Shallowater!$AH:$AH</definedName>
    <definedName name="Xe130Blank" localSheetId="12">'Supplementary Data 3'!$IQ:$IQ</definedName>
    <definedName name="Xe130Blankerr" localSheetId="0">'Halogen Samples (2)'!$IL:$IL</definedName>
    <definedName name="Xe130Blankerr" localSheetId="5">Scapolite!$ID:$ID</definedName>
    <definedName name="Xe130Blankerr" localSheetId="6">Shallowater!$AI:$AI</definedName>
    <definedName name="Xe130Blankerr" localSheetId="12">'Supplementary Data 3'!$IR:$IR</definedName>
    <definedName name="Xe130Raw" localSheetId="0">'Halogen Samples (2)'!$HW:$HW</definedName>
    <definedName name="Xe130Raw" localSheetId="5">Scapolite!$HO:$HO</definedName>
    <definedName name="Xe130Raw" localSheetId="6">Shallowater!$T:$T</definedName>
    <definedName name="Xe130Raw" localSheetId="12">'Supplementary Data 3'!$IC:$IC</definedName>
    <definedName name="Xe130Rawerr" localSheetId="0">'Halogen Samples (2)'!$HX:$HX</definedName>
    <definedName name="Xe130Rawerr" localSheetId="5">Scapolite!$HP:$HP</definedName>
    <definedName name="Xe130Rawerr" localSheetId="6">Shallowater!$U:$U</definedName>
    <definedName name="Xe130Rawerr" localSheetId="12">'Supplementary Data 3'!$ID:$ID</definedName>
    <definedName name="Xe131130_Air" localSheetId="11">'[3]Ref Values '!$B$130</definedName>
    <definedName name="Xe131130_Air" localSheetId="7">'[4]Ref Values '!$B$130</definedName>
    <definedName name="Xe131130_Air">'Ref Values '!$B$130</definedName>
    <definedName name="Xe131130_Mix" localSheetId="11">'[3]Ref Values '!$B$163</definedName>
    <definedName name="Xe131130_Mix" localSheetId="7">'[4]Ref Values '!$B$163</definedName>
    <definedName name="Xe131130_Mix">'Ref Values '!$B$163</definedName>
    <definedName name="Xe131130_Mixerr" localSheetId="11">'[3]Ref Values '!$C$163</definedName>
    <definedName name="Xe131130_Mixerr" localSheetId="7">'[4]Ref Values '!$C$163</definedName>
    <definedName name="Xe131130_Mixerr">'Ref Values '!$C$163</definedName>
    <definedName name="Xe131130_Q" localSheetId="11">'[6]Ref Values '!$B$152</definedName>
    <definedName name="Xe131130_Q">'Ref Values '!$B$152</definedName>
    <definedName name="Xe131130_Qerr">'Ref Values '!$C$152</definedName>
    <definedName name="Xe131130_SW">'Ref Values '!$B$141</definedName>
    <definedName name="Xe131130_SWerr">'Ref Values '!$C$141</definedName>
    <definedName name="Xe131136_nf" localSheetId="11">'[3]Ref Values '!$B$172</definedName>
    <definedName name="Xe131136_nf" localSheetId="7">'[4]Ref Values '!$B$172</definedName>
    <definedName name="Xe131136_nf">'Ref Values '!$B$172</definedName>
    <definedName name="Xe131136_nferr" localSheetId="11">'[3]Ref Values '!$C$172</definedName>
    <definedName name="Xe131136_nferr" localSheetId="7">'[4]Ref Values '!$C$172</definedName>
    <definedName name="Xe131136_nferr">'Ref Values '!$C$172</definedName>
    <definedName name="Xe131AC" localSheetId="0">'Halogen Samples (2)'!$JM:$JM</definedName>
    <definedName name="Xe131AC" localSheetId="5">Scapolite!$JE:$JE</definedName>
    <definedName name="Xe131AC" localSheetId="6">Shallowater!$BJ:$BJ</definedName>
    <definedName name="Xe131AC" localSheetId="12">'Supplementary Data 3'!$JS:$JS</definedName>
    <definedName name="Xe131ACerr" localSheetId="0">'Halogen Samples (2)'!$JN:$JN</definedName>
    <definedName name="Xe131ACerr" localSheetId="5">Scapolite!$JF:$JF</definedName>
    <definedName name="Xe131ACerr" localSheetId="6">Shallowater!$BK:$BK</definedName>
    <definedName name="Xe131ACerr" localSheetId="12">'Supplementary Data 3'!$JT:$JT</definedName>
    <definedName name="Xe131Ba" localSheetId="0">'Halogen Samples (2)'!$KO:$KO</definedName>
    <definedName name="Xe131Ba" localSheetId="5">Scapolite!$KA:$KA</definedName>
    <definedName name="Xe131Ba" localSheetId="12">'Supplementary Data 3'!$KU:$KU</definedName>
    <definedName name="Xe131Bacc" localSheetId="0">'Halogen Samples (2)'!$KQ:$KQ</definedName>
    <definedName name="Xe131Bacc" localSheetId="5">Scapolite!$KC:$KC</definedName>
    <definedName name="Xe131Bacc" localSheetId="12">'Supplementary Data 3'!$KW:$KW</definedName>
    <definedName name="Xe131BaCCerr" localSheetId="0">'Halogen Samples (2)'!$KR:$KR</definedName>
    <definedName name="Xe131BaCCerr" localSheetId="5">Scapolite!$KD:$KD</definedName>
    <definedName name="Xe131BaCCerr" localSheetId="12">'Supplementary Data 3'!$KX:$KX</definedName>
    <definedName name="Xe131Baerr" localSheetId="0">'Halogen Samples (2)'!$KP:$KP</definedName>
    <definedName name="Xe131Baerr" localSheetId="5">Scapolite!$KB:$KB</definedName>
    <definedName name="Xe131Baerr" localSheetId="12">'Supplementary Data 3'!$KV:$KV</definedName>
    <definedName name="Xe131BC" localSheetId="0">'Halogen Samples (2)'!$JA:$JA</definedName>
    <definedName name="Xe131BC" localSheetId="5">Scapolite!$IS:$IS</definedName>
    <definedName name="Xe131BC" localSheetId="6">Shallowater!$AX:$AX</definedName>
    <definedName name="Xe131BC" localSheetId="12">'Supplementary Data 3'!$JG:$JG</definedName>
    <definedName name="Xe131BCerr" localSheetId="0">'Halogen Samples (2)'!$JB:$JB</definedName>
    <definedName name="Xe131BCerr" localSheetId="5">Scapolite!$IT:$IT</definedName>
    <definedName name="Xe131BCerr" localSheetId="6">Shallowater!$AY:$AY</definedName>
    <definedName name="Xe131BCerr" localSheetId="12">'Supplementary Data 3'!$JH:$JH</definedName>
    <definedName name="Xe131Blank" localSheetId="0">'Halogen Samples (2)'!$IM:$IM</definedName>
    <definedName name="Xe131Blank" localSheetId="5">Scapolite!$IE:$IE</definedName>
    <definedName name="Xe131Blank" localSheetId="6">Shallowater!$AJ:$AJ</definedName>
    <definedName name="Xe131Blank" localSheetId="12">'Supplementary Data 3'!$IS:$IS</definedName>
    <definedName name="Xe131Blankerr" localSheetId="0">'Halogen Samples (2)'!$IN:$IN</definedName>
    <definedName name="Xe131Blankerr" localSheetId="5">Scapolite!$IF:$IF</definedName>
    <definedName name="Xe131Blankerr" localSheetId="6">Shallowater!$AK:$AK</definedName>
    <definedName name="Xe131Blankerr" localSheetId="12">'Supplementary Data 3'!$IT:$IT</definedName>
    <definedName name="Xe131CC" localSheetId="0">'Halogen Samples (2)'!$KQ:$KQ</definedName>
    <definedName name="Xe131CC" localSheetId="5">Scapolite!$KC:$KC</definedName>
    <definedName name="Xe131CC" localSheetId="12">'Supplementary Data 3'!$KW:$KW</definedName>
    <definedName name="Xe131CCerr" localSheetId="0">'Halogen Samples (2)'!$KR:$KR</definedName>
    <definedName name="Xe131CCerr" localSheetId="5">Scapolite!$KD:$KD</definedName>
    <definedName name="Xe131CCerr" localSheetId="12">'Supplementary Data 3'!$KX:$KX</definedName>
    <definedName name="Xe131mole" localSheetId="0">'Halogen Samples (2)'!$KS:$KS</definedName>
    <definedName name="Xe131mole" localSheetId="5">Scapolite!$KE:$KE</definedName>
    <definedName name="Xe131mole" localSheetId="12">'Supplementary Data 3'!$KY:$KY</definedName>
    <definedName name="Xe131moleerr" localSheetId="0">'Halogen Samples (2)'!$KT:$KT</definedName>
    <definedName name="Xe131moleerr" localSheetId="5">Scapolite!$KF:$KF</definedName>
    <definedName name="Xe131moleerr" localSheetId="12">'Supplementary Data 3'!$KZ:$KZ</definedName>
    <definedName name="Xe131Raw" localSheetId="0">'Halogen Samples (2)'!$HY:$HY</definedName>
    <definedName name="Xe131Raw" localSheetId="5">Scapolite!$HQ:$HQ</definedName>
    <definedName name="Xe131Raw" localSheetId="6">Shallowater!$V:$V</definedName>
    <definedName name="Xe131Raw" localSheetId="12">'Supplementary Data 3'!$IE:$IE</definedName>
    <definedName name="Xe131Rawerr" localSheetId="0">'Halogen Samples (2)'!$HZ:$HZ</definedName>
    <definedName name="Xe131Rawerr" localSheetId="5">Scapolite!$HR:$HR</definedName>
    <definedName name="Xe131Rawerr" localSheetId="6">Shallowater!$W:$W</definedName>
    <definedName name="Xe131Rawerr" localSheetId="12">'Supplementary Data 3'!$IF:$IF</definedName>
    <definedName name="Xe132130_Air" localSheetId="11">'[3]Ref Values '!$B$131</definedName>
    <definedName name="Xe132130_Air" localSheetId="7">'[4]Ref Values '!$B$131</definedName>
    <definedName name="Xe132130_Air">'Ref Values '!$B$131</definedName>
    <definedName name="Xe132130_Mix" localSheetId="11">'[3]Ref Values '!$B$164</definedName>
    <definedName name="Xe132130_Mix" localSheetId="7">'[4]Ref Values '!$B$164</definedName>
    <definedName name="Xe132130_Mix">'Ref Values '!$B$164</definedName>
    <definedName name="Xe132130_Mixerr" localSheetId="11">'[3]Ref Values '!$C$164</definedName>
    <definedName name="Xe132130_Mixerr" localSheetId="7">'[4]Ref Values '!$C$164</definedName>
    <definedName name="Xe132130_Mixerr">'Ref Values '!$C$164</definedName>
    <definedName name="Xe132130_Q" localSheetId="11">'[6]Ref Values '!$B$153</definedName>
    <definedName name="Xe132130_Q">'Ref Values '!$B$153</definedName>
    <definedName name="Xe132130_Qerr">'Ref Values '!$C$153</definedName>
    <definedName name="Xe132130_SW" localSheetId="11">'[3]Ref Values '!$B$142</definedName>
    <definedName name="Xe132130_SW" localSheetId="7">'[4]Ref Values '!$B$142</definedName>
    <definedName name="Xe132130_SW">'Ref Values '!$B$142</definedName>
    <definedName name="Xe132130_SWerr">'Ref Values '!$C$142</definedName>
    <definedName name="Xe132136_Qerr">'Ref Values '!$C$155</definedName>
    <definedName name="Xe132AC" localSheetId="0">'Halogen Samples (2)'!$JO:$JO</definedName>
    <definedName name="Xe132AC" localSheetId="5">Scapolite!$JG:$JG</definedName>
    <definedName name="Xe132AC" localSheetId="6">Shallowater!$BL:$BL</definedName>
    <definedName name="Xe132AC" localSheetId="12">'Supplementary Data 3'!$JU:$JU</definedName>
    <definedName name="Xe132ACerr" localSheetId="0">'Halogen Samples (2)'!$JP:$JP</definedName>
    <definedName name="Xe132ACerr" localSheetId="5">Scapolite!$JH:$JH</definedName>
    <definedName name="Xe132ACerr" localSheetId="6">Shallowater!$BM:$BM</definedName>
    <definedName name="Xe132ACerr" localSheetId="12">'Supplementary Data 3'!$JV:$JV</definedName>
    <definedName name="Xe132BC" localSheetId="0">'Halogen Samples (2)'!$JC:$JC</definedName>
    <definedName name="Xe132BC" localSheetId="5">Scapolite!$IU:$IU</definedName>
    <definedName name="Xe132BC" localSheetId="6">Shallowater!$AZ:$AZ</definedName>
    <definedName name="Xe132BC" localSheetId="12">'Supplementary Data 3'!$JI:$JI</definedName>
    <definedName name="Xe132BCerr" localSheetId="0">'Halogen Samples (2)'!$JD:$JD</definedName>
    <definedName name="Xe132BCerr" localSheetId="5">Scapolite!$IV:$IV</definedName>
    <definedName name="Xe132BCerr" localSheetId="6">Shallowater!$BA:$BA</definedName>
    <definedName name="Xe132BCerr" localSheetId="12">'Supplementary Data 3'!$JJ:$JJ</definedName>
    <definedName name="Xe132Blank" localSheetId="0">'Halogen Samples (2)'!$IO:$IO</definedName>
    <definedName name="Xe132Blank" localSheetId="5">Scapolite!$IG:$IG</definedName>
    <definedName name="Xe132Blank" localSheetId="6">Shallowater!$AL:$AL</definedName>
    <definedName name="Xe132Blank" localSheetId="12">'Supplementary Data 3'!$IU:$IU</definedName>
    <definedName name="Xe132Blankerr" localSheetId="0">'Halogen Samples (2)'!$IP:$IP</definedName>
    <definedName name="Xe132Blankerr" localSheetId="5">Scapolite!$IH:$IH</definedName>
    <definedName name="Xe132Blankerr" localSheetId="6">Shallowater!$AM:$AM</definedName>
    <definedName name="Xe132Blankerr" localSheetId="12">'Supplementary Data 3'!$IV:$IV</definedName>
    <definedName name="Xe132Raw" localSheetId="0">'Halogen Samples (2)'!$IA:$IA</definedName>
    <definedName name="Xe132Raw" localSheetId="5">Scapolite!$HS:$HS</definedName>
    <definedName name="Xe132Raw" localSheetId="6">Shallowater!$X:$X</definedName>
    <definedName name="Xe132Raw" localSheetId="12">'Supplementary Data 3'!$IG:$IG</definedName>
    <definedName name="Xe132Rawerr" localSheetId="0">'Halogen Samples (2)'!$IB:$IB</definedName>
    <definedName name="Xe132Rawerr" localSheetId="5">Scapolite!$HT:$HT</definedName>
    <definedName name="Xe132Rawerr" localSheetId="6">Shallowater!$Y:$Y</definedName>
    <definedName name="Xe132Rawerr" localSheetId="12">'Supplementary Data 3'!$IH:$IH</definedName>
    <definedName name="Xe134_mole" localSheetId="0">'Halogen Samples (2)'!$LI:$LI</definedName>
    <definedName name="Xe134_mole" localSheetId="12">'Supplementary Data 3'!$LO:$LO</definedName>
    <definedName name="Xe134_moleerr" localSheetId="0">'Halogen Samples (2)'!$LJ:$LJ</definedName>
    <definedName name="Xe134_moleerr" localSheetId="12">'Supplementary Data 3'!$LP:$LP</definedName>
    <definedName name="Xe134130_Air" localSheetId="11">'[3]Ref Values '!$B$132</definedName>
    <definedName name="Xe134130_Air" localSheetId="7">'[4]Ref Values '!$B$132</definedName>
    <definedName name="Xe134130_Air">'Ref Values '!$B$132</definedName>
    <definedName name="Xe134130_Mix" localSheetId="11">'[3]Ref Values '!$B$165</definedName>
    <definedName name="Xe134130_Mix" localSheetId="7">'[4]Ref Values '!$B$165</definedName>
    <definedName name="Xe134130_Mix">'Ref Values '!$B$165</definedName>
    <definedName name="Xe134130_Mixerr" localSheetId="11">'[3]Ref Values '!$C$165</definedName>
    <definedName name="Xe134130_Mixerr" localSheetId="7">'[4]Ref Values '!$C$165</definedName>
    <definedName name="Xe134130_Mixerr">'Ref Values '!$C$165</definedName>
    <definedName name="Xe134130_Q" localSheetId="11">'[6]Ref Values '!$B$154</definedName>
    <definedName name="Xe134130_Q">'Ref Values '!$B$154</definedName>
    <definedName name="Xe134130_Qerr">'Ref Values '!$C$154</definedName>
    <definedName name="Xe134130_SW" localSheetId="11">'[3]Ref Values '!$B$143</definedName>
    <definedName name="Xe134130_SW" localSheetId="7">'[4]Ref Values '!$B$143</definedName>
    <definedName name="Xe134130_SW">'Ref Values '!$B$143</definedName>
    <definedName name="Xe134130_SWerr">'Ref Values '!$C$143</definedName>
    <definedName name="Xe134136_nf" localSheetId="11">'[3]Ref Values '!$B$171</definedName>
    <definedName name="Xe134136_nf" localSheetId="7">'[4]Ref Values '!$B$171</definedName>
    <definedName name="Xe134136_nf">'Ref Values '!$B$171</definedName>
    <definedName name="Xe134136_nferr" localSheetId="11">'[3]Ref Values '!$C$171</definedName>
    <definedName name="Xe134136_nferr" localSheetId="7">'[4]Ref Values '!$C$171</definedName>
    <definedName name="Xe134136_nferr">'Ref Values '!$C$171</definedName>
    <definedName name="Xe134AC" localSheetId="0">'Halogen Samples (2)'!$JQ:$JQ</definedName>
    <definedName name="Xe134AC" localSheetId="5">Scapolite!$JI:$JI</definedName>
    <definedName name="Xe134AC" localSheetId="6">Shallowater!$BN:$BN</definedName>
    <definedName name="Xe134AC" localSheetId="12">'Supplementary Data 3'!$JW:$JW</definedName>
    <definedName name="Xe134ACerr" localSheetId="0">'Halogen Samples (2)'!$JR:$JR</definedName>
    <definedName name="Xe134ACerr" localSheetId="5">Scapolite!$JJ:$JJ</definedName>
    <definedName name="Xe134ACerr" localSheetId="6">Shallowater!$BO:$BO</definedName>
    <definedName name="Xe134ACerr" localSheetId="12">'Supplementary Data 3'!$JX:$JX</definedName>
    <definedName name="Xe134BC" localSheetId="0">'Halogen Samples (2)'!$JE:$JE</definedName>
    <definedName name="Xe134BC" localSheetId="5">Scapolite!$IW:$IW</definedName>
    <definedName name="Xe134BC" localSheetId="6">Shallowater!$BB:$BB</definedName>
    <definedName name="Xe134BC" localSheetId="12">'Supplementary Data 3'!$JK:$JK</definedName>
    <definedName name="Xe134BCerr" localSheetId="0">'Halogen Samples (2)'!$JF:$JF</definedName>
    <definedName name="Xe134BCerr" localSheetId="5">Scapolite!$IX:$IX</definedName>
    <definedName name="Xe134BCerr" localSheetId="6">Shallowater!$BC:$BC</definedName>
    <definedName name="Xe134BCerr" localSheetId="12">'Supplementary Data 3'!$JL:$JL</definedName>
    <definedName name="Xe134Blank" localSheetId="0">'Halogen Samples (2)'!$IQ:$IQ</definedName>
    <definedName name="Xe134Blank" localSheetId="5">Scapolite!$II:$II</definedName>
    <definedName name="Xe134Blank" localSheetId="6">Shallowater!$AN:$AN</definedName>
    <definedName name="Xe134Blank" localSheetId="12">'Supplementary Data 3'!$IW:$IW</definedName>
    <definedName name="Xe134Blankerr" localSheetId="0">'Halogen Samples (2)'!$IR:$IR</definedName>
    <definedName name="Xe134Blankerr" localSheetId="5">Scapolite!$IJ:$IJ</definedName>
    <definedName name="Xe134Blankerr" localSheetId="6">Shallowater!$AO:$AO</definedName>
    <definedName name="Xe134Blankerr" localSheetId="12">'Supplementary Data 3'!$IX:$IX</definedName>
    <definedName name="Xe134CC" localSheetId="0">'Halogen Samples (2)'!$LG:$LG</definedName>
    <definedName name="Xe134CC" localSheetId="5">Scapolite!$KM:$KM</definedName>
    <definedName name="Xe134CC" localSheetId="12">'Supplementary Data 3'!$LM:$LM</definedName>
    <definedName name="Xe134CCerr" localSheetId="0">'Halogen Samples (2)'!$LH:$LH</definedName>
    <definedName name="Xe134CCerr" localSheetId="5">Scapolite!$KN:$KN</definedName>
    <definedName name="Xe134CCerr" localSheetId="12">'Supplementary Data 3'!$LN:$LN</definedName>
    <definedName name="Xe134mole" localSheetId="0">'Halogen Samples (2)'!$LI:$LI</definedName>
    <definedName name="Xe134mole" localSheetId="5">Scapolite!$KO:$KO</definedName>
    <definedName name="Xe134mole" localSheetId="12">'Supplementary Data 3'!$LO:$LO</definedName>
    <definedName name="Xe134moleerr" localSheetId="0">'Halogen Samples (2)'!$LJ:$LJ</definedName>
    <definedName name="Xe134moleerr" localSheetId="5">Scapolite!$KP:$KP</definedName>
    <definedName name="Xe134moleerr" localSheetId="12">'Supplementary Data 3'!$LP:$LP</definedName>
    <definedName name="Xe134Raw" localSheetId="0">'Halogen Samples (2)'!$IC:$IC</definedName>
    <definedName name="Xe134Raw" localSheetId="5">Scapolite!$HU:$HU</definedName>
    <definedName name="Xe134Raw" localSheetId="6">Shallowater!$Z:$Z</definedName>
    <definedName name="Xe134Raw" localSheetId="12">'Supplementary Data 3'!$II:$II</definedName>
    <definedName name="Xe134Rawerr" localSheetId="0">'Halogen Samples (2)'!$ID:$ID</definedName>
    <definedName name="Xe134Rawerr" localSheetId="5">Scapolite!$HV:$HV</definedName>
    <definedName name="Xe134Rawerr" localSheetId="6">Shallowater!$AA:$AA</definedName>
    <definedName name="Xe134Rawerr" localSheetId="12">'Supplementary Data 3'!$IJ:$IJ</definedName>
    <definedName name="Xe136130_Air" localSheetId="11">'[3]Ref Values '!$B$133</definedName>
    <definedName name="Xe136130_Air" localSheetId="7">'[4]Ref Values '!$B$133</definedName>
    <definedName name="Xe136130_Air">'Ref Values '!$B$133</definedName>
    <definedName name="Xe136130_Mix" localSheetId="11">'[3]Ref Values '!$B$166</definedName>
    <definedName name="Xe136130_Mix" localSheetId="7">'[4]Ref Values '!$B$166</definedName>
    <definedName name="Xe136130_Mix">'Ref Values '!$B$166</definedName>
    <definedName name="Xe136130_Mixerr" localSheetId="11">'[3]Ref Values '!$C$166</definedName>
    <definedName name="Xe136130_Mixerr" localSheetId="7">'[4]Ref Values '!$C$166</definedName>
    <definedName name="Xe136130_Mixerr">'Ref Values '!$C$166</definedName>
    <definedName name="Xe136130_Q" localSheetId="11">'[6]Ref Values '!$B$155</definedName>
    <definedName name="Xe136130_Q">'Ref Values '!$B$155</definedName>
    <definedName name="Xe136130_SW" localSheetId="11">'[3]Ref Values '!$B$144</definedName>
    <definedName name="Xe136130_SW" localSheetId="7">'[4]Ref Values '!$B$144</definedName>
    <definedName name="Xe136130_SW">'Ref Values '!$B$144</definedName>
    <definedName name="Xe136130_SWerr">'Ref Values '!$C$144</definedName>
    <definedName name="Xe136AC" localSheetId="0">'Halogen Samples (2)'!$JS:$JS</definedName>
    <definedName name="Xe136AC" localSheetId="5">Scapolite!$JK:$JK</definedName>
    <definedName name="Xe136AC" localSheetId="6">Shallowater!$BP:$BP</definedName>
    <definedName name="Xe136AC" localSheetId="12">'Supplementary Data 3'!$JY:$JY</definedName>
    <definedName name="Xe136ACerr" localSheetId="0">'Halogen Samples (2)'!$JT:$JT</definedName>
    <definedName name="Xe136ACerr" localSheetId="5">Scapolite!$JL:$JL</definedName>
    <definedName name="Xe136ACerr" localSheetId="6">Shallowater!$BQ:$BQ</definedName>
    <definedName name="Xe136ACerr" localSheetId="12">'Supplementary Data 3'!$JZ:$JZ</definedName>
    <definedName name="Xe136BC" localSheetId="0">'Halogen Samples (2)'!$JG:$JG</definedName>
    <definedName name="Xe136BC" localSheetId="5">Scapolite!$IY:$IY</definedName>
    <definedName name="Xe136BC" localSheetId="6">Shallowater!$BD:$BD</definedName>
    <definedName name="Xe136BC" localSheetId="12">'Supplementary Data 3'!$JM:$JM</definedName>
    <definedName name="Xe136BCerr" localSheetId="0">'Halogen Samples (2)'!$JH:$JH</definedName>
    <definedName name="Xe136BCerr" localSheetId="5">Scapolite!$IZ:$IZ</definedName>
    <definedName name="Xe136BCerr" localSheetId="6">Shallowater!$BE:$BE</definedName>
    <definedName name="Xe136BCerr" localSheetId="12">'Supplementary Data 3'!$JN:$JN</definedName>
    <definedName name="Xe136Blank" localSheetId="0">'Halogen Samples (2)'!$IS:$IS</definedName>
    <definedName name="Xe136Blank" localSheetId="5">Scapolite!$IK:$IK</definedName>
    <definedName name="Xe136Blank" localSheetId="6">Shallowater!$AP:$AP</definedName>
    <definedName name="Xe136Blank" localSheetId="12">'Supplementary Data 3'!$IY:$IY</definedName>
    <definedName name="Xe136Blankerr" localSheetId="0">'Halogen Samples (2)'!$IT:$IT</definedName>
    <definedName name="Xe136Blankerr" localSheetId="5">Scapolite!$IL:$IL</definedName>
    <definedName name="Xe136Blankerr" localSheetId="6">Shallowater!$AQ:$AQ</definedName>
    <definedName name="Xe136Blankerr" localSheetId="12">'Supplementary Data 3'!$IZ:$IZ</definedName>
    <definedName name="Xe136Raw" localSheetId="0">'Halogen Samples (2)'!$IE:$IE</definedName>
    <definedName name="Xe136Raw" localSheetId="5">Scapolite!$HW:$HW</definedName>
    <definedName name="Xe136Raw" localSheetId="6">Shallowater!$AB:$AB</definedName>
    <definedName name="Xe136Raw" localSheetId="12">'Supplementary Data 3'!$IK:$IK</definedName>
    <definedName name="Xe136Rawerr" localSheetId="0">'Halogen Samples (2)'!$IF:$IF</definedName>
    <definedName name="Xe136Rawerr" localSheetId="5">Scapolite!$HX:$HX</definedName>
    <definedName name="Xe136Rawerr" localSheetId="6">Shallowater!$AC:$AC</definedName>
    <definedName name="Xe136Rawerr" localSheetId="12">'Supplementary Data 3'!$IL:$IL</definedName>
    <definedName name="y_1">Hb3gr_interpolation!$D$7</definedName>
    <definedName name="Y_127I" localSheetId="11">'[3]Ref Values '!$B$95</definedName>
    <definedName name="Y_127I" localSheetId="7">'[4]Ref Values '!$B$95</definedName>
    <definedName name="Y_127I">'Ref Values '!$B$95</definedName>
    <definedName name="Y_130Ba" localSheetId="11">'[3]Ref Values '!$B$96</definedName>
    <definedName name="Y_130Ba" localSheetId="7">'[4]Ref Values '!$B$96</definedName>
    <definedName name="Y_130Ba">'Ref Values '!$B$96</definedName>
    <definedName name="y_2">Hb3gr_interpolation!$D$8</definedName>
    <definedName name="Y_235U" localSheetId="11">'[3]Ref Values '!$B$98</definedName>
    <definedName name="Y_235U" localSheetId="7">'[4]Ref Values '!$B$98</definedName>
    <definedName name="Y_235U">'Ref Values '!$B$98</definedName>
    <definedName name="y_3">Hb3gr_interpolation!$D$9</definedName>
    <definedName name="Y_37Cl" localSheetId="11">'[3]Ref Values '!$B$90</definedName>
    <definedName name="Y_37Cl" localSheetId="7">'[4]Ref Values '!$B$90</definedName>
    <definedName name="Y_37Cl">'Ref Values '!$B$90</definedName>
    <definedName name="Y_39K" localSheetId="11">'[3]Ref Values '!$B$91</definedName>
    <definedName name="Y_39K" localSheetId="7">'[4]Ref Values '!$B$91</definedName>
    <definedName name="Y_39K">'Ref Values '!$B$91</definedName>
    <definedName name="y_4">Hb3gr_interpolation!$D$10</definedName>
    <definedName name="y_5">Hb3gr_interpolation!$D$14</definedName>
    <definedName name="Y_79Br" localSheetId="11">'[3]Ref Values '!$B$93</definedName>
    <definedName name="Y_79Br" localSheetId="7">'[4]Ref Values '!$B$93</definedName>
    <definedName name="Y_79Br">'Ref Values '!$B$93</definedName>
    <definedName name="Y_81Br" localSheetId="11">'[3]Ref Values '!$B$94</definedName>
    <definedName name="Y_81Br" localSheetId="7">'[4]Ref Values '!$B$94</definedName>
    <definedName name="Y_81Br">'Ref Values '!$B$94</definedName>
    <definedName name="Y134Xe" localSheetId="11">'[3]Ref Values '!$B$174</definedName>
    <definedName name="Y134Xe" localSheetId="7">'[4]Ref Values '!$B$174</definedName>
    <definedName name="Y134Xe">'Ref Values '!$B$174</definedName>
    <definedName name="Y134Xeerr" localSheetId="11">'[3]Ref Values '!$C$174</definedName>
    <definedName name="Y134Xeerr" localSheetId="7">'[4]Ref Values '!$C$174</definedName>
    <definedName name="Y134Xeerr">'Ref Values '!$C$174</definedName>
    <definedName name="Y86Kr" localSheetId="11">'[3]Ref Values '!$B$173</definedName>
    <definedName name="Y86Kr" localSheetId="7">'[4]Ref Values '!$B$173</definedName>
    <definedName name="Y86Kr">'Ref Values '!$B$173</definedName>
    <definedName name="Y86Kr_err" localSheetId="11">'[3]Ref Values '!$C$173</definedName>
    <definedName name="Y86Kr_err" localSheetId="7">'[4]Ref Values '!$C$173</definedName>
    <definedName name="Y86Kr_err">'Ref Values '!$C$173</definedName>
    <definedName name="YKr" localSheetId="0">'Halogen Samples (2)'!$GC:$GC</definedName>
    <definedName name="YKr" localSheetId="5">Scapolite!$FU:$FU</definedName>
    <definedName name="YKr" localSheetId="12">'Supplementary Data 3'!$GI:$GI</definedName>
    <definedName name="YKrerr" localSheetId="0">'Halogen Samples (2)'!$GD:$GD</definedName>
    <definedName name="YKrerr" localSheetId="5">Scapolite!$FV:$FV</definedName>
    <definedName name="YKrerr" localSheetId="12">'Supplementary Data 3'!$GJ:$GJ</definedName>
    <definedName name="YXe" localSheetId="0">'Halogen Samples (2)'!$JW:$JW</definedName>
    <definedName name="YXe" localSheetId="5">Scapolite!$JO:$JO</definedName>
    <definedName name="YXe" localSheetId="12">'Supplementary Data 3'!$KC:$KC</definedName>
    <definedName name="YXeerr" localSheetId="0">'Halogen Samples (2)'!$JX:$JX</definedName>
    <definedName name="YXeerr" localSheetId="5">Scapolite!$JP:$JP</definedName>
    <definedName name="YXeerr" localSheetId="12">'Supplementary Data 3'!$KD:$KD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U7" i="136" l="1"/>
  <c r="BT7" i="136"/>
  <c r="BS7" i="136"/>
  <c r="BR7" i="136"/>
  <c r="BQ7" i="136"/>
  <c r="BP7" i="136"/>
  <c r="BO7" i="136"/>
  <c r="NB27" i="136"/>
  <c r="NA27" i="136"/>
  <c r="NA37" i="136"/>
  <c r="NB37" i="136" s="1"/>
  <c r="NA36" i="136"/>
  <c r="NB36" i="136" s="1"/>
  <c r="NB35" i="136"/>
  <c r="NA35" i="136"/>
  <c r="NA34" i="136"/>
  <c r="NB34" i="136" s="1"/>
  <c r="NA33" i="136"/>
  <c r="NB33" i="136" s="1"/>
  <c r="NA32" i="136"/>
  <c r="NB32" i="136" s="1"/>
  <c r="NA30" i="136"/>
  <c r="NB30" i="136" s="1"/>
  <c r="NA29" i="136"/>
  <c r="NB29" i="136" s="1"/>
  <c r="NA26" i="136"/>
  <c r="NB26" i="136" s="1"/>
  <c r="NA25" i="136"/>
  <c r="NB25" i="136" s="1"/>
  <c r="NA23" i="136"/>
  <c r="NB23" i="136" s="1"/>
  <c r="NA22" i="136"/>
  <c r="NB22" i="136" s="1"/>
  <c r="NA21" i="136"/>
  <c r="NB21" i="136" s="1"/>
  <c r="NA20" i="136"/>
  <c r="NB20" i="136" s="1"/>
  <c r="NB19" i="136"/>
  <c r="NA19" i="136"/>
  <c r="NA18" i="136"/>
  <c r="NB18" i="136" s="1"/>
  <c r="NA17" i="136"/>
  <c r="NB17" i="136" s="1"/>
  <c r="NA16" i="136"/>
  <c r="NB16" i="136" s="1"/>
  <c r="NA15" i="136"/>
  <c r="NB15" i="136" s="1"/>
  <c r="NA14" i="136"/>
  <c r="NB14" i="136" s="1"/>
  <c r="NB13" i="136"/>
  <c r="NA13" i="136"/>
  <c r="NA12" i="136"/>
  <c r="NB12" i="136" s="1"/>
  <c r="NA11" i="136"/>
  <c r="NB11" i="136" s="1"/>
  <c r="NA10" i="136"/>
  <c r="NB10" i="136" s="1"/>
  <c r="NA9" i="136"/>
  <c r="NB9" i="136" s="1"/>
  <c r="NA8" i="136"/>
  <c r="NB8" i="136" s="1"/>
  <c r="NJ8" i="136" s="1"/>
  <c r="MM7" i="136"/>
  <c r="BE51" i="16"/>
  <c r="BD51" i="16"/>
  <c r="BC51" i="16"/>
  <c r="BB51" i="16"/>
  <c r="BA51" i="16"/>
  <c r="AZ51" i="16"/>
  <c r="AY51" i="16"/>
  <c r="AX51" i="16"/>
  <c r="AW51" i="16"/>
  <c r="AV51" i="16"/>
  <c r="AU51" i="16"/>
  <c r="AT51" i="16"/>
  <c r="BT51" i="16" s="1"/>
  <c r="AS51" i="16"/>
  <c r="AR51" i="16"/>
  <c r="BR51" i="16" s="1"/>
  <c r="D51" i="16"/>
  <c r="BE50" i="16"/>
  <c r="BD50" i="16"/>
  <c r="BC50" i="16"/>
  <c r="BB50" i="16"/>
  <c r="BA50" i="16"/>
  <c r="AZ50" i="16"/>
  <c r="AY50" i="16"/>
  <c r="AX50" i="16"/>
  <c r="AW50" i="16"/>
  <c r="AV50" i="16"/>
  <c r="AU50" i="16"/>
  <c r="AT50" i="16"/>
  <c r="AS50" i="16"/>
  <c r="AR50" i="16"/>
  <c r="BR50" i="16" s="1"/>
  <c r="BS50" i="16" s="1"/>
  <c r="D50" i="16"/>
  <c r="BE49" i="16"/>
  <c r="BD49" i="16"/>
  <c r="BC49" i="16"/>
  <c r="BB49" i="16"/>
  <c r="BA49" i="16"/>
  <c r="AZ49" i="16"/>
  <c r="BT49" i="16" s="1"/>
  <c r="BU49" i="16" s="1"/>
  <c r="AY49" i="16"/>
  <c r="AX49" i="16"/>
  <c r="AW49" i="16"/>
  <c r="AV49" i="16"/>
  <c r="AU49" i="16"/>
  <c r="AT49" i="16"/>
  <c r="AS49" i="16"/>
  <c r="AR49" i="16"/>
  <c r="BR49" i="16" s="1"/>
  <c r="BS49" i="16" s="1"/>
  <c r="D49" i="16"/>
  <c r="BE48" i="16"/>
  <c r="BD48" i="16"/>
  <c r="BC48" i="16"/>
  <c r="BB48" i="16"/>
  <c r="BA48" i="16"/>
  <c r="AZ48" i="16"/>
  <c r="AY48" i="16"/>
  <c r="AX48" i="16"/>
  <c r="AW48" i="16"/>
  <c r="AV48" i="16"/>
  <c r="AU48" i="16"/>
  <c r="AT48" i="16"/>
  <c r="BT48" i="16" s="1"/>
  <c r="AS48" i="16"/>
  <c r="AR48" i="16"/>
  <c r="BR48" i="16" s="1"/>
  <c r="D48" i="16"/>
  <c r="BE47" i="16"/>
  <c r="BD47" i="16"/>
  <c r="BC47" i="16"/>
  <c r="BB47" i="16"/>
  <c r="BA47" i="16"/>
  <c r="AZ47" i="16"/>
  <c r="AY47" i="16"/>
  <c r="AX47" i="16"/>
  <c r="AW47" i="16"/>
  <c r="AV47" i="16"/>
  <c r="AU47" i="16"/>
  <c r="AT47" i="16"/>
  <c r="BT47" i="16" s="1"/>
  <c r="AS47" i="16"/>
  <c r="AR47" i="16"/>
  <c r="BR47" i="16" s="1"/>
  <c r="BS47" i="16" s="1"/>
  <c r="D47" i="16"/>
  <c r="BE46" i="16"/>
  <c r="BD46" i="16"/>
  <c r="BC46" i="16"/>
  <c r="BB46" i="16"/>
  <c r="BA46" i="16"/>
  <c r="AZ46" i="16"/>
  <c r="AY46" i="16"/>
  <c r="AX46" i="16"/>
  <c r="AW46" i="16"/>
  <c r="AV46" i="16"/>
  <c r="AU46" i="16"/>
  <c r="AT46" i="16"/>
  <c r="AS46" i="16"/>
  <c r="AR46" i="16"/>
  <c r="BR46" i="16" s="1"/>
  <c r="D46" i="16"/>
  <c r="BE45" i="16"/>
  <c r="BD45" i="16"/>
  <c r="BC45" i="16"/>
  <c r="BB45" i="16"/>
  <c r="BA45" i="16"/>
  <c r="AZ45" i="16"/>
  <c r="AY45" i="16"/>
  <c r="AX45" i="16"/>
  <c r="AW45" i="16"/>
  <c r="AV45" i="16"/>
  <c r="AU45" i="16"/>
  <c r="AT45" i="16"/>
  <c r="AS45" i="16"/>
  <c r="AR45" i="16"/>
  <c r="BR45" i="16" s="1"/>
  <c r="BE44" i="16"/>
  <c r="BD44" i="16"/>
  <c r="BC44" i="16"/>
  <c r="BB44" i="16"/>
  <c r="BA44" i="16"/>
  <c r="AZ44" i="16"/>
  <c r="AY44" i="16"/>
  <c r="AX44" i="16"/>
  <c r="AW44" i="16"/>
  <c r="AV44" i="16"/>
  <c r="AU44" i="16"/>
  <c r="AT44" i="16"/>
  <c r="AS44" i="16"/>
  <c r="AR44" i="16"/>
  <c r="BR44" i="16" s="1"/>
  <c r="BS44" i="16" s="1"/>
  <c r="BE43" i="16"/>
  <c r="BD43" i="16"/>
  <c r="BC43" i="16"/>
  <c r="BB43" i="16"/>
  <c r="BA43" i="16"/>
  <c r="AZ43" i="16"/>
  <c r="AY43" i="16"/>
  <c r="AX43" i="16"/>
  <c r="AW43" i="16"/>
  <c r="AV43" i="16"/>
  <c r="AU43" i="16"/>
  <c r="AT43" i="16"/>
  <c r="AS43" i="16"/>
  <c r="AR43" i="16"/>
  <c r="BR43" i="16" s="1"/>
  <c r="BS43" i="16" s="1"/>
  <c r="BE42" i="16"/>
  <c r="BD42" i="16"/>
  <c r="BC42" i="16"/>
  <c r="BB42" i="16"/>
  <c r="BA42" i="16"/>
  <c r="AZ42" i="16"/>
  <c r="AY42" i="16"/>
  <c r="AX42" i="16"/>
  <c r="AW42" i="16"/>
  <c r="AV42" i="16"/>
  <c r="AU42" i="16"/>
  <c r="AT42" i="16"/>
  <c r="AS42" i="16"/>
  <c r="AR42" i="16"/>
  <c r="BR42" i="16" s="1"/>
  <c r="BZ51" i="16"/>
  <c r="CB51" i="16" s="1"/>
  <c r="CX51" i="16"/>
  <c r="CY51" i="16" s="1"/>
  <c r="CR51" i="16"/>
  <c r="CS51" i="16" s="1"/>
  <c r="CL51" i="16"/>
  <c r="CM51" i="16" s="1"/>
  <c r="CD51" i="16"/>
  <c r="CE51" i="16" s="1"/>
  <c r="BW51" i="16"/>
  <c r="BV51" i="16"/>
  <c r="BZ19" i="16"/>
  <c r="NI8" i="136" l="1"/>
  <c r="BT44" i="16"/>
  <c r="BU44" i="16" s="1"/>
  <c r="BT45" i="16"/>
  <c r="BU45" i="16" s="1"/>
  <c r="BS51" i="16"/>
  <c r="BS48" i="16"/>
  <c r="BU51" i="16"/>
  <c r="BT42" i="16"/>
  <c r="BU42" i="16" s="1"/>
  <c r="BT43" i="16"/>
  <c r="BU43" i="16" s="1"/>
  <c r="BT50" i="16"/>
  <c r="BU50" i="16" s="1"/>
  <c r="BS46" i="16"/>
  <c r="BT46" i="16"/>
  <c r="BU46" i="16" s="1"/>
  <c r="BU48" i="16"/>
  <c r="BS45" i="16"/>
  <c r="BU47" i="16"/>
  <c r="BS42" i="16"/>
  <c r="CH51" i="16"/>
  <c r="CF51" i="16"/>
  <c r="CA51" i="16"/>
  <c r="CC51" i="16" s="1"/>
  <c r="CI51" i="16" s="1"/>
  <c r="BX45" i="16" l="1" a="1"/>
  <c r="BX45" i="16" s="1"/>
  <c r="CG51" i="16"/>
  <c r="CK51" i="16"/>
  <c r="CJ51" i="16"/>
  <c r="CN51" i="16" s="1"/>
  <c r="CQ51" i="16"/>
  <c r="CP51" i="16"/>
  <c r="CT51" i="16" s="1"/>
  <c r="CW51" i="16"/>
  <c r="CV51" i="16"/>
  <c r="CZ51" i="16" s="1"/>
  <c r="CU51" i="16" l="1"/>
  <c r="CO51" i="16"/>
  <c r="DA51" i="16"/>
  <c r="MW23" i="136" l="1"/>
  <c r="OG8" i="136"/>
  <c r="OG9" i="136"/>
  <c r="OG10" i="136"/>
  <c r="OG11" i="136"/>
  <c r="OG12" i="136"/>
  <c r="OG13" i="136"/>
  <c r="OG14" i="136"/>
  <c r="OG15" i="136"/>
  <c r="OG16" i="136"/>
  <c r="OG17" i="136"/>
  <c r="OG18" i="136"/>
  <c r="OG19" i="136"/>
  <c r="OG20" i="136"/>
  <c r="OG21" i="136"/>
  <c r="OG22" i="136"/>
  <c r="OG23" i="136"/>
  <c r="OG25" i="136"/>
  <c r="OG26" i="136"/>
  <c r="OG27" i="136"/>
  <c r="OG29" i="136"/>
  <c r="OG30" i="136"/>
  <c r="OG32" i="136"/>
  <c r="OG33" i="136"/>
  <c r="OG34" i="136"/>
  <c r="OG35" i="136"/>
  <c r="OG36" i="136"/>
  <c r="OG37" i="136"/>
  <c r="OE8" i="136"/>
  <c r="OE9" i="136"/>
  <c r="OE10" i="136"/>
  <c r="OE11" i="136"/>
  <c r="OE12" i="136"/>
  <c r="OE13" i="136"/>
  <c r="OE14" i="136"/>
  <c r="OE15" i="136"/>
  <c r="OE16" i="136"/>
  <c r="OE17" i="136"/>
  <c r="OE18" i="136"/>
  <c r="OE19" i="136"/>
  <c r="OE20" i="136"/>
  <c r="OE21" i="136"/>
  <c r="OE22" i="136"/>
  <c r="OE23" i="136"/>
  <c r="OE25" i="136"/>
  <c r="OE26" i="136"/>
  <c r="OE27" i="136"/>
  <c r="OE29" i="136"/>
  <c r="OE30" i="136"/>
  <c r="OE32" i="136"/>
  <c r="OE33" i="136"/>
  <c r="OE34" i="136"/>
  <c r="OE35" i="136"/>
  <c r="OE36" i="136"/>
  <c r="OE37" i="136"/>
  <c r="OI8" i="136"/>
  <c r="OI9" i="136"/>
  <c r="OI10" i="136"/>
  <c r="OI11" i="136"/>
  <c r="OI12" i="136"/>
  <c r="OI13" i="136"/>
  <c r="OI14" i="136"/>
  <c r="OI15" i="136"/>
  <c r="OI16" i="136"/>
  <c r="OI17" i="136"/>
  <c r="OI18" i="136"/>
  <c r="OI19" i="136"/>
  <c r="OI20" i="136"/>
  <c r="OI21" i="136"/>
  <c r="OI22" i="136"/>
  <c r="OI23" i="136"/>
  <c r="OI25" i="136"/>
  <c r="OI26" i="136"/>
  <c r="OI27" i="136"/>
  <c r="OI29" i="136"/>
  <c r="OI30" i="136"/>
  <c r="OI32" i="136"/>
  <c r="OI33" i="136"/>
  <c r="OI34" i="136"/>
  <c r="OI35" i="136"/>
  <c r="OI36" i="136"/>
  <c r="OI37" i="136"/>
  <c r="NT31" i="136"/>
  <c r="NS31" i="136"/>
  <c r="NT28" i="136"/>
  <c r="NS28" i="136"/>
  <c r="NT24" i="136"/>
  <c r="NS24" i="136"/>
  <c r="BG8" i="136" l="1"/>
  <c r="BI8" i="136" s="1"/>
  <c r="BG9" i="136"/>
  <c r="BI9" i="136" s="1"/>
  <c r="BG10" i="136"/>
  <c r="BI10" i="136" s="1"/>
  <c r="BG11" i="136"/>
  <c r="BH11" i="136" s="1"/>
  <c r="BG12" i="136"/>
  <c r="BH12" i="136" s="1"/>
  <c r="BG13" i="136"/>
  <c r="BH13" i="136" s="1"/>
  <c r="BG14" i="136"/>
  <c r="BI14" i="136" s="1"/>
  <c r="BG15" i="136"/>
  <c r="BI15" i="136" s="1"/>
  <c r="BG16" i="136"/>
  <c r="BI16" i="136" s="1"/>
  <c r="BG17" i="136"/>
  <c r="BI17" i="136" s="1"/>
  <c r="BG18" i="136"/>
  <c r="BH18" i="136" s="1"/>
  <c r="BG19" i="136"/>
  <c r="BI19" i="136" s="1"/>
  <c r="BG20" i="136"/>
  <c r="BH20" i="136" s="1"/>
  <c r="BG23" i="136"/>
  <c r="BH23" i="136" s="1"/>
  <c r="BG25" i="136"/>
  <c r="BI25" i="136" s="1"/>
  <c r="BG27" i="136"/>
  <c r="BI27" i="136" s="1"/>
  <c r="BG30" i="136"/>
  <c r="BH30" i="136" s="1"/>
  <c r="BG32" i="136"/>
  <c r="BI32" i="136" s="1"/>
  <c r="BG33" i="136"/>
  <c r="BH33" i="136" s="1"/>
  <c r="BG34" i="136"/>
  <c r="BI34" i="136" s="1"/>
  <c r="BG35" i="136"/>
  <c r="BI35" i="136" s="1"/>
  <c r="BG36" i="136"/>
  <c r="BI36" i="136" s="1"/>
  <c r="BG37" i="136"/>
  <c r="BI37" i="136" s="1"/>
  <c r="BG7" i="136"/>
  <c r="BH7" i="136" s="1"/>
  <c r="BF37" i="136"/>
  <c r="BF36" i="136"/>
  <c r="BF35" i="136"/>
  <c r="BF34" i="136"/>
  <c r="BF33" i="136"/>
  <c r="BF32" i="136"/>
  <c r="BF30" i="136"/>
  <c r="BF27" i="136"/>
  <c r="BF25" i="136"/>
  <c r="BF23" i="136"/>
  <c r="BF20" i="136"/>
  <c r="BF19" i="136"/>
  <c r="BF16" i="136"/>
  <c r="BF15" i="136"/>
  <c r="BF14" i="136"/>
  <c r="BF13" i="136"/>
  <c r="BF12" i="136"/>
  <c r="BF10" i="136"/>
  <c r="BF9" i="136"/>
  <c r="BF8" i="136"/>
  <c r="BF7" i="136"/>
  <c r="BH9" i="136" l="1"/>
  <c r="BJ9" i="136" s="1"/>
  <c r="BH8" i="136"/>
  <c r="BJ8" i="136" s="1"/>
  <c r="BI7" i="136"/>
  <c r="BK7" i="136" s="1"/>
  <c r="BI23" i="136"/>
  <c r="BJ23" i="136" s="1"/>
  <c r="BI20" i="136"/>
  <c r="BJ20" i="136" s="1"/>
  <c r="BK15" i="136"/>
  <c r="BK10" i="136"/>
  <c r="BH19" i="136"/>
  <c r="BJ19" i="136" s="1"/>
  <c r="BI11" i="136"/>
  <c r="BJ11" i="136" s="1"/>
  <c r="BH32" i="136"/>
  <c r="BJ32" i="136" s="1"/>
  <c r="BH17" i="136"/>
  <c r="BJ17" i="136" s="1"/>
  <c r="BI33" i="136"/>
  <c r="BH16" i="136"/>
  <c r="BJ16" i="136" s="1"/>
  <c r="BH27" i="136"/>
  <c r="BJ27" i="136" s="1"/>
  <c r="BH15" i="136"/>
  <c r="BJ15" i="136" s="1"/>
  <c r="BI30" i="136"/>
  <c r="BJ30" i="136" s="1"/>
  <c r="BH37" i="136"/>
  <c r="BJ37" i="136" s="1"/>
  <c r="BH25" i="136"/>
  <c r="BJ25" i="136" s="1"/>
  <c r="BH14" i="136"/>
  <c r="BJ14" i="136" s="1"/>
  <c r="BH34" i="136"/>
  <c r="BJ34" i="136" s="1"/>
  <c r="BI18" i="136"/>
  <c r="BJ18" i="136" s="1"/>
  <c r="BH36" i="136"/>
  <c r="BJ36" i="136" s="1"/>
  <c r="BH35" i="136"/>
  <c r="BJ35" i="136" s="1"/>
  <c r="BH10" i="136"/>
  <c r="BJ10" i="136" s="1"/>
  <c r="BI13" i="136"/>
  <c r="BJ13" i="136" s="1"/>
  <c r="BI12" i="136"/>
  <c r="BJ12" i="136" s="1"/>
  <c r="BK8" i="136"/>
  <c r="BK32" i="136"/>
  <c r="BK35" i="136"/>
  <c r="BK9" i="136"/>
  <c r="BK16" i="136"/>
  <c r="BK34" i="136"/>
  <c r="BK19" i="136"/>
  <c r="BK17" i="136"/>
  <c r="BK37" i="136"/>
  <c r="BK27" i="136"/>
  <c r="BK36" i="136"/>
  <c r="BK25" i="136"/>
  <c r="BK14" i="136"/>
  <c r="BK23" i="136" l="1"/>
  <c r="BL23" i="136" s="1"/>
  <c r="BJ7" i="136"/>
  <c r="BL7" i="136" s="1"/>
  <c r="BK30" i="136"/>
  <c r="BL30" i="136" s="1"/>
  <c r="BL9" i="136"/>
  <c r="BK20" i="136"/>
  <c r="BL20" i="136" s="1"/>
  <c r="BL8" i="136"/>
  <c r="BL10" i="136"/>
  <c r="BL37" i="136"/>
  <c r="BL35" i="136"/>
  <c r="BL15" i="136"/>
  <c r="BK11" i="136"/>
  <c r="BL11" i="136" s="1"/>
  <c r="BL25" i="136"/>
  <c r="BL32" i="136"/>
  <c r="BK33" i="136"/>
  <c r="BJ33" i="136"/>
  <c r="BK18" i="136"/>
  <c r="BL18" i="136" s="1"/>
  <c r="BL16" i="136"/>
  <c r="BK13" i="136"/>
  <c r="BL13" i="136" s="1"/>
  <c r="BK12" i="136"/>
  <c r="BL12" i="136" s="1"/>
  <c r="BL17" i="136"/>
  <c r="BL27" i="136"/>
  <c r="BL36" i="136"/>
  <c r="BL14" i="136"/>
  <c r="BL19" i="136"/>
  <c r="BL34" i="136"/>
  <c r="BL33" i="136" l="1"/>
  <c r="OD6" i="136" l="1"/>
  <c r="NT6" i="136"/>
  <c r="LX8" i="136" l="1"/>
  <c r="LX9" i="136"/>
  <c r="LX10" i="136"/>
  <c r="LX11" i="136"/>
  <c r="LX12" i="136"/>
  <c r="LX13" i="136"/>
  <c r="LX16" i="136"/>
  <c r="LX14" i="136"/>
  <c r="LX15" i="136"/>
  <c r="LX17" i="136"/>
  <c r="LX18" i="136"/>
  <c r="LX19" i="136"/>
  <c r="LX20" i="136"/>
  <c r="LX21" i="136"/>
  <c r="LX22" i="136"/>
  <c r="LX23" i="136"/>
  <c r="LX24" i="136"/>
  <c r="LX25" i="136"/>
  <c r="LX26" i="136"/>
  <c r="LX27" i="136"/>
  <c r="LX28" i="136"/>
  <c r="LX29" i="136"/>
  <c r="LX30" i="136"/>
  <c r="LX31" i="136"/>
  <c r="LX32" i="136"/>
  <c r="LX33" i="136"/>
  <c r="LX34" i="136"/>
  <c r="LX35" i="136"/>
  <c r="LX36" i="136"/>
  <c r="LX37" i="136"/>
  <c r="LW9" i="136"/>
  <c r="LW10" i="136"/>
  <c r="LW11" i="136"/>
  <c r="LW12" i="136"/>
  <c r="LW13" i="136"/>
  <c r="LW16" i="136"/>
  <c r="LW14" i="136"/>
  <c r="LW15" i="136"/>
  <c r="LW17" i="136"/>
  <c r="LW18" i="136"/>
  <c r="LW19" i="136"/>
  <c r="LW20" i="136"/>
  <c r="LW21" i="136"/>
  <c r="LW22" i="136"/>
  <c r="LW23" i="136"/>
  <c r="LW24" i="136"/>
  <c r="LW25" i="136"/>
  <c r="LW26" i="136"/>
  <c r="LW27" i="136"/>
  <c r="LW28" i="136"/>
  <c r="LW29" i="136"/>
  <c r="LW30" i="136"/>
  <c r="LW31" i="136"/>
  <c r="LW32" i="136"/>
  <c r="LW33" i="136"/>
  <c r="LW34" i="136"/>
  <c r="LW35" i="136"/>
  <c r="LW36" i="136"/>
  <c r="LW37" i="136"/>
  <c r="AI33" i="136" l="1"/>
  <c r="AJ33" i="136"/>
  <c r="AK33" i="136"/>
  <c r="AU33" i="136" s="1"/>
  <c r="BQ33" i="136" s="1"/>
  <c r="AL33" i="136"/>
  <c r="AM33" i="136"/>
  <c r="AW33" i="136" s="1"/>
  <c r="BS33" i="136" s="1"/>
  <c r="AN33" i="136"/>
  <c r="AO33" i="136"/>
  <c r="AY33" i="136" s="1"/>
  <c r="AP33" i="136"/>
  <c r="AQ33" i="136"/>
  <c r="BA33" i="136" s="1"/>
  <c r="BU33" i="136" s="1"/>
  <c r="AR33" i="136"/>
  <c r="OQ9" i="136"/>
  <c r="OR9" i="136"/>
  <c r="OQ10" i="136"/>
  <c r="OR10" i="136"/>
  <c r="OQ11" i="136"/>
  <c r="OR11" i="136"/>
  <c r="OQ12" i="136"/>
  <c r="OR12" i="136"/>
  <c r="OQ13" i="136"/>
  <c r="OR13" i="136"/>
  <c r="OQ16" i="136"/>
  <c r="OR16" i="136"/>
  <c r="OQ14" i="136"/>
  <c r="OR14" i="136"/>
  <c r="OQ15" i="136"/>
  <c r="OR15" i="136"/>
  <c r="OQ17" i="136"/>
  <c r="OR17" i="136"/>
  <c r="OQ18" i="136"/>
  <c r="OR18" i="136"/>
  <c r="OQ19" i="136"/>
  <c r="OR19" i="136"/>
  <c r="OQ20" i="136"/>
  <c r="OR20" i="136"/>
  <c r="OQ21" i="136"/>
  <c r="OR21" i="136"/>
  <c r="OQ22" i="136"/>
  <c r="OR22" i="136"/>
  <c r="OQ23" i="136"/>
  <c r="OR23" i="136"/>
  <c r="OQ25" i="136"/>
  <c r="OR25" i="136"/>
  <c r="OQ26" i="136"/>
  <c r="OR26" i="136"/>
  <c r="OQ27" i="136"/>
  <c r="OR27" i="136"/>
  <c r="OQ29" i="136"/>
  <c r="OR29" i="136"/>
  <c r="OQ30" i="136"/>
  <c r="OR30" i="136"/>
  <c r="OQ32" i="136"/>
  <c r="OR32" i="136"/>
  <c r="OQ33" i="136"/>
  <c r="OR33" i="136"/>
  <c r="OQ34" i="136"/>
  <c r="OR34" i="136"/>
  <c r="OQ35" i="136"/>
  <c r="OR35" i="136"/>
  <c r="OQ36" i="136"/>
  <c r="OR36" i="136"/>
  <c r="OQ37" i="136"/>
  <c r="OR37" i="136"/>
  <c r="AI9" i="136"/>
  <c r="AJ9" i="136"/>
  <c r="AK9" i="136"/>
  <c r="AL9" i="136"/>
  <c r="AM9" i="136"/>
  <c r="AW9" i="136" s="1"/>
  <c r="AN9" i="136"/>
  <c r="AO9" i="136"/>
  <c r="AY9" i="136" s="1"/>
  <c r="AP9" i="136"/>
  <c r="AQ9" i="136"/>
  <c r="BA9" i="136" s="1"/>
  <c r="AR9" i="136"/>
  <c r="AI10" i="136"/>
  <c r="AJ10" i="136"/>
  <c r="AK10" i="136"/>
  <c r="AU10" i="136" s="1"/>
  <c r="BQ10" i="136" s="1"/>
  <c r="AL10" i="136"/>
  <c r="AM10" i="136"/>
  <c r="AN10" i="136"/>
  <c r="AO10" i="136"/>
  <c r="AY10" i="136" s="1"/>
  <c r="AP10" i="136"/>
  <c r="AQ10" i="136"/>
  <c r="AR10" i="136"/>
  <c r="AI11" i="136"/>
  <c r="AJ11" i="136"/>
  <c r="AK11" i="136"/>
  <c r="AU11" i="136" s="1"/>
  <c r="BQ11" i="136" s="1"/>
  <c r="AL11" i="136"/>
  <c r="AM11" i="136"/>
  <c r="AW11" i="136" s="1"/>
  <c r="BS11" i="136" s="1"/>
  <c r="AN11" i="136"/>
  <c r="AO11" i="136"/>
  <c r="AP11" i="136"/>
  <c r="AQ11" i="136"/>
  <c r="BA11" i="136" s="1"/>
  <c r="BU11" i="136" s="1"/>
  <c r="AR11" i="136"/>
  <c r="AI12" i="136"/>
  <c r="AJ12" i="136"/>
  <c r="AK12" i="136"/>
  <c r="AL12" i="136"/>
  <c r="AM12" i="136"/>
  <c r="AW12" i="136" s="1"/>
  <c r="AN12" i="136"/>
  <c r="AO12" i="136"/>
  <c r="AP12" i="136"/>
  <c r="AQ12" i="136"/>
  <c r="BA12" i="136" s="1"/>
  <c r="AR12" i="136"/>
  <c r="AI13" i="136"/>
  <c r="AJ13" i="136"/>
  <c r="AK13" i="136"/>
  <c r="AU13" i="136" s="1"/>
  <c r="BQ13" i="136" s="1"/>
  <c r="AL13" i="136"/>
  <c r="AM13" i="136"/>
  <c r="AW13" i="136" s="1"/>
  <c r="BS13" i="136" s="1"/>
  <c r="AN13" i="136"/>
  <c r="AO13" i="136"/>
  <c r="AY13" i="136" s="1"/>
  <c r="AP13" i="136"/>
  <c r="AQ13" i="136"/>
  <c r="BA13" i="136" s="1"/>
  <c r="BU13" i="136" s="1"/>
  <c r="AR13" i="136"/>
  <c r="AY11" i="136"/>
  <c r="AI8" i="136"/>
  <c r="AJ8" i="136"/>
  <c r="AK8" i="136"/>
  <c r="AL8" i="136"/>
  <c r="AM8" i="136"/>
  <c r="AN8" i="136"/>
  <c r="AO8" i="136"/>
  <c r="AP8" i="136"/>
  <c r="AQ8" i="136"/>
  <c r="AR8" i="136"/>
  <c r="AI16" i="136"/>
  <c r="AJ16" i="136"/>
  <c r="AK16" i="136"/>
  <c r="AU16" i="136" s="1"/>
  <c r="BQ16" i="136" s="1"/>
  <c r="AL16" i="136"/>
  <c r="AM16" i="136"/>
  <c r="AW16" i="136" s="1"/>
  <c r="BS16" i="136" s="1"/>
  <c r="AN16" i="136"/>
  <c r="AO16" i="136"/>
  <c r="AY16" i="136" s="1"/>
  <c r="AP16" i="136"/>
  <c r="AQ16" i="136"/>
  <c r="BA16" i="136" s="1"/>
  <c r="BU16" i="136" s="1"/>
  <c r="AR16" i="136"/>
  <c r="AI14" i="136"/>
  <c r="AJ14" i="136"/>
  <c r="AK14" i="136"/>
  <c r="AL14" i="136"/>
  <c r="AM14" i="136"/>
  <c r="AN14" i="136"/>
  <c r="AO14" i="136"/>
  <c r="AP14" i="136"/>
  <c r="AQ14" i="136"/>
  <c r="BA14" i="136" s="1"/>
  <c r="AR14" i="136"/>
  <c r="AI15" i="136"/>
  <c r="AJ15" i="136"/>
  <c r="AK15" i="136"/>
  <c r="AU15" i="136" s="1"/>
  <c r="BQ15" i="136" s="1"/>
  <c r="AL15" i="136"/>
  <c r="AM15" i="136"/>
  <c r="AW15" i="136" s="1"/>
  <c r="BS15" i="136" s="1"/>
  <c r="AN15" i="136"/>
  <c r="AO15" i="136"/>
  <c r="AY15" i="136" s="1"/>
  <c r="AP15" i="136"/>
  <c r="AQ15" i="136"/>
  <c r="BA15" i="136" s="1"/>
  <c r="BU15" i="136" s="1"/>
  <c r="AR15" i="136"/>
  <c r="AI17" i="136"/>
  <c r="AJ17" i="136"/>
  <c r="AK17" i="136"/>
  <c r="AL17" i="136"/>
  <c r="AM17" i="136"/>
  <c r="AN17" i="136"/>
  <c r="AO17" i="136"/>
  <c r="AP17" i="136"/>
  <c r="AQ17" i="136"/>
  <c r="AR17" i="136"/>
  <c r="AI18" i="136"/>
  <c r="AJ18" i="136"/>
  <c r="AK18" i="136"/>
  <c r="AU18" i="136" s="1"/>
  <c r="BQ18" i="136" s="1"/>
  <c r="AL18" i="136"/>
  <c r="AM18" i="136"/>
  <c r="AW18" i="136" s="1"/>
  <c r="BS18" i="136" s="1"/>
  <c r="AN18" i="136"/>
  <c r="AO18" i="136"/>
  <c r="AY18" i="136" s="1"/>
  <c r="AP18" i="136"/>
  <c r="AQ18" i="136"/>
  <c r="BA18" i="136" s="1"/>
  <c r="BU18" i="136" s="1"/>
  <c r="AR18" i="136"/>
  <c r="AI19" i="136"/>
  <c r="AJ19" i="136"/>
  <c r="AK19" i="136"/>
  <c r="AL19" i="136"/>
  <c r="AM19" i="136"/>
  <c r="AN19" i="136"/>
  <c r="AO19" i="136"/>
  <c r="AP19" i="136"/>
  <c r="AQ19" i="136"/>
  <c r="AR19" i="136"/>
  <c r="AI20" i="136"/>
  <c r="AJ20" i="136"/>
  <c r="AK20" i="136"/>
  <c r="AU20" i="136" s="1"/>
  <c r="BQ20" i="136" s="1"/>
  <c r="AL20" i="136"/>
  <c r="AM20" i="136"/>
  <c r="AW20" i="136" s="1"/>
  <c r="BS20" i="136" s="1"/>
  <c r="AN20" i="136"/>
  <c r="AO20" i="136"/>
  <c r="AY20" i="136" s="1"/>
  <c r="AP20" i="136"/>
  <c r="AQ20" i="136"/>
  <c r="BA20" i="136" s="1"/>
  <c r="BU20" i="136" s="1"/>
  <c r="AR20" i="136"/>
  <c r="AI21" i="136"/>
  <c r="AJ21" i="136"/>
  <c r="AK21" i="136"/>
  <c r="AL21" i="136"/>
  <c r="AM21" i="136"/>
  <c r="AN21" i="136"/>
  <c r="AO21" i="136"/>
  <c r="AP21" i="136"/>
  <c r="AQ21" i="136"/>
  <c r="AR21" i="136"/>
  <c r="AI22" i="136"/>
  <c r="AJ22" i="136"/>
  <c r="AK22" i="136"/>
  <c r="AU22" i="136" s="1"/>
  <c r="BQ22" i="136" s="1"/>
  <c r="AL22" i="136"/>
  <c r="AM22" i="136"/>
  <c r="AW22" i="136" s="1"/>
  <c r="BS22" i="136" s="1"/>
  <c r="AN22" i="136"/>
  <c r="AO22" i="136"/>
  <c r="AY22" i="136" s="1"/>
  <c r="AP22" i="136"/>
  <c r="AQ22" i="136"/>
  <c r="BA22" i="136" s="1"/>
  <c r="BU22" i="136" s="1"/>
  <c r="AR22" i="136"/>
  <c r="AI23" i="136"/>
  <c r="AJ23" i="136"/>
  <c r="AK23" i="136"/>
  <c r="AU23" i="136" s="1"/>
  <c r="BQ23" i="136" s="1"/>
  <c r="AL23" i="136"/>
  <c r="AM23" i="136"/>
  <c r="AW23" i="136" s="1"/>
  <c r="BS23" i="136" s="1"/>
  <c r="AN23" i="136"/>
  <c r="AO23" i="136"/>
  <c r="AY23" i="136" s="1"/>
  <c r="AP23" i="136"/>
  <c r="AQ23" i="136"/>
  <c r="BA23" i="136" s="1"/>
  <c r="BU23" i="136" s="1"/>
  <c r="AR23" i="136"/>
  <c r="AI25" i="136"/>
  <c r="AJ25" i="136"/>
  <c r="AK25" i="136"/>
  <c r="AU25" i="136" s="1"/>
  <c r="BQ25" i="136" s="1"/>
  <c r="AL25" i="136"/>
  <c r="AM25" i="136"/>
  <c r="AW25" i="136" s="1"/>
  <c r="BS25" i="136" s="1"/>
  <c r="AN25" i="136"/>
  <c r="AO25" i="136"/>
  <c r="AY25" i="136" s="1"/>
  <c r="AP25" i="136"/>
  <c r="AQ25" i="136"/>
  <c r="BA25" i="136" s="1"/>
  <c r="BU25" i="136" s="1"/>
  <c r="AR25" i="136"/>
  <c r="AI26" i="136"/>
  <c r="AJ26" i="136"/>
  <c r="AK26" i="136"/>
  <c r="AL26" i="136"/>
  <c r="AM26" i="136"/>
  <c r="AN26" i="136"/>
  <c r="AO26" i="136"/>
  <c r="AP26" i="136"/>
  <c r="AQ26" i="136"/>
  <c r="AR26" i="136"/>
  <c r="AI27" i="136"/>
  <c r="AJ27" i="136"/>
  <c r="AK27" i="136"/>
  <c r="AU27" i="136" s="1"/>
  <c r="BQ27" i="136" s="1"/>
  <c r="AL27" i="136"/>
  <c r="AM27" i="136"/>
  <c r="AW27" i="136" s="1"/>
  <c r="BS27" i="136" s="1"/>
  <c r="AN27" i="136"/>
  <c r="AO27" i="136"/>
  <c r="AY27" i="136" s="1"/>
  <c r="AP27" i="136"/>
  <c r="AQ27" i="136"/>
  <c r="BA27" i="136" s="1"/>
  <c r="BU27" i="136" s="1"/>
  <c r="AR27" i="136"/>
  <c r="AI29" i="136"/>
  <c r="AJ29" i="136"/>
  <c r="AK29" i="136"/>
  <c r="AU29" i="136" s="1"/>
  <c r="AL29" i="136"/>
  <c r="AM29" i="136"/>
  <c r="AW29" i="136" s="1"/>
  <c r="AN29" i="136"/>
  <c r="AO29" i="136"/>
  <c r="AY29" i="136" s="1"/>
  <c r="AP29" i="136"/>
  <c r="AQ29" i="136"/>
  <c r="BA29" i="136" s="1"/>
  <c r="AR29" i="136"/>
  <c r="AI30" i="136"/>
  <c r="AJ30" i="136"/>
  <c r="AK30" i="136"/>
  <c r="AU30" i="136" s="1"/>
  <c r="BQ30" i="136" s="1"/>
  <c r="AL30" i="136"/>
  <c r="AM30" i="136"/>
  <c r="AW30" i="136" s="1"/>
  <c r="BS30" i="136" s="1"/>
  <c r="AN30" i="136"/>
  <c r="AO30" i="136"/>
  <c r="AY30" i="136" s="1"/>
  <c r="AP30" i="136"/>
  <c r="AQ30" i="136"/>
  <c r="BA30" i="136" s="1"/>
  <c r="BU30" i="136" s="1"/>
  <c r="AR30" i="136"/>
  <c r="AI32" i="136"/>
  <c r="AJ32" i="136"/>
  <c r="AK32" i="136"/>
  <c r="AL32" i="136"/>
  <c r="AM32" i="136"/>
  <c r="AN32" i="136"/>
  <c r="AO32" i="136"/>
  <c r="AP32" i="136"/>
  <c r="AQ32" i="136"/>
  <c r="AR32" i="136"/>
  <c r="AI34" i="136"/>
  <c r="AJ34" i="136"/>
  <c r="AK34" i="136"/>
  <c r="AL34" i="136"/>
  <c r="AM34" i="136"/>
  <c r="AN34" i="136"/>
  <c r="AO34" i="136"/>
  <c r="AP34" i="136"/>
  <c r="AQ34" i="136"/>
  <c r="AR34" i="136"/>
  <c r="AI35" i="136"/>
  <c r="AJ35" i="136"/>
  <c r="AK35" i="136"/>
  <c r="AU35" i="136" s="1"/>
  <c r="BQ35" i="136" s="1"/>
  <c r="AL35" i="136"/>
  <c r="AM35" i="136"/>
  <c r="AW35" i="136" s="1"/>
  <c r="BS35" i="136" s="1"/>
  <c r="AN35" i="136"/>
  <c r="AO35" i="136"/>
  <c r="AY35" i="136" s="1"/>
  <c r="AP35" i="136"/>
  <c r="AQ35" i="136"/>
  <c r="BA35" i="136" s="1"/>
  <c r="BU35" i="136" s="1"/>
  <c r="AR35" i="136"/>
  <c r="AI36" i="136"/>
  <c r="AJ36" i="136"/>
  <c r="AK36" i="136"/>
  <c r="AL36" i="136"/>
  <c r="AM36" i="136"/>
  <c r="AW36" i="136" s="1"/>
  <c r="AN36" i="136"/>
  <c r="AO36" i="136"/>
  <c r="AP36" i="136"/>
  <c r="AQ36" i="136"/>
  <c r="AR36" i="136"/>
  <c r="AI37" i="136"/>
  <c r="AJ37" i="136"/>
  <c r="AK37" i="136"/>
  <c r="AU37" i="136" s="1"/>
  <c r="BQ37" i="136" s="1"/>
  <c r="AL37" i="136"/>
  <c r="AM37" i="136"/>
  <c r="AN37" i="136"/>
  <c r="AO37" i="136"/>
  <c r="AY37" i="136" s="1"/>
  <c r="AP37" i="136"/>
  <c r="AQ37" i="136"/>
  <c r="BA37" i="136" s="1"/>
  <c r="BU37" i="136" s="1"/>
  <c r="AR37" i="136"/>
  <c r="OQ7" i="136"/>
  <c r="OR7" i="136"/>
  <c r="OQ8" i="136"/>
  <c r="OR8" i="136"/>
  <c r="AZ33" i="136" l="1"/>
  <c r="AZ11" i="136"/>
  <c r="BB29" i="136"/>
  <c r="BV29" i="136" s="1"/>
  <c r="AZ20" i="136"/>
  <c r="AV18" i="136"/>
  <c r="BR18" i="136" s="1"/>
  <c r="BP18" i="136" s="1"/>
  <c r="BB14" i="136"/>
  <c r="BV14" i="136" s="1"/>
  <c r="AX33" i="136"/>
  <c r="BT33" i="136" s="1"/>
  <c r="AZ16" i="136"/>
  <c r="AV33" i="136"/>
  <c r="BR33" i="136" s="1"/>
  <c r="AZ27" i="136"/>
  <c r="AV25" i="136"/>
  <c r="BR25" i="136" s="1"/>
  <c r="BP25" i="136" s="1"/>
  <c r="BZ23" i="136"/>
  <c r="BX23" i="136" s="1"/>
  <c r="ES23" i="136" s="1"/>
  <c r="BZ22" i="136"/>
  <c r="BX22" i="136" s="1"/>
  <c r="ES22" i="136" s="1"/>
  <c r="AZ21" i="136"/>
  <c r="AZ37" i="136"/>
  <c r="AV35" i="136"/>
  <c r="BR35" i="136" s="1"/>
  <c r="BP35" i="136" s="1"/>
  <c r="BB27" i="136"/>
  <c r="BV27" i="136" s="1"/>
  <c r="AX25" i="136"/>
  <c r="BT25" i="136" s="1"/>
  <c r="AV23" i="136"/>
  <c r="BR23" i="136" s="1"/>
  <c r="BP23" i="136" s="1"/>
  <c r="BB20" i="136"/>
  <c r="BV20" i="136" s="1"/>
  <c r="AX18" i="136"/>
  <c r="BT18" i="136" s="1"/>
  <c r="BB16" i="136"/>
  <c r="BV16" i="136" s="1"/>
  <c r="AV37" i="136"/>
  <c r="BR37" i="136" s="1"/>
  <c r="BP37" i="136" s="1"/>
  <c r="BB10" i="136"/>
  <c r="BV10" i="136" s="1"/>
  <c r="BB37" i="136"/>
  <c r="BV37" i="136" s="1"/>
  <c r="AX35" i="136"/>
  <c r="BT35" i="136" s="1"/>
  <c r="AV30" i="136"/>
  <c r="BR30" i="136" s="1"/>
  <c r="BP30" i="136" s="1"/>
  <c r="AZ25" i="136"/>
  <c r="AX23" i="136"/>
  <c r="BT23" i="136" s="1"/>
  <c r="AV22" i="136"/>
  <c r="BR22" i="136" s="1"/>
  <c r="BP22" i="136" s="1"/>
  <c r="AZ18" i="136"/>
  <c r="AV15" i="136"/>
  <c r="BR15" i="136" s="1"/>
  <c r="BP15" i="136" s="1"/>
  <c r="AV27" i="136"/>
  <c r="BR27" i="136" s="1"/>
  <c r="BP27" i="136" s="1"/>
  <c r="AV20" i="136"/>
  <c r="BR20" i="136" s="1"/>
  <c r="BP20" i="136" s="1"/>
  <c r="AV10" i="136"/>
  <c r="BR10" i="136" s="1"/>
  <c r="BP10" i="136" s="1"/>
  <c r="BA10" i="136"/>
  <c r="BU10" i="136" s="1"/>
  <c r="AZ36" i="136"/>
  <c r="BU14" i="136"/>
  <c r="BO22" i="136"/>
  <c r="EW22" i="136" s="1"/>
  <c r="AV17" i="136"/>
  <c r="AZ23" i="136"/>
  <c r="AY19" i="136"/>
  <c r="AY34" i="136"/>
  <c r="AW21" i="136"/>
  <c r="BO20" i="136"/>
  <c r="OK20" i="136" s="1"/>
  <c r="BA17" i="136"/>
  <c r="AW14" i="136"/>
  <c r="BO16" i="136"/>
  <c r="EW16" i="136" s="1"/>
  <c r="BS12" i="136"/>
  <c r="AW34" i="136"/>
  <c r="BS36" i="136"/>
  <c r="AW32" i="136"/>
  <c r="BO15" i="136"/>
  <c r="EW15" i="136" s="1"/>
  <c r="BO30" i="136"/>
  <c r="BA32" i="136"/>
  <c r="BS29" i="136"/>
  <c r="BB36" i="136"/>
  <c r="AZ35" i="136"/>
  <c r="AX34" i="136"/>
  <c r="AX30" i="136"/>
  <c r="BT30" i="136" s="1"/>
  <c r="AV29" i="136"/>
  <c r="BB25" i="136"/>
  <c r="BV25" i="136" s="1"/>
  <c r="AX22" i="136"/>
  <c r="BT22" i="136" s="1"/>
  <c r="AV21" i="136"/>
  <c r="AX15" i="136"/>
  <c r="BT15" i="136" s="1"/>
  <c r="AV14" i="136"/>
  <c r="BA26" i="136"/>
  <c r="AU9" i="136"/>
  <c r="BU9" i="136"/>
  <c r="AU17" i="136"/>
  <c r="BZ27" i="136"/>
  <c r="BX27" i="136" s="1"/>
  <c r="OO27" i="136" s="1"/>
  <c r="BU12" i="136"/>
  <c r="BB26" i="136"/>
  <c r="BZ25" i="136"/>
  <c r="BX25" i="136" s="1"/>
  <c r="OO25" i="136" s="1"/>
  <c r="AU32" i="136"/>
  <c r="AY26" i="136"/>
  <c r="AX26" i="136"/>
  <c r="BO35" i="136"/>
  <c r="EW35" i="136" s="1"/>
  <c r="BU29" i="136"/>
  <c r="AW26" i="136"/>
  <c r="BA21" i="136"/>
  <c r="AW19" i="136"/>
  <c r="BO18" i="136"/>
  <c r="EW18" i="136" s="1"/>
  <c r="BB11" i="136"/>
  <c r="BV11" i="136" s="1"/>
  <c r="BQ29" i="136"/>
  <c r="AU21" i="136"/>
  <c r="AX32" i="136"/>
  <c r="AX17" i="136"/>
  <c r="AY36" i="136"/>
  <c r="BB30" i="136"/>
  <c r="BV30" i="136" s="1"/>
  <c r="AZ29" i="136"/>
  <c r="AX27" i="136"/>
  <c r="BT27" i="136" s="1"/>
  <c r="AV26" i="136"/>
  <c r="BB22" i="136"/>
  <c r="BV22" i="136" s="1"/>
  <c r="AX20" i="136"/>
  <c r="BT20" i="136" s="1"/>
  <c r="AV19" i="136"/>
  <c r="BB15" i="136"/>
  <c r="BV15" i="136" s="1"/>
  <c r="AZ14" i="136"/>
  <c r="AX16" i="136"/>
  <c r="BT16" i="136" s="1"/>
  <c r="AX13" i="136"/>
  <c r="BT13" i="136" s="1"/>
  <c r="AV12" i="136"/>
  <c r="BA36" i="136"/>
  <c r="AY32" i="136"/>
  <c r="AU14" i="136"/>
  <c r="BA19" i="136"/>
  <c r="AX36" i="136"/>
  <c r="AV34" i="136"/>
  <c r="AY12" i="136"/>
  <c r="AU34" i="136"/>
  <c r="AX37" i="136"/>
  <c r="BT37" i="136" s="1"/>
  <c r="BA34" i="136"/>
  <c r="AU26" i="136"/>
  <c r="AY21" i="136"/>
  <c r="AU19" i="136"/>
  <c r="AY14" i="136"/>
  <c r="AU12" i="136"/>
  <c r="AY17" i="136"/>
  <c r="BS9" i="136"/>
  <c r="BB12" i="136"/>
  <c r="AV32" i="136"/>
  <c r="AZ26" i="136"/>
  <c r="AZ19" i="136"/>
  <c r="AX19" i="136"/>
  <c r="BB35" i="136"/>
  <c r="BV35" i="136" s="1"/>
  <c r="AZ34" i="136"/>
  <c r="AZ30" i="136"/>
  <c r="AX29" i="136"/>
  <c r="BB17" i="136"/>
  <c r="AZ15" i="136"/>
  <c r="AX14" i="136"/>
  <c r="AV16" i="136"/>
  <c r="BR16" i="136" s="1"/>
  <c r="BP16" i="136" s="1"/>
  <c r="AW17" i="136"/>
  <c r="AZ9" i="136"/>
  <c r="AX12" i="136"/>
  <c r="AV13" i="136"/>
  <c r="BR13" i="136" s="1"/>
  <c r="BP13" i="136" s="1"/>
  <c r="BZ11" i="136"/>
  <c r="BX11" i="136" s="1"/>
  <c r="BZ18" i="136"/>
  <c r="BX18" i="136" s="1"/>
  <c r="OO18" i="136" s="1"/>
  <c r="BZ15" i="136"/>
  <c r="BX15" i="136" s="1"/>
  <c r="OO15" i="136" s="1"/>
  <c r="BB34" i="136"/>
  <c r="AZ32" i="136"/>
  <c r="BO25" i="136"/>
  <c r="OK25" i="136" s="1"/>
  <c r="BO23" i="136"/>
  <c r="BB19" i="136"/>
  <c r="BZ35" i="136"/>
  <c r="BX35" i="136" s="1"/>
  <c r="OO35" i="136" s="1"/>
  <c r="BZ30" i="136"/>
  <c r="BX30" i="136" s="1"/>
  <c r="AW37" i="136"/>
  <c r="BS37" i="136" s="1"/>
  <c r="BZ37" i="136" s="1"/>
  <c r="BX37" i="136" s="1"/>
  <c r="BB18" i="136"/>
  <c r="BV18" i="136" s="1"/>
  <c r="BB23" i="136"/>
  <c r="BV23" i="136" s="1"/>
  <c r="AZ22" i="136"/>
  <c r="AX21" i="136"/>
  <c r="BZ20" i="136"/>
  <c r="BX20" i="136" s="1"/>
  <c r="ES20" i="136" s="1"/>
  <c r="BZ16" i="136"/>
  <c r="BX16" i="136" s="1"/>
  <c r="AZ17" i="136"/>
  <c r="BB21" i="136"/>
  <c r="AZ10" i="136"/>
  <c r="AX9" i="136"/>
  <c r="AU36" i="136"/>
  <c r="AV36" i="136"/>
  <c r="BO37" i="136"/>
  <c r="EW37" i="136" s="1"/>
  <c r="BB32" i="136"/>
  <c r="BO11" i="136"/>
  <c r="CN11" i="136" s="1"/>
  <c r="BO27" i="136"/>
  <c r="OK27" i="136" s="1"/>
  <c r="AX10" i="136"/>
  <c r="BT10" i="136" s="1"/>
  <c r="AV9" i="136"/>
  <c r="BB13" i="136"/>
  <c r="BV13" i="136" s="1"/>
  <c r="AZ12" i="136"/>
  <c r="AX11" i="136"/>
  <c r="BT11" i="136" s="1"/>
  <c r="AZ13" i="136"/>
  <c r="AV11" i="136"/>
  <c r="BR11" i="136" s="1"/>
  <c r="BP11" i="136" s="1"/>
  <c r="BB9" i="136"/>
  <c r="AW10" i="136"/>
  <c r="BS10" i="136" s="1"/>
  <c r="BO13" i="136"/>
  <c r="BO10" i="136"/>
  <c r="EW10" i="136" s="1"/>
  <c r="BZ13" i="136"/>
  <c r="BX13" i="136" s="1"/>
  <c r="BB33" i="136"/>
  <c r="BV33" i="136" s="1"/>
  <c r="BZ33" i="136"/>
  <c r="BX33" i="136" s="1"/>
  <c r="ES33" i="136" s="1"/>
  <c r="BP33" i="136"/>
  <c r="BO33" i="136"/>
  <c r="OR6" i="136"/>
  <c r="OH6" i="136"/>
  <c r="NX6" i="136"/>
  <c r="NZ6" i="136"/>
  <c r="NV6" i="136"/>
  <c r="OP6" i="136"/>
  <c r="ON6" i="136"/>
  <c r="OL6" i="136"/>
  <c r="OJ6" i="136"/>
  <c r="OF6" i="136"/>
  <c r="OB6" i="136"/>
  <c r="NP6" i="136"/>
  <c r="NR6" i="136"/>
  <c r="NN6" i="136"/>
  <c r="NL6" i="136"/>
  <c r="X13" i="137"/>
  <c r="AC11" i="137" s="1"/>
  <c r="N13" i="137"/>
  <c r="D13" i="137"/>
  <c r="X12" i="137"/>
  <c r="AB11" i="137" s="1"/>
  <c r="N12" i="137"/>
  <c r="D12" i="137"/>
  <c r="Z11" i="137"/>
  <c r="X11" i="137"/>
  <c r="P11" i="137"/>
  <c r="N11" i="137"/>
  <c r="F11" i="137"/>
  <c r="D11" i="137"/>
  <c r="G11" i="137" s="1"/>
  <c r="G9" i="137"/>
  <c r="AC7" i="137"/>
  <c r="AB7" i="137"/>
  <c r="AA7" i="137"/>
  <c r="AA9" i="137" s="1"/>
  <c r="S7" i="137"/>
  <c r="R7" i="137"/>
  <c r="Q7" i="137"/>
  <c r="I7" i="137"/>
  <c r="H7" i="137"/>
  <c r="G7" i="137"/>
  <c r="CR11" i="136" l="1"/>
  <c r="OK16" i="136"/>
  <c r="OL25" i="136"/>
  <c r="CA18" i="136"/>
  <c r="CA20" i="136"/>
  <c r="BY20" i="136" s="1"/>
  <c r="CC20" i="136" s="1"/>
  <c r="CA33" i="136"/>
  <c r="BY33" i="136" s="1"/>
  <c r="ET33" i="136" s="1"/>
  <c r="OK35" i="136"/>
  <c r="OL35" i="136" s="1"/>
  <c r="CB23" i="136"/>
  <c r="EF23" i="136" s="1"/>
  <c r="CA16" i="136"/>
  <c r="BY16" i="136" s="1"/>
  <c r="CC16" i="136" s="1"/>
  <c r="OO23" i="136"/>
  <c r="BZ10" i="136"/>
  <c r="BX10" i="136" s="1"/>
  <c r="EY10" i="136" s="1"/>
  <c r="CA25" i="136"/>
  <c r="BY25" i="136" s="1"/>
  <c r="CC25" i="136" s="1"/>
  <c r="CA23" i="136"/>
  <c r="BY23" i="136" s="1"/>
  <c r="CC23" i="136" s="1"/>
  <c r="CA22" i="136"/>
  <c r="BY22" i="136" s="1"/>
  <c r="CC22" i="136" s="1"/>
  <c r="CA11" i="136"/>
  <c r="BY11" i="136" s="1"/>
  <c r="CC11" i="136" s="1"/>
  <c r="CB22" i="136"/>
  <c r="EF22" i="136" s="1"/>
  <c r="EX16" i="136"/>
  <c r="OL16" i="136"/>
  <c r="EX15" i="136"/>
  <c r="EY22" i="136"/>
  <c r="EX10" i="136"/>
  <c r="CA10" i="136"/>
  <c r="BY10" i="136" s="1"/>
  <c r="CC10" i="136" s="1"/>
  <c r="OL20" i="136"/>
  <c r="OO22" i="136"/>
  <c r="EX22" i="136"/>
  <c r="EW20" i="136"/>
  <c r="EX20" i="136" s="1"/>
  <c r="OM22" i="136"/>
  <c r="CA27" i="136"/>
  <c r="BY27" i="136" s="1"/>
  <c r="OP27" i="136" s="1"/>
  <c r="EY16" i="136"/>
  <c r="CA37" i="136"/>
  <c r="BY37" i="136" s="1"/>
  <c r="CC37" i="136" s="1"/>
  <c r="OL27" i="136"/>
  <c r="CA35" i="136"/>
  <c r="BY35" i="136" s="1"/>
  <c r="CC35" i="136" s="1"/>
  <c r="EW23" i="136"/>
  <c r="EX23" i="136" s="1"/>
  <c r="EX18" i="136"/>
  <c r="OK18" i="136"/>
  <c r="OL18" i="136" s="1"/>
  <c r="EX37" i="136"/>
  <c r="CA13" i="136"/>
  <c r="BY13" i="136" s="1"/>
  <c r="CC13" i="136" s="1"/>
  <c r="BZ12" i="136"/>
  <c r="BX12" i="136" s="1"/>
  <c r="EX35" i="136"/>
  <c r="OK37" i="136"/>
  <c r="OL37" i="136" s="1"/>
  <c r="OK15" i="136"/>
  <c r="OL15" i="136" s="1"/>
  <c r="OK22" i="136"/>
  <c r="OL22" i="136" s="1"/>
  <c r="ES18" i="136"/>
  <c r="ES27" i="136"/>
  <c r="EU33" i="136"/>
  <c r="ES35" i="136"/>
  <c r="OM11" i="136"/>
  <c r="EY11" i="136"/>
  <c r="ES11" i="136"/>
  <c r="CB27" i="136"/>
  <c r="EU27" i="136"/>
  <c r="OA27" i="136"/>
  <c r="EU20" i="136"/>
  <c r="OA20" i="136"/>
  <c r="EU23" i="136"/>
  <c r="OA23" i="136"/>
  <c r="CB30" i="136"/>
  <c r="EY30" i="136"/>
  <c r="OM30" i="136"/>
  <c r="BT26" i="136"/>
  <c r="BR14" i="136"/>
  <c r="BT19" i="136"/>
  <c r="BR36" i="136"/>
  <c r="BQ21" i="136"/>
  <c r="BQ36" i="136"/>
  <c r="BU36" i="136"/>
  <c r="BO29" i="136"/>
  <c r="EW29" i="136" s="1"/>
  <c r="CB13" i="136"/>
  <c r="EY13" i="136"/>
  <c r="OM13" i="136"/>
  <c r="BV34" i="136"/>
  <c r="BV17" i="136"/>
  <c r="BV12" i="136"/>
  <c r="BQ14" i="136"/>
  <c r="BT32" i="136"/>
  <c r="EW25" i="136"/>
  <c r="EX25" i="136" s="1"/>
  <c r="EY27" i="136"/>
  <c r="OM27" i="136"/>
  <c r="CA15" i="136"/>
  <c r="BY15" i="136" s="1"/>
  <c r="CC15" i="136" s="1"/>
  <c r="BV36" i="136"/>
  <c r="OO20" i="136"/>
  <c r="OK23" i="136"/>
  <c r="OL23" i="136" s="1"/>
  <c r="BQ34" i="136"/>
  <c r="BS26" i="136"/>
  <c r="BQ32" i="136"/>
  <c r="BT29" i="136"/>
  <c r="EU18" i="136"/>
  <c r="OA18" i="136"/>
  <c r="EU35" i="136"/>
  <c r="OA35" i="136"/>
  <c r="BR17" i="136"/>
  <c r="EU13" i="136"/>
  <c r="OA13" i="136"/>
  <c r="OK11" i="136"/>
  <c r="OL11" i="136" s="1"/>
  <c r="CB11" i="136"/>
  <c r="EU11" i="136"/>
  <c r="BT9" i="136"/>
  <c r="BS17" i="136"/>
  <c r="BQ26" i="136"/>
  <c r="BR34" i="136"/>
  <c r="EW11" i="136"/>
  <c r="EX11" i="136" s="1"/>
  <c r="BS19" i="136"/>
  <c r="OK13" i="136"/>
  <c r="OL13" i="136" s="1"/>
  <c r="BR29" i="136"/>
  <c r="BS32" i="136"/>
  <c r="EU16" i="136"/>
  <c r="BS21" i="136"/>
  <c r="EW27" i="136"/>
  <c r="EX27" i="136" s="1"/>
  <c r="CB15" i="136"/>
  <c r="EY15" i="136"/>
  <c r="OM15" i="136"/>
  <c r="BR21" i="136"/>
  <c r="EY25" i="136"/>
  <c r="OM25" i="136"/>
  <c r="ES16" i="136"/>
  <c r="BU32" i="136"/>
  <c r="CB35" i="136"/>
  <c r="EY35" i="136"/>
  <c r="OM35" i="136"/>
  <c r="BR12" i="136"/>
  <c r="BR26" i="136"/>
  <c r="ES13" i="136"/>
  <c r="BV26" i="136"/>
  <c r="CA30" i="136"/>
  <c r="BY30" i="136" s="1"/>
  <c r="CC30" i="136" s="1"/>
  <c r="EU30" i="136"/>
  <c r="OA30" i="136"/>
  <c r="OO30" i="136"/>
  <c r="BR9" i="136"/>
  <c r="BZ29" i="136"/>
  <c r="BT12" i="136"/>
  <c r="OA15" i="136"/>
  <c r="EU15" i="136"/>
  <c r="CB18" i="136"/>
  <c r="EY18" i="136"/>
  <c r="OM18" i="136"/>
  <c r="BV9" i="136"/>
  <c r="BV32" i="136"/>
  <c r="BV21" i="136"/>
  <c r="BV19" i="136"/>
  <c r="BR32" i="136"/>
  <c r="EW33" i="136"/>
  <c r="EX33" i="136" s="1"/>
  <c r="BT36" i="136"/>
  <c r="BU21" i="136"/>
  <c r="OO13" i="136"/>
  <c r="BQ9" i="136"/>
  <c r="OK10" i="136"/>
  <c r="OL10" i="136" s="1"/>
  <c r="BS14" i="136"/>
  <c r="OK30" i="136"/>
  <c r="OL30" i="136" s="1"/>
  <c r="BQ19" i="136"/>
  <c r="BT14" i="136"/>
  <c r="EW13" i="136"/>
  <c r="EX13" i="136" s="1"/>
  <c r="BU26" i="136"/>
  <c r="BT34" i="136"/>
  <c r="EW30" i="136"/>
  <c r="EX30" i="136" s="1"/>
  <c r="CB20" i="136"/>
  <c r="EY20" i="136"/>
  <c r="EZ20" i="136" s="1"/>
  <c r="OM20" i="136"/>
  <c r="ON20" i="136" s="1"/>
  <c r="BR19" i="136"/>
  <c r="BQ17" i="136"/>
  <c r="ES15" i="136"/>
  <c r="BT21" i="136"/>
  <c r="EY33" i="136"/>
  <c r="CB37" i="136"/>
  <c r="EY37" i="136"/>
  <c r="OM37" i="136"/>
  <c r="OO37" i="136"/>
  <c r="OM23" i="136"/>
  <c r="BZ9" i="136"/>
  <c r="EU37" i="136"/>
  <c r="OA37" i="136"/>
  <c r="CB25" i="136"/>
  <c r="EU25" i="136"/>
  <c r="OA25" i="136"/>
  <c r="ES37" i="136"/>
  <c r="EY23" i="136"/>
  <c r="BQ12" i="136"/>
  <c r="BU34" i="136"/>
  <c r="BU19" i="136"/>
  <c r="BT17" i="136"/>
  <c r="ES25" i="136"/>
  <c r="BS34" i="136"/>
  <c r="BU17" i="136"/>
  <c r="EU22" i="136"/>
  <c r="OA22" i="136"/>
  <c r="ES30" i="136"/>
  <c r="OA33" i="136"/>
  <c r="CB33" i="136"/>
  <c r="OM33" i="136"/>
  <c r="OO33" i="136"/>
  <c r="OK33" i="136"/>
  <c r="OL33" i="136" s="1"/>
  <c r="CB16" i="136"/>
  <c r="OM16" i="136"/>
  <c r="OA16" i="136"/>
  <c r="OO16" i="136"/>
  <c r="OA11" i="136"/>
  <c r="OO11" i="136"/>
  <c r="BY18" i="136"/>
  <c r="CC18" i="136" s="1"/>
  <c r="Q9" i="137"/>
  <c r="AA11" i="137"/>
  <c r="AA13" i="137" s="1"/>
  <c r="AE7" i="137" s="1"/>
  <c r="AC13" i="137" s="1"/>
  <c r="H11" i="137"/>
  <c r="S11" i="137"/>
  <c r="I11" i="137"/>
  <c r="Q11" i="137"/>
  <c r="R11" i="137"/>
  <c r="OP33" i="136" l="1"/>
  <c r="OB20" i="136"/>
  <c r="ON33" i="136"/>
  <c r="ET20" i="136"/>
  <c r="EV33" i="136"/>
  <c r="CC33" i="136"/>
  <c r="EV20" i="136"/>
  <c r="OP20" i="136"/>
  <c r="OB33" i="136"/>
  <c r="EZ33" i="136"/>
  <c r="OB11" i="136"/>
  <c r="ON16" i="136"/>
  <c r="NQ23" i="136"/>
  <c r="EV16" i="136"/>
  <c r="OP16" i="136"/>
  <c r="OB16" i="136"/>
  <c r="ON11" i="136"/>
  <c r="OA10" i="136"/>
  <c r="OB10" i="136" s="1"/>
  <c r="ES10" i="136"/>
  <c r="ET10" i="136" s="1"/>
  <c r="OP11" i="136"/>
  <c r="EZ11" i="136"/>
  <c r="EU10" i="136"/>
  <c r="EV10" i="136" s="1"/>
  <c r="ET16" i="136"/>
  <c r="ON25" i="136"/>
  <c r="OB25" i="136"/>
  <c r="EV11" i="136"/>
  <c r="ON23" i="136"/>
  <c r="EZ23" i="136"/>
  <c r="EV23" i="136"/>
  <c r="ET11" i="136"/>
  <c r="EZ16" i="136"/>
  <c r="OP23" i="136"/>
  <c r="ET23" i="136"/>
  <c r="ET22" i="136"/>
  <c r="EZ22" i="136"/>
  <c r="CB10" i="136"/>
  <c r="NQ10" i="136" s="1"/>
  <c r="NQ22" i="136"/>
  <c r="OB23" i="136"/>
  <c r="EV25" i="136"/>
  <c r="EZ25" i="136"/>
  <c r="EV13" i="136"/>
  <c r="OO10" i="136"/>
  <c r="OP10" i="136" s="1"/>
  <c r="OP25" i="136"/>
  <c r="OM10" i="136"/>
  <c r="ON10" i="136" s="1"/>
  <c r="ET25" i="136"/>
  <c r="EZ10" i="136"/>
  <c r="ET37" i="136"/>
  <c r="OP37" i="136"/>
  <c r="OB13" i="136"/>
  <c r="ET27" i="136"/>
  <c r="OP13" i="136"/>
  <c r="ET13" i="136"/>
  <c r="ON13" i="136"/>
  <c r="OB22" i="136"/>
  <c r="OP22" i="136"/>
  <c r="EZ27" i="136"/>
  <c r="CC27" i="136"/>
  <c r="EV22" i="136"/>
  <c r="OB27" i="136"/>
  <c r="ON22" i="136"/>
  <c r="EV27" i="136"/>
  <c r="ON27" i="136"/>
  <c r="EF11" i="136"/>
  <c r="EJ11" i="136" s="1"/>
  <c r="NQ11" i="136"/>
  <c r="EV37" i="136"/>
  <c r="OB37" i="136"/>
  <c r="EZ13" i="136"/>
  <c r="ON37" i="136"/>
  <c r="OK29" i="136"/>
  <c r="EZ37" i="136"/>
  <c r="OP35" i="136"/>
  <c r="OB35" i="136"/>
  <c r="EV35" i="136"/>
  <c r="ET35" i="136"/>
  <c r="ON35" i="136"/>
  <c r="EZ35" i="136"/>
  <c r="EV15" i="136"/>
  <c r="ET15" i="136"/>
  <c r="BX9" i="136"/>
  <c r="OP30" i="136"/>
  <c r="ON18" i="136"/>
  <c r="ON15" i="136"/>
  <c r="OB15" i="136"/>
  <c r="CA21" i="136"/>
  <c r="BY21" i="136" s="1"/>
  <c r="OB30" i="136"/>
  <c r="EZ15" i="136"/>
  <c r="ET30" i="136"/>
  <c r="EZ30" i="136"/>
  <c r="ON30" i="136"/>
  <c r="ET18" i="136"/>
  <c r="EZ18" i="136"/>
  <c r="EF27" i="136"/>
  <c r="NQ27" i="136"/>
  <c r="NQ16" i="136"/>
  <c r="EF16" i="136"/>
  <c r="BO12" i="136"/>
  <c r="OK12" i="136" s="1"/>
  <c r="ES12" i="136"/>
  <c r="OO12" i="136"/>
  <c r="CA32" i="136"/>
  <c r="BP26" i="136"/>
  <c r="BP17" i="136"/>
  <c r="BO32" i="136"/>
  <c r="OK32" i="136" s="1"/>
  <c r="BP12" i="136"/>
  <c r="CA26" i="136"/>
  <c r="BO19" i="136"/>
  <c r="EW19" i="136" s="1"/>
  <c r="BO21" i="136"/>
  <c r="EW21" i="136" s="1"/>
  <c r="EJ22" i="136"/>
  <c r="EG22" i="136"/>
  <c r="EM22" i="136"/>
  <c r="BO14" i="136"/>
  <c r="EW14" i="136" s="1"/>
  <c r="NQ33" i="136"/>
  <c r="EF33" i="136"/>
  <c r="CA14" i="136"/>
  <c r="BZ32" i="136"/>
  <c r="BO36" i="136"/>
  <c r="EW36" i="136" s="1"/>
  <c r="BP29" i="136"/>
  <c r="EX29" i="136" s="1"/>
  <c r="CA9" i="136"/>
  <c r="CA17" i="136"/>
  <c r="EF25" i="136"/>
  <c r="NQ25" i="136"/>
  <c r="CA34" i="136"/>
  <c r="BZ14" i="136"/>
  <c r="BP32" i="136"/>
  <c r="EV30" i="136"/>
  <c r="EF15" i="136"/>
  <c r="NQ15" i="136"/>
  <c r="BZ19" i="136"/>
  <c r="EJ23" i="136"/>
  <c r="EG23" i="136"/>
  <c r="EM23" i="136"/>
  <c r="EF20" i="136"/>
  <c r="NQ20" i="136"/>
  <c r="BP9" i="136"/>
  <c r="EF13" i="136"/>
  <c r="NQ13" i="136"/>
  <c r="CA36" i="136"/>
  <c r="EF35" i="136"/>
  <c r="NQ35" i="136"/>
  <c r="OB18" i="136"/>
  <c r="OP18" i="136"/>
  <c r="BP36" i="136"/>
  <c r="EV18" i="136"/>
  <c r="CA19" i="136"/>
  <c r="OP15" i="136"/>
  <c r="EF18" i="136"/>
  <c r="NQ18" i="136"/>
  <c r="EF30" i="136"/>
  <c r="NQ30" i="136"/>
  <c r="BO17" i="136"/>
  <c r="EW17" i="136" s="1"/>
  <c r="CA12" i="136"/>
  <c r="BP34" i="136"/>
  <c r="BX29" i="136"/>
  <c r="BZ26" i="136"/>
  <c r="EF37" i="136"/>
  <c r="NQ37" i="136"/>
  <c r="BP21" i="136"/>
  <c r="BO34" i="136"/>
  <c r="BZ34" i="136"/>
  <c r="BO9" i="136"/>
  <c r="BZ21" i="136"/>
  <c r="BO26" i="136"/>
  <c r="OK26" i="136" s="1"/>
  <c r="CA29" i="136"/>
  <c r="BZ17" i="136"/>
  <c r="BP19" i="136"/>
  <c r="BZ36" i="136"/>
  <c r="BP14" i="136"/>
  <c r="AB13" i="137"/>
  <c r="AB14" i="137" s="1"/>
  <c r="G13" i="137"/>
  <c r="K7" i="137" s="1"/>
  <c r="H13" i="137" s="1"/>
  <c r="AA14" i="137"/>
  <c r="Q13" i="137"/>
  <c r="U7" i="137" s="1"/>
  <c r="S13" i="137" s="1"/>
  <c r="EF10" i="136" l="1"/>
  <c r="EG11" i="136"/>
  <c r="EW32" i="136"/>
  <c r="EX32" i="136" s="1"/>
  <c r="EM11" i="136"/>
  <c r="EN11" i="136" s="1"/>
  <c r="BX17" i="136"/>
  <c r="ES17" i="136" s="1"/>
  <c r="BY9" i="136"/>
  <c r="CC9" i="136" s="1"/>
  <c r="EX17" i="136"/>
  <c r="EW26" i="136"/>
  <c r="EX26" i="136" s="1"/>
  <c r="OK14" i="136"/>
  <c r="OL14" i="136" s="1"/>
  <c r="OL32" i="136"/>
  <c r="EW12" i="136"/>
  <c r="EX12" i="136" s="1"/>
  <c r="EX36" i="136"/>
  <c r="OL12" i="136"/>
  <c r="OL26" i="136"/>
  <c r="EX21" i="136"/>
  <c r="ES9" i="136"/>
  <c r="EX19" i="136"/>
  <c r="OO9" i="136"/>
  <c r="EY12" i="136"/>
  <c r="CB12" i="136"/>
  <c r="BX34" i="136"/>
  <c r="OO34" i="136" s="1"/>
  <c r="EY29" i="136"/>
  <c r="OM29" i="136"/>
  <c r="OO29" i="136"/>
  <c r="ES29" i="136"/>
  <c r="CB29" i="136"/>
  <c r="BY36" i="136"/>
  <c r="BY34" i="136"/>
  <c r="EG37" i="136"/>
  <c r="EM37" i="136"/>
  <c r="EJ37" i="136"/>
  <c r="EU9" i="136"/>
  <c r="OA9" i="136"/>
  <c r="BY32" i="136"/>
  <c r="BX36" i="136"/>
  <c r="OA36" i="136" s="1"/>
  <c r="EJ18" i="136"/>
  <c r="EM18" i="136"/>
  <c r="EG18" i="136"/>
  <c r="EY9" i="136"/>
  <c r="EU17" i="136"/>
  <c r="EG10" i="136"/>
  <c r="EJ10" i="136"/>
  <c r="EM10" i="136"/>
  <c r="EN22" i="136"/>
  <c r="EO22" i="136"/>
  <c r="EU12" i="136"/>
  <c r="OA12" i="136"/>
  <c r="EJ30" i="136"/>
  <c r="EM30" i="136"/>
  <c r="EG30" i="136"/>
  <c r="EM25" i="136"/>
  <c r="EG25" i="136"/>
  <c r="EJ25" i="136"/>
  <c r="BX26" i="136"/>
  <c r="OA26" i="136" s="1"/>
  <c r="BX32" i="136"/>
  <c r="OA32" i="136" s="1"/>
  <c r="OK19" i="136"/>
  <c r="OL19" i="136" s="1"/>
  <c r="CB9" i="136"/>
  <c r="OK34" i="136"/>
  <c r="OL34" i="136" s="1"/>
  <c r="BY19" i="136"/>
  <c r="EG20" i="136"/>
  <c r="EM20" i="136"/>
  <c r="EJ20" i="136"/>
  <c r="BY14" i="136"/>
  <c r="EJ16" i="136"/>
  <c r="EM16" i="136"/>
  <c r="EG16" i="136"/>
  <c r="EX14" i="136"/>
  <c r="EM15" i="136"/>
  <c r="EJ15" i="136"/>
  <c r="EG15" i="136"/>
  <c r="OA29" i="136"/>
  <c r="EN23" i="136"/>
  <c r="EO23" i="136"/>
  <c r="EJ33" i="136"/>
  <c r="EM33" i="136"/>
  <c r="EG33" i="136"/>
  <c r="OM34" i="136"/>
  <c r="BX19" i="136"/>
  <c r="EU19" i="136" s="1"/>
  <c r="EJ13" i="136"/>
  <c r="EG13" i="136"/>
  <c r="EM13" i="136"/>
  <c r="OM9" i="136"/>
  <c r="OK9" i="136"/>
  <c r="OL9" i="136" s="1"/>
  <c r="EU29" i="136"/>
  <c r="OK17" i="136"/>
  <c r="OL17" i="136" s="1"/>
  <c r="EG35" i="136"/>
  <c r="EM35" i="136"/>
  <c r="EJ35" i="136"/>
  <c r="BX14" i="136"/>
  <c r="CB14" i="136" s="1"/>
  <c r="BY26" i="136"/>
  <c r="BY12" i="136"/>
  <c r="BX21" i="136"/>
  <c r="OA21" i="136" s="1"/>
  <c r="OB21" i="136" s="1"/>
  <c r="BY29" i="136"/>
  <c r="EW9" i="136"/>
  <c r="EX9" i="136" s="1"/>
  <c r="EW34" i="136"/>
  <c r="EX34" i="136" s="1"/>
  <c r="BY17" i="136"/>
  <c r="OL29" i="136"/>
  <c r="OK36" i="136"/>
  <c r="OL36" i="136" s="1"/>
  <c r="OM12" i="136"/>
  <c r="OK21" i="136"/>
  <c r="OL21" i="136" s="1"/>
  <c r="EG27" i="136"/>
  <c r="EM27" i="136"/>
  <c r="EJ27" i="136"/>
  <c r="CC21" i="136"/>
  <c r="Q14" i="137"/>
  <c r="G14" i="137"/>
  <c r="R13" i="137"/>
  <c r="R14" i="137" s="1"/>
  <c r="I13" i="137"/>
  <c r="H14" i="137"/>
  <c r="EY17" i="136" l="1"/>
  <c r="EZ17" i="136" s="1"/>
  <c r="OO17" i="136"/>
  <c r="OA17" i="136"/>
  <c r="OB17" i="136" s="1"/>
  <c r="OM17" i="136"/>
  <c r="ON17" i="136" s="1"/>
  <c r="CB17" i="136"/>
  <c r="EF17" i="136" s="1"/>
  <c r="EO11" i="136"/>
  <c r="EU36" i="136"/>
  <c r="EV36" i="136" s="1"/>
  <c r="EV9" i="136"/>
  <c r="ON9" i="136"/>
  <c r="EZ9" i="136"/>
  <c r="EY34" i="136"/>
  <c r="EZ34" i="136" s="1"/>
  <c r="ET9" i="136"/>
  <c r="OB9" i="136"/>
  <c r="OP9" i="136"/>
  <c r="NQ12" i="136"/>
  <c r="EF12" i="136"/>
  <c r="EJ12" i="136" s="1"/>
  <c r="ON34" i="136"/>
  <c r="EU14" i="136"/>
  <c r="EV14" i="136" s="1"/>
  <c r="OP29" i="136"/>
  <c r="OA14" i="136"/>
  <c r="OB14" i="136" s="1"/>
  <c r="OB12" i="136"/>
  <c r="EV12" i="136"/>
  <c r="OB36" i="136"/>
  <c r="EZ12" i="136"/>
  <c r="CB34" i="136"/>
  <c r="EF34" i="136" s="1"/>
  <c r="OB26" i="136"/>
  <c r="OP17" i="136"/>
  <c r="CC14" i="136"/>
  <c r="ES34" i="136"/>
  <c r="ET34" i="136" s="1"/>
  <c r="CC12" i="136"/>
  <c r="OA34" i="136"/>
  <c r="OB34" i="136" s="1"/>
  <c r="ET12" i="136"/>
  <c r="EU34" i="136"/>
  <c r="EV34" i="136" s="1"/>
  <c r="EF14" i="136"/>
  <c r="NQ14" i="136"/>
  <c r="EN33" i="136"/>
  <c r="EO33" i="136"/>
  <c r="CC26" i="136"/>
  <c r="EV19" i="136"/>
  <c r="EN20" i="136"/>
  <c r="EO20" i="136"/>
  <c r="OM36" i="136"/>
  <c r="ON36" i="136" s="1"/>
  <c r="EY36" i="136"/>
  <c r="EZ36" i="136" s="1"/>
  <c r="ES36" i="136"/>
  <c r="ET36" i="136" s="1"/>
  <c r="CB36" i="136"/>
  <c r="OO36" i="136"/>
  <c r="OP36" i="136" s="1"/>
  <c r="EF29" i="136"/>
  <c r="NQ29" i="136"/>
  <c r="EN27" i="136"/>
  <c r="EO27" i="136"/>
  <c r="EV29" i="136"/>
  <c r="OB29" i="136"/>
  <c r="OP12" i="136"/>
  <c r="EY32" i="136"/>
  <c r="EZ32" i="136" s="1"/>
  <c r="OM32" i="136"/>
  <c r="ON32" i="136" s="1"/>
  <c r="ES32" i="136"/>
  <c r="ET32" i="136" s="1"/>
  <c r="OO32" i="136"/>
  <c r="OP32" i="136" s="1"/>
  <c r="CB32" i="136"/>
  <c r="ET29" i="136"/>
  <c r="EY21" i="136"/>
  <c r="EZ21" i="136" s="1"/>
  <c r="OM21" i="136"/>
  <c r="ON21" i="136" s="1"/>
  <c r="CB21" i="136"/>
  <c r="ES21" i="136"/>
  <c r="ET21" i="136" s="1"/>
  <c r="OO21" i="136"/>
  <c r="OP21" i="136" s="1"/>
  <c r="EU21" i="136"/>
  <c r="EV21" i="136" s="1"/>
  <c r="CC32" i="136"/>
  <c r="EN15" i="136"/>
  <c r="EO15" i="136"/>
  <c r="CB26" i="136"/>
  <c r="EO18" i="136"/>
  <c r="EN18" i="136"/>
  <c r="EN37" i="136"/>
  <c r="EO37" i="136"/>
  <c r="ON29" i="136"/>
  <c r="ON12" i="136"/>
  <c r="CC19" i="136"/>
  <c r="EY19" i="136"/>
  <c r="EZ19" i="136" s="1"/>
  <c r="OM19" i="136"/>
  <c r="ON19" i="136" s="1"/>
  <c r="CB19" i="136"/>
  <c r="ES19" i="136"/>
  <c r="ET19" i="136" s="1"/>
  <c r="OO19" i="136"/>
  <c r="OP19" i="136" s="1"/>
  <c r="CC17" i="136"/>
  <c r="EU32" i="136"/>
  <c r="EV32" i="136" s="1"/>
  <c r="EY26" i="136"/>
  <c r="EZ26" i="136" s="1"/>
  <c r="OM26" i="136"/>
  <c r="ON26" i="136" s="1"/>
  <c r="ES26" i="136"/>
  <c r="ET26" i="136" s="1"/>
  <c r="OO26" i="136"/>
  <c r="OP26" i="136" s="1"/>
  <c r="EN13" i="136"/>
  <c r="EO13" i="136"/>
  <c r="EN10" i="136"/>
  <c r="EO10" i="136"/>
  <c r="EN25" i="136"/>
  <c r="EO25" i="136"/>
  <c r="EN35" i="136"/>
  <c r="EO35" i="136"/>
  <c r="EN30" i="136"/>
  <c r="EO30" i="136"/>
  <c r="EN16" i="136"/>
  <c r="EO16" i="136"/>
  <c r="OB32" i="136"/>
  <c r="EY14" i="136"/>
  <c r="EZ14" i="136" s="1"/>
  <c r="OM14" i="136"/>
  <c r="ON14" i="136" s="1"/>
  <c r="ES14" i="136"/>
  <c r="ET14" i="136" s="1"/>
  <c r="OO14" i="136"/>
  <c r="OP14" i="136" s="1"/>
  <c r="CC36" i="136"/>
  <c r="EU26" i="136"/>
  <c r="EV26" i="136" s="1"/>
  <c r="CC34" i="136"/>
  <c r="CC29" i="136"/>
  <c r="EZ29" i="136"/>
  <c r="OA19" i="136"/>
  <c r="OB19" i="136" s="1"/>
  <c r="EF9" i="136"/>
  <c r="NQ9" i="136"/>
  <c r="EV17" i="136"/>
  <c r="OP34" i="136"/>
  <c r="ET17" i="136"/>
  <c r="D20" i="136"/>
  <c r="NR20" i="136" s="1"/>
  <c r="NQ17" i="136" l="1"/>
  <c r="EM12" i="136"/>
  <c r="EO12" i="136" s="1"/>
  <c r="EG12" i="136"/>
  <c r="NQ34" i="136"/>
  <c r="EG17" i="136"/>
  <c r="EJ17" i="136"/>
  <c r="EM17" i="136"/>
  <c r="EF21" i="136"/>
  <c r="NQ21" i="136"/>
  <c r="NQ24" i="136" s="1"/>
  <c r="EF36" i="136"/>
  <c r="NQ36" i="136"/>
  <c r="EF32" i="136"/>
  <c r="NQ32" i="136"/>
  <c r="EF26" i="136"/>
  <c r="NQ26" i="136"/>
  <c r="NQ28" i="136" s="1"/>
  <c r="EJ34" i="136"/>
  <c r="EG34" i="136"/>
  <c r="EM34" i="136"/>
  <c r="NQ31" i="136"/>
  <c r="EJ9" i="136"/>
  <c r="EM9" i="136"/>
  <c r="EG9" i="136"/>
  <c r="EF19" i="136"/>
  <c r="NQ19" i="136"/>
  <c r="EG29" i="136"/>
  <c r="EM29" i="136"/>
  <c r="EJ29" i="136"/>
  <c r="EG14" i="136"/>
  <c r="EM14" i="136"/>
  <c r="EJ14" i="136"/>
  <c r="D19" i="136"/>
  <c r="D11" i="136"/>
  <c r="NR11" i="136" s="1"/>
  <c r="JN20" i="136"/>
  <c r="JM20" i="136"/>
  <c r="JL20" i="136"/>
  <c r="JK20" i="136"/>
  <c r="JJ20" i="136"/>
  <c r="JI20" i="136"/>
  <c r="NY20" i="136" s="1"/>
  <c r="JH20" i="136"/>
  <c r="JG20" i="136"/>
  <c r="JF20" i="136"/>
  <c r="JE20" i="136"/>
  <c r="NW20" i="136" s="1"/>
  <c r="JD20" i="136"/>
  <c r="JC20" i="136"/>
  <c r="JB20" i="136"/>
  <c r="JA20" i="136"/>
  <c r="FX20" i="136"/>
  <c r="FW20" i="136"/>
  <c r="FV20" i="136"/>
  <c r="FU20" i="136"/>
  <c r="FT20" i="136"/>
  <c r="FS20" i="136"/>
  <c r="FR20" i="136"/>
  <c r="FQ20" i="136"/>
  <c r="CH20" i="136"/>
  <c r="CI20" i="136" s="1"/>
  <c r="JN19" i="136"/>
  <c r="JM19" i="136"/>
  <c r="JL19" i="136"/>
  <c r="JK19" i="136"/>
  <c r="JJ19" i="136"/>
  <c r="JI19" i="136"/>
  <c r="JH19" i="136"/>
  <c r="JG19" i="136"/>
  <c r="JF19" i="136"/>
  <c r="JE19" i="136"/>
  <c r="JD19" i="136"/>
  <c r="JC19" i="136"/>
  <c r="JB19" i="136"/>
  <c r="JA19" i="136"/>
  <c r="FX19" i="136"/>
  <c r="FW19" i="136"/>
  <c r="FV19" i="136"/>
  <c r="FU19" i="136"/>
  <c r="FT19" i="136"/>
  <c r="FS19" i="136"/>
  <c r="FR19" i="136"/>
  <c r="FQ19" i="136"/>
  <c r="CH19" i="136"/>
  <c r="D30" i="136"/>
  <c r="NR30" i="136" s="1"/>
  <c r="D27" i="136"/>
  <c r="NR27" i="136" s="1"/>
  <c r="D23" i="136"/>
  <c r="NR23" i="136" s="1"/>
  <c r="D25" i="136"/>
  <c r="NR25" i="136" s="1"/>
  <c r="D10" i="136"/>
  <c r="NR10" i="136" s="1"/>
  <c r="D9" i="136"/>
  <c r="NR9" i="136" s="1"/>
  <c r="D8" i="136"/>
  <c r="D7" i="136"/>
  <c r="D16" i="136"/>
  <c r="NR16" i="136" s="1"/>
  <c r="D13" i="136"/>
  <c r="NR13" i="136" s="1"/>
  <c r="D12" i="136"/>
  <c r="NR12" i="136" s="1"/>
  <c r="D18" i="136"/>
  <c r="NR18" i="136" s="1"/>
  <c r="EN12" i="136" l="1"/>
  <c r="EG32" i="136"/>
  <c r="EM32" i="136"/>
  <c r="EJ32" i="136"/>
  <c r="NY19" i="136"/>
  <c r="NZ20" i="136"/>
  <c r="EM26" i="136"/>
  <c r="EG26" i="136"/>
  <c r="EJ26" i="136"/>
  <c r="EN9" i="136"/>
  <c r="EO9" i="136"/>
  <c r="EJ21" i="136"/>
  <c r="EM21" i="136"/>
  <c r="EG21" i="136"/>
  <c r="EN29" i="136"/>
  <c r="EO29" i="136"/>
  <c r="EN34" i="136"/>
  <c r="EO34" i="136"/>
  <c r="EN14" i="136"/>
  <c r="EO14" i="136"/>
  <c r="NX20" i="136"/>
  <c r="NR19" i="136"/>
  <c r="EN17" i="136"/>
  <c r="EO17" i="136"/>
  <c r="NW19" i="136"/>
  <c r="EJ19" i="136"/>
  <c r="EM19" i="136"/>
  <c r="EG19" i="136"/>
  <c r="EG36" i="136"/>
  <c r="EJ36" i="136"/>
  <c r="EM36" i="136"/>
  <c r="CI19" i="136"/>
  <c r="JV20" i="136"/>
  <c r="JX20" i="136"/>
  <c r="JW19" i="136"/>
  <c r="JQ19" i="136"/>
  <c r="JR20" i="136"/>
  <c r="JU19" i="136"/>
  <c r="JU20" i="136"/>
  <c r="JS20" i="136"/>
  <c r="JS19" i="136"/>
  <c r="JT20" i="136"/>
  <c r="JY20" i="136"/>
  <c r="JY19" i="136"/>
  <c r="JP20" i="136"/>
  <c r="JZ20" i="136"/>
  <c r="JW20" i="136"/>
  <c r="LM20" i="136" s="1"/>
  <c r="LO20" i="136" s="1"/>
  <c r="JO20" i="136"/>
  <c r="KE20" i="136" s="1"/>
  <c r="KG20" i="136" s="1"/>
  <c r="JO19" i="136"/>
  <c r="JQ20" i="136"/>
  <c r="JX19" i="136"/>
  <c r="JZ19" i="136"/>
  <c r="JT19" i="136"/>
  <c r="JR19" i="136"/>
  <c r="JV19" i="136"/>
  <c r="JP19" i="136"/>
  <c r="FY20" i="136"/>
  <c r="FZ20" i="136" s="1"/>
  <c r="GF20" i="136" s="1"/>
  <c r="FY19" i="136"/>
  <c r="CL20" i="136"/>
  <c r="CL19" i="136"/>
  <c r="D17" i="136"/>
  <c r="NR17" i="136" s="1"/>
  <c r="D15" i="136"/>
  <c r="NR15" i="136" s="1"/>
  <c r="JA18" i="136"/>
  <c r="JB18" i="136"/>
  <c r="JC18" i="136"/>
  <c r="JD18" i="136"/>
  <c r="JE18" i="136"/>
  <c r="NW18" i="136" s="1"/>
  <c r="JF18" i="136"/>
  <c r="JG18" i="136"/>
  <c r="JH18" i="136"/>
  <c r="JI18" i="136"/>
  <c r="NY18" i="136" s="1"/>
  <c r="JJ18" i="136"/>
  <c r="JK18" i="136"/>
  <c r="JL18" i="136"/>
  <c r="JM18" i="136"/>
  <c r="JN18" i="136"/>
  <c r="JA12" i="136"/>
  <c r="JB12" i="136"/>
  <c r="JC12" i="136"/>
  <c r="JD12" i="136"/>
  <c r="JE12" i="136"/>
  <c r="JF12" i="136"/>
  <c r="JG12" i="136"/>
  <c r="JH12" i="136"/>
  <c r="JI12" i="136"/>
  <c r="JJ12" i="136"/>
  <c r="JK12" i="136"/>
  <c r="JL12" i="136"/>
  <c r="JM12" i="136"/>
  <c r="JN12" i="136"/>
  <c r="JA13" i="136"/>
  <c r="JB13" i="136"/>
  <c r="JC13" i="136"/>
  <c r="JD13" i="136"/>
  <c r="JE13" i="136"/>
  <c r="NW13" i="136" s="1"/>
  <c r="JF13" i="136"/>
  <c r="JG13" i="136"/>
  <c r="JH13" i="136"/>
  <c r="JI13" i="136"/>
  <c r="NY13" i="136" s="1"/>
  <c r="JJ13" i="136"/>
  <c r="JK13" i="136"/>
  <c r="JL13" i="136"/>
  <c r="JM13" i="136"/>
  <c r="JN13" i="136"/>
  <c r="JA16" i="136"/>
  <c r="JB16" i="136"/>
  <c r="JC16" i="136"/>
  <c r="JD16" i="136"/>
  <c r="JE16" i="136"/>
  <c r="NW16" i="136" s="1"/>
  <c r="JF16" i="136"/>
  <c r="JG16" i="136"/>
  <c r="JH16" i="136"/>
  <c r="JI16" i="136"/>
  <c r="NY16" i="136" s="1"/>
  <c r="JJ16" i="136"/>
  <c r="JK16" i="136"/>
  <c r="JL16" i="136"/>
  <c r="JM16" i="136"/>
  <c r="JN16" i="136"/>
  <c r="JA7" i="136"/>
  <c r="JB7" i="136"/>
  <c r="JC7" i="136"/>
  <c r="JD7" i="136"/>
  <c r="JE7" i="136"/>
  <c r="JF7" i="136"/>
  <c r="JG7" i="136"/>
  <c r="JH7" i="136"/>
  <c r="JI7" i="136"/>
  <c r="JJ7" i="136"/>
  <c r="JK7" i="136"/>
  <c r="JL7" i="136"/>
  <c r="JM7" i="136"/>
  <c r="JN7" i="136"/>
  <c r="LW7" i="136"/>
  <c r="LX7" i="136"/>
  <c r="JA8" i="136"/>
  <c r="JB8" i="136"/>
  <c r="JC8" i="136"/>
  <c r="JD8" i="136"/>
  <c r="JE8" i="136"/>
  <c r="NW8" i="136" s="1"/>
  <c r="JF8" i="136"/>
  <c r="JG8" i="136"/>
  <c r="JH8" i="136"/>
  <c r="JI8" i="136"/>
  <c r="NY8" i="136" s="1"/>
  <c r="JJ8" i="136"/>
  <c r="JK8" i="136"/>
  <c r="JL8" i="136"/>
  <c r="JM8" i="136"/>
  <c r="JN8" i="136"/>
  <c r="LW8" i="136"/>
  <c r="JA9" i="136"/>
  <c r="JB9" i="136"/>
  <c r="JC9" i="136"/>
  <c r="JD9" i="136"/>
  <c r="JE9" i="136"/>
  <c r="JF9" i="136"/>
  <c r="JG9" i="136"/>
  <c r="JH9" i="136"/>
  <c r="JI9" i="136"/>
  <c r="JJ9" i="136"/>
  <c r="JK9" i="136"/>
  <c r="JL9" i="136"/>
  <c r="JM9" i="136"/>
  <c r="JN9" i="136"/>
  <c r="JA10" i="136"/>
  <c r="JB10" i="136"/>
  <c r="JC10" i="136"/>
  <c r="JD10" i="136"/>
  <c r="JE10" i="136"/>
  <c r="NW10" i="136" s="1"/>
  <c r="JF10" i="136"/>
  <c r="JG10" i="136"/>
  <c r="JH10" i="136"/>
  <c r="JI10" i="136"/>
  <c r="NY10" i="136" s="1"/>
  <c r="JJ10" i="136"/>
  <c r="JK10" i="136"/>
  <c r="JL10" i="136"/>
  <c r="JM10" i="136"/>
  <c r="JN10" i="136"/>
  <c r="JA25" i="136"/>
  <c r="JB25" i="136"/>
  <c r="JC25" i="136"/>
  <c r="JD25" i="136"/>
  <c r="JE25" i="136"/>
  <c r="NW25" i="136" s="1"/>
  <c r="JF25" i="136"/>
  <c r="JG25" i="136"/>
  <c r="JH25" i="136"/>
  <c r="JI25" i="136"/>
  <c r="NY25" i="136" s="1"/>
  <c r="JJ25" i="136"/>
  <c r="JK25" i="136"/>
  <c r="JL25" i="136"/>
  <c r="JM25" i="136"/>
  <c r="JN25" i="136"/>
  <c r="JA23" i="136"/>
  <c r="JB23" i="136"/>
  <c r="JC23" i="136"/>
  <c r="JD23" i="136"/>
  <c r="JE23" i="136"/>
  <c r="NW23" i="136" s="1"/>
  <c r="JF23" i="136"/>
  <c r="JG23" i="136"/>
  <c r="JH23" i="136"/>
  <c r="JI23" i="136"/>
  <c r="NY23" i="136" s="1"/>
  <c r="JJ23" i="136"/>
  <c r="JK23" i="136"/>
  <c r="JL23" i="136"/>
  <c r="JM23" i="136"/>
  <c r="JN23" i="136"/>
  <c r="JA27" i="136"/>
  <c r="JB27" i="136"/>
  <c r="JC27" i="136"/>
  <c r="JD27" i="136"/>
  <c r="JE27" i="136"/>
  <c r="NW27" i="136" s="1"/>
  <c r="JF27" i="136"/>
  <c r="JG27" i="136"/>
  <c r="JH27" i="136"/>
  <c r="JI27" i="136"/>
  <c r="NY27" i="136" s="1"/>
  <c r="JJ27" i="136"/>
  <c r="JK27" i="136"/>
  <c r="JL27" i="136"/>
  <c r="JM27" i="136"/>
  <c r="JN27" i="136"/>
  <c r="JA30" i="136"/>
  <c r="JB30" i="136"/>
  <c r="JC30" i="136"/>
  <c r="JD30" i="136"/>
  <c r="JE30" i="136"/>
  <c r="NW30" i="136" s="1"/>
  <c r="JF30" i="136"/>
  <c r="JG30" i="136"/>
  <c r="JH30" i="136"/>
  <c r="JI30" i="136"/>
  <c r="NY30" i="136" s="1"/>
  <c r="JJ30" i="136"/>
  <c r="JK30" i="136"/>
  <c r="JL30" i="136"/>
  <c r="JM30" i="136"/>
  <c r="JN30" i="136"/>
  <c r="JA11" i="136"/>
  <c r="JB11" i="136"/>
  <c r="JC11" i="136"/>
  <c r="JD11" i="136"/>
  <c r="JE11" i="136"/>
  <c r="NW11" i="136" s="1"/>
  <c r="JF11" i="136"/>
  <c r="JG11" i="136"/>
  <c r="JH11" i="136"/>
  <c r="JI11" i="136"/>
  <c r="NY11" i="136" s="1"/>
  <c r="JJ11" i="136"/>
  <c r="JK11" i="136"/>
  <c r="JL11" i="136"/>
  <c r="JM11" i="136"/>
  <c r="JN11" i="136"/>
  <c r="FQ16" i="136"/>
  <c r="FR16" i="136"/>
  <c r="FS16" i="136"/>
  <c r="FT16" i="136"/>
  <c r="FU16" i="136"/>
  <c r="FV16" i="136"/>
  <c r="FW16" i="136"/>
  <c r="FX16" i="136"/>
  <c r="FQ7" i="136"/>
  <c r="FR7" i="136"/>
  <c r="FS7" i="136"/>
  <c r="FT7" i="136"/>
  <c r="FU7" i="136"/>
  <c r="FV7" i="136"/>
  <c r="FW7" i="136"/>
  <c r="FX7" i="136"/>
  <c r="FQ8" i="136"/>
  <c r="FR8" i="136"/>
  <c r="FS8" i="136"/>
  <c r="FT8" i="136"/>
  <c r="FU8" i="136"/>
  <c r="FV8" i="136"/>
  <c r="FW8" i="136"/>
  <c r="FX8" i="136"/>
  <c r="FQ9" i="136"/>
  <c r="FR9" i="136"/>
  <c r="FS9" i="136"/>
  <c r="FT9" i="136"/>
  <c r="FU9" i="136"/>
  <c r="FV9" i="136"/>
  <c r="FW9" i="136"/>
  <c r="FX9" i="136"/>
  <c r="FQ10" i="136"/>
  <c r="FR10" i="136"/>
  <c r="FS10" i="136"/>
  <c r="FT10" i="136"/>
  <c r="FU10" i="136"/>
  <c r="FV10" i="136"/>
  <c r="FW10" i="136"/>
  <c r="FX10" i="136"/>
  <c r="FQ25" i="136"/>
  <c r="FR25" i="136"/>
  <c r="FS25" i="136"/>
  <c r="FT25" i="136"/>
  <c r="FU25" i="136"/>
  <c r="FV25" i="136"/>
  <c r="FW25" i="136"/>
  <c r="FX25" i="136"/>
  <c r="FQ23" i="136"/>
  <c r="FR23" i="136"/>
  <c r="FS23" i="136"/>
  <c r="FT23" i="136"/>
  <c r="FU23" i="136"/>
  <c r="FV23" i="136"/>
  <c r="FW23" i="136"/>
  <c r="FX23" i="136"/>
  <c r="FQ27" i="136"/>
  <c r="FR27" i="136"/>
  <c r="FS27" i="136"/>
  <c r="FT27" i="136"/>
  <c r="FU27" i="136"/>
  <c r="FV27" i="136"/>
  <c r="FW27" i="136"/>
  <c r="FX27" i="136"/>
  <c r="FQ30" i="136"/>
  <c r="FR30" i="136"/>
  <c r="FS30" i="136"/>
  <c r="FT30" i="136"/>
  <c r="FU30" i="136"/>
  <c r="FV30" i="136"/>
  <c r="FW30" i="136"/>
  <c r="FX30" i="136"/>
  <c r="FQ11" i="136"/>
  <c r="FR11" i="136"/>
  <c r="FS11" i="136"/>
  <c r="FT11" i="136"/>
  <c r="FU11" i="136"/>
  <c r="FV11" i="136"/>
  <c r="FW11" i="136"/>
  <c r="FX11" i="136"/>
  <c r="CH17" i="136"/>
  <c r="CH18" i="136"/>
  <c r="CH12" i="136"/>
  <c r="CH13" i="136"/>
  <c r="CI13" i="136" s="1"/>
  <c r="CH16" i="136"/>
  <c r="AI7" i="136"/>
  <c r="AJ7" i="136"/>
  <c r="AK7" i="136"/>
  <c r="AL7" i="136"/>
  <c r="AM7" i="136"/>
  <c r="AN7" i="136"/>
  <c r="AO7" i="136"/>
  <c r="AP7" i="136"/>
  <c r="AQ7" i="136"/>
  <c r="AR7" i="136"/>
  <c r="CH7" i="136"/>
  <c r="AU8" i="136"/>
  <c r="BQ8" i="136" s="1"/>
  <c r="AY8" i="136"/>
  <c r="BA8" i="136"/>
  <c r="CH8" i="136"/>
  <c r="CH9" i="136"/>
  <c r="CH10" i="136"/>
  <c r="CH25" i="136"/>
  <c r="CH23" i="136"/>
  <c r="CH27" i="136"/>
  <c r="CH30" i="136"/>
  <c r="CI30" i="136" s="1"/>
  <c r="CH11" i="136"/>
  <c r="CI11" i="136" s="1"/>
  <c r="D14" i="136"/>
  <c r="NR14" i="136" s="1"/>
  <c r="JA32" i="136"/>
  <c r="JB32" i="136"/>
  <c r="JC32" i="136"/>
  <c r="JD32" i="136"/>
  <c r="JE32" i="136"/>
  <c r="JF32" i="136"/>
  <c r="JG32" i="136"/>
  <c r="JH32" i="136"/>
  <c r="JI32" i="136"/>
  <c r="JJ32" i="136"/>
  <c r="JK32" i="136"/>
  <c r="JL32" i="136"/>
  <c r="JM32" i="136"/>
  <c r="JN32" i="136"/>
  <c r="JA33" i="136"/>
  <c r="JB33" i="136"/>
  <c r="JC33" i="136"/>
  <c r="JD33" i="136"/>
  <c r="JE33" i="136"/>
  <c r="NW33" i="136" s="1"/>
  <c r="JF33" i="136"/>
  <c r="JG33" i="136"/>
  <c r="JH33" i="136"/>
  <c r="JI33" i="136"/>
  <c r="NY33" i="136" s="1"/>
  <c r="JJ33" i="136"/>
  <c r="JK33" i="136"/>
  <c r="JL33" i="136"/>
  <c r="JM33" i="136"/>
  <c r="JN33" i="136"/>
  <c r="JA14" i="136"/>
  <c r="JB14" i="136"/>
  <c r="JC14" i="136"/>
  <c r="JD14" i="136"/>
  <c r="JE14" i="136"/>
  <c r="JF14" i="136"/>
  <c r="JG14" i="136"/>
  <c r="JH14" i="136"/>
  <c r="JI14" i="136"/>
  <c r="JJ14" i="136"/>
  <c r="JK14" i="136"/>
  <c r="JL14" i="136"/>
  <c r="JM14" i="136"/>
  <c r="JN14" i="136"/>
  <c r="JA15" i="136"/>
  <c r="JB15" i="136"/>
  <c r="JC15" i="136"/>
  <c r="JD15" i="136"/>
  <c r="JE15" i="136"/>
  <c r="NW15" i="136" s="1"/>
  <c r="JF15" i="136"/>
  <c r="JG15" i="136"/>
  <c r="JH15" i="136"/>
  <c r="JI15" i="136"/>
  <c r="NY15" i="136" s="1"/>
  <c r="JJ15" i="136"/>
  <c r="JK15" i="136"/>
  <c r="JL15" i="136"/>
  <c r="JM15" i="136"/>
  <c r="JN15" i="136"/>
  <c r="JA17" i="136"/>
  <c r="JB17" i="136"/>
  <c r="JC17" i="136"/>
  <c r="JD17" i="136"/>
  <c r="JE17" i="136"/>
  <c r="JF17" i="136"/>
  <c r="JG17" i="136"/>
  <c r="JH17" i="136"/>
  <c r="JI17" i="136"/>
  <c r="JJ17" i="136"/>
  <c r="JK17" i="136"/>
  <c r="JL17" i="136"/>
  <c r="JM17" i="136"/>
  <c r="JN17" i="136"/>
  <c r="FQ32" i="136"/>
  <c r="FR32" i="136"/>
  <c r="FS32" i="136"/>
  <c r="FT32" i="136"/>
  <c r="FU32" i="136"/>
  <c r="FV32" i="136"/>
  <c r="FW32" i="136"/>
  <c r="FX32" i="136"/>
  <c r="FQ33" i="136"/>
  <c r="FR33" i="136"/>
  <c r="FS33" i="136"/>
  <c r="FT33" i="136"/>
  <c r="FU33" i="136"/>
  <c r="FV33" i="136"/>
  <c r="FW33" i="136"/>
  <c r="FX33" i="136"/>
  <c r="FQ14" i="136"/>
  <c r="FR14" i="136"/>
  <c r="FS14" i="136"/>
  <c r="FT14" i="136"/>
  <c r="FU14" i="136"/>
  <c r="FV14" i="136"/>
  <c r="FW14" i="136"/>
  <c r="FX14" i="136"/>
  <c r="FQ15" i="136"/>
  <c r="FR15" i="136"/>
  <c r="FS15" i="136"/>
  <c r="FT15" i="136"/>
  <c r="FU15" i="136"/>
  <c r="FV15" i="136"/>
  <c r="FW15" i="136"/>
  <c r="FX15" i="136"/>
  <c r="FQ17" i="136"/>
  <c r="FR17" i="136"/>
  <c r="FS17" i="136"/>
  <c r="FT17" i="136"/>
  <c r="FU17" i="136"/>
  <c r="FV17" i="136"/>
  <c r="FW17" i="136"/>
  <c r="FX17" i="136"/>
  <c r="FQ18" i="136"/>
  <c r="FR18" i="136"/>
  <c r="FS18" i="136"/>
  <c r="FT18" i="136"/>
  <c r="FU18" i="136"/>
  <c r="FV18" i="136"/>
  <c r="FW18" i="136"/>
  <c r="FX18" i="136"/>
  <c r="FQ12" i="136"/>
  <c r="FR12" i="136"/>
  <c r="FS12" i="136"/>
  <c r="FT12" i="136"/>
  <c r="FU12" i="136"/>
  <c r="FV12" i="136"/>
  <c r="FW12" i="136"/>
  <c r="FX12" i="136"/>
  <c r="FQ13" i="136"/>
  <c r="FR13" i="136"/>
  <c r="FS13" i="136"/>
  <c r="FT13" i="136"/>
  <c r="FU13" i="136"/>
  <c r="FV13" i="136"/>
  <c r="FW13" i="136"/>
  <c r="FX13" i="136"/>
  <c r="D33" i="136"/>
  <c r="NR33" i="136" s="1"/>
  <c r="D32" i="136"/>
  <c r="NR32" i="136" s="1"/>
  <c r="NM19" i="136" l="1"/>
  <c r="NM20" i="136"/>
  <c r="NX33" i="136"/>
  <c r="NZ15" i="136"/>
  <c r="NZ10" i="136"/>
  <c r="NX19" i="136"/>
  <c r="EN26" i="136"/>
  <c r="EO26" i="136"/>
  <c r="NX30" i="136"/>
  <c r="NY12" i="136"/>
  <c r="EN36" i="136"/>
  <c r="EO36" i="136"/>
  <c r="BA7" i="136"/>
  <c r="AY7" i="136"/>
  <c r="NZ23" i="136"/>
  <c r="NW7" i="136"/>
  <c r="LM19" i="136"/>
  <c r="LO19" i="136" s="1"/>
  <c r="LQ19" i="136" s="1"/>
  <c r="NX13" i="136"/>
  <c r="NZ11" i="136"/>
  <c r="NX10" i="136"/>
  <c r="NZ16" i="136"/>
  <c r="AU7" i="136"/>
  <c r="GA19" i="136"/>
  <c r="EN21" i="136"/>
  <c r="EO21" i="136"/>
  <c r="NW32" i="136"/>
  <c r="NW12" i="136"/>
  <c r="NZ19" i="136"/>
  <c r="NW17" i="136"/>
  <c r="NY32" i="136"/>
  <c r="NX25" i="136"/>
  <c r="NY7" i="136"/>
  <c r="KE19" i="136"/>
  <c r="KF19" i="136" s="1"/>
  <c r="AW7" i="136"/>
  <c r="NY14" i="136"/>
  <c r="NX27" i="136"/>
  <c r="NY9" i="136"/>
  <c r="NZ18" i="136"/>
  <c r="NZ27" i="136"/>
  <c r="EN19" i="136"/>
  <c r="EO19" i="136"/>
  <c r="NX15" i="136"/>
  <c r="NY17" i="136"/>
  <c r="NW14" i="136"/>
  <c r="NZ33" i="136"/>
  <c r="NX11" i="136"/>
  <c r="NZ30" i="136"/>
  <c r="NX23" i="136"/>
  <c r="NZ25" i="136"/>
  <c r="NW9" i="136"/>
  <c r="NX16" i="136"/>
  <c r="NZ13" i="136"/>
  <c r="NX18" i="136"/>
  <c r="EN32" i="136"/>
  <c r="EO32" i="136"/>
  <c r="CI9" i="136"/>
  <c r="CI7" i="136"/>
  <c r="CI12" i="136"/>
  <c r="CI17" i="136"/>
  <c r="JS15" i="136"/>
  <c r="JW15" i="136"/>
  <c r="LM15" i="136" s="1"/>
  <c r="LO15" i="136" s="1"/>
  <c r="JW32" i="136"/>
  <c r="LM32" i="136" s="1"/>
  <c r="LO32" i="136" s="1"/>
  <c r="JX15" i="136"/>
  <c r="JX32" i="136"/>
  <c r="JW11" i="136"/>
  <c r="LM11" i="136" s="1"/>
  <c r="JS17" i="136"/>
  <c r="JS33" i="136"/>
  <c r="JZ15" i="136"/>
  <c r="JZ32" i="136"/>
  <c r="JP32" i="136"/>
  <c r="JY15" i="136"/>
  <c r="JO15" i="136"/>
  <c r="KE15" i="136" s="1"/>
  <c r="JY32" i="136"/>
  <c r="JO32" i="136"/>
  <c r="JX11" i="136"/>
  <c r="JT27" i="136"/>
  <c r="JX23" i="136"/>
  <c r="JT10" i="136"/>
  <c r="JX9" i="136"/>
  <c r="JT7" i="136"/>
  <c r="JX16" i="136"/>
  <c r="JT12" i="136"/>
  <c r="JX18" i="136"/>
  <c r="JW23" i="136"/>
  <c r="LM23" i="136" s="1"/>
  <c r="LO23" i="136" s="1"/>
  <c r="JW9" i="136"/>
  <c r="JW16" i="136"/>
  <c r="LM16" i="136" s="1"/>
  <c r="JW18" i="136"/>
  <c r="LM18" i="136" s="1"/>
  <c r="LO18" i="136" s="1"/>
  <c r="LQ18" i="136" s="1"/>
  <c r="CL30" i="136"/>
  <c r="NX8" i="136"/>
  <c r="CL9" i="136"/>
  <c r="CL8" i="136"/>
  <c r="CL25" i="136"/>
  <c r="JU17" i="136"/>
  <c r="JU33" i="136"/>
  <c r="NZ8" i="136"/>
  <c r="JS32" i="136"/>
  <c r="JR25" i="136"/>
  <c r="JR8" i="136"/>
  <c r="JR13" i="136"/>
  <c r="JV11" i="136"/>
  <c r="JZ30" i="136"/>
  <c r="JP30" i="136"/>
  <c r="JV23" i="136"/>
  <c r="JZ25" i="136"/>
  <c r="JP25" i="136"/>
  <c r="JV9" i="136"/>
  <c r="JZ8" i="136"/>
  <c r="JP8" i="136"/>
  <c r="JV16" i="136"/>
  <c r="JZ13" i="136"/>
  <c r="JP13" i="136"/>
  <c r="JV18" i="136"/>
  <c r="JV15" i="136"/>
  <c r="JV32" i="136"/>
  <c r="JU11" i="136"/>
  <c r="JU23" i="136"/>
  <c r="JU9" i="136"/>
  <c r="JU16" i="136"/>
  <c r="JU18" i="136"/>
  <c r="JU15" i="136"/>
  <c r="JU32" i="136"/>
  <c r="JT11" i="136"/>
  <c r="JX30" i="136"/>
  <c r="JT23" i="136"/>
  <c r="JX25" i="136"/>
  <c r="JT9" i="136"/>
  <c r="JX8" i="136"/>
  <c r="JT16" i="136"/>
  <c r="JX13" i="136"/>
  <c r="JT18" i="136"/>
  <c r="JT15" i="136"/>
  <c r="JT32" i="136"/>
  <c r="JS11" i="136"/>
  <c r="JS23" i="136"/>
  <c r="JS9" i="136"/>
  <c r="JS16" i="136"/>
  <c r="JS18" i="136"/>
  <c r="JR30" i="136"/>
  <c r="JV8" i="136"/>
  <c r="JV13" i="136"/>
  <c r="JR15" i="136"/>
  <c r="JR32" i="136"/>
  <c r="JQ11" i="136"/>
  <c r="JT17" i="136"/>
  <c r="JR14" i="136"/>
  <c r="JT33" i="136"/>
  <c r="JQ30" i="136"/>
  <c r="JS27" i="136"/>
  <c r="JQ25" i="136"/>
  <c r="JS10" i="136"/>
  <c r="JQ8" i="136"/>
  <c r="JS7" i="136"/>
  <c r="JQ13" i="136"/>
  <c r="JS12" i="136"/>
  <c r="JZ14" i="136"/>
  <c r="JO25" i="136"/>
  <c r="KE25" i="136" s="1"/>
  <c r="JY8" i="136"/>
  <c r="JW30" i="136"/>
  <c r="LM30" i="136" s="1"/>
  <c r="JV30" i="136"/>
  <c r="JV25" i="136"/>
  <c r="JO8" i="136"/>
  <c r="KE8" i="136" s="1"/>
  <c r="JY13" i="136"/>
  <c r="JX14" i="136"/>
  <c r="JV14" i="136"/>
  <c r="JU30" i="136"/>
  <c r="JU25" i="136"/>
  <c r="JU8" i="136"/>
  <c r="JU13" i="136"/>
  <c r="JP14" i="136"/>
  <c r="JO30" i="136"/>
  <c r="KE30" i="136" s="1"/>
  <c r="KG30" i="136" s="1"/>
  <c r="JY25" i="136"/>
  <c r="JO13" i="136"/>
  <c r="KE13" i="136" s="1"/>
  <c r="JW25" i="136"/>
  <c r="LM25" i="136" s="1"/>
  <c r="LO25" i="136" s="1"/>
  <c r="LQ25" i="136" s="1"/>
  <c r="LS25" i="136" s="1"/>
  <c r="JW8" i="136"/>
  <c r="LM8" i="136" s="1"/>
  <c r="LO8" i="136" s="1"/>
  <c r="LQ8" i="136" s="1"/>
  <c r="JW13" i="136"/>
  <c r="LM13" i="136" s="1"/>
  <c r="LO13" i="136" s="1"/>
  <c r="LQ13" i="136" s="1"/>
  <c r="LS13" i="136" s="1"/>
  <c r="JT30" i="136"/>
  <c r="JT25" i="136"/>
  <c r="JT8" i="136"/>
  <c r="JT13" i="136"/>
  <c r="JY30" i="136"/>
  <c r="JT14" i="136"/>
  <c r="JS30" i="136"/>
  <c r="JS25" i="136"/>
  <c r="JS8" i="136"/>
  <c r="JS13" i="136"/>
  <c r="JY14" i="136"/>
  <c r="JR33" i="136"/>
  <c r="JQ7" i="136"/>
  <c r="JW14" i="136"/>
  <c r="JQ33" i="136"/>
  <c r="JZ27" i="136"/>
  <c r="JP27" i="136"/>
  <c r="JZ10" i="136"/>
  <c r="JP10" i="136"/>
  <c r="JZ7" i="136"/>
  <c r="JP7" i="136"/>
  <c r="JZ12" i="136"/>
  <c r="JP12" i="136"/>
  <c r="JQ14" i="136"/>
  <c r="JQ17" i="136"/>
  <c r="JZ17" i="136"/>
  <c r="JP17" i="136"/>
  <c r="JZ33" i="136"/>
  <c r="JP33" i="136"/>
  <c r="JY27" i="136"/>
  <c r="JO27" i="136"/>
  <c r="KE27" i="136" s="1"/>
  <c r="KG27" i="136" s="1"/>
  <c r="JY10" i="136"/>
  <c r="JO10" i="136"/>
  <c r="KE10" i="136" s="1"/>
  <c r="JY7" i="136"/>
  <c r="JO7" i="136"/>
  <c r="JY12" i="136"/>
  <c r="JO12" i="136"/>
  <c r="JR10" i="136"/>
  <c r="JR17" i="136"/>
  <c r="JQ10" i="136"/>
  <c r="JQ12" i="136"/>
  <c r="JY17" i="136"/>
  <c r="JO17" i="136"/>
  <c r="JU14" i="136"/>
  <c r="JY33" i="136"/>
  <c r="JO33" i="136"/>
  <c r="KE33" i="136" s="1"/>
  <c r="KG33" i="136" s="1"/>
  <c r="JR11" i="136"/>
  <c r="JX27" i="136"/>
  <c r="JR23" i="136"/>
  <c r="JX10" i="136"/>
  <c r="JR9" i="136"/>
  <c r="JX7" i="136"/>
  <c r="JR16" i="136"/>
  <c r="JX12" i="136"/>
  <c r="JR18" i="136"/>
  <c r="JR27" i="136"/>
  <c r="JR12" i="136"/>
  <c r="JQ27" i="136"/>
  <c r="JX17" i="136"/>
  <c r="JX33" i="136"/>
  <c r="JW27" i="136"/>
  <c r="LM27" i="136" s="1"/>
  <c r="LO27" i="136" s="1"/>
  <c r="LQ27" i="136" s="1"/>
  <c r="LS27" i="136" s="1"/>
  <c r="JQ23" i="136"/>
  <c r="JW10" i="136"/>
  <c r="LM10" i="136" s="1"/>
  <c r="LO10" i="136" s="1"/>
  <c r="JQ9" i="136"/>
  <c r="JW7" i="136"/>
  <c r="JQ16" i="136"/>
  <c r="JW12" i="136"/>
  <c r="JQ18" i="136"/>
  <c r="JR7" i="136"/>
  <c r="JW17" i="136"/>
  <c r="JQ15" i="136"/>
  <c r="JS14" i="136"/>
  <c r="JW33" i="136"/>
  <c r="LM33" i="136" s="1"/>
  <c r="JQ32" i="136"/>
  <c r="JZ11" i="136"/>
  <c r="JP11" i="136"/>
  <c r="JV27" i="136"/>
  <c r="JZ23" i="136"/>
  <c r="JP23" i="136"/>
  <c r="JV10" i="136"/>
  <c r="JZ9" i="136"/>
  <c r="JP9" i="136"/>
  <c r="JV7" i="136"/>
  <c r="JZ16" i="136"/>
  <c r="JP16" i="136"/>
  <c r="JV12" i="136"/>
  <c r="JZ18" i="136"/>
  <c r="JP18" i="136"/>
  <c r="JO14" i="136"/>
  <c r="JV17" i="136"/>
  <c r="JP15" i="136"/>
  <c r="JV33" i="136"/>
  <c r="JY11" i="136"/>
  <c r="JO11" i="136"/>
  <c r="KE11" i="136" s="1"/>
  <c r="JU27" i="136"/>
  <c r="JY23" i="136"/>
  <c r="JO23" i="136"/>
  <c r="KE23" i="136" s="1"/>
  <c r="KG23" i="136" s="1"/>
  <c r="JU10" i="136"/>
  <c r="JY9" i="136"/>
  <c r="JO9" i="136"/>
  <c r="JU7" i="136"/>
  <c r="JY16" i="136"/>
  <c r="JO16" i="136"/>
  <c r="KE16" i="136" s="1"/>
  <c r="KG16" i="136" s="1"/>
  <c r="JU12" i="136"/>
  <c r="JY18" i="136"/>
  <c r="JO18" i="136"/>
  <c r="KE18" i="136" s="1"/>
  <c r="KG18" i="136" s="1"/>
  <c r="GC20" i="136"/>
  <c r="GM20" i="136" s="1"/>
  <c r="GU20" i="136" s="1"/>
  <c r="GO20" i="136"/>
  <c r="GE20" i="136"/>
  <c r="GQ20" i="136" s="1"/>
  <c r="GR20" i="136" s="1"/>
  <c r="GA20" i="136"/>
  <c r="GK20" i="136" s="1"/>
  <c r="GS20" i="136" s="1"/>
  <c r="FY13" i="136"/>
  <c r="GE13" i="136" s="1"/>
  <c r="GQ13" i="136" s="1"/>
  <c r="KU20" i="136"/>
  <c r="KW20" i="136" s="1"/>
  <c r="KY20" i="136" s="1"/>
  <c r="KF20" i="136"/>
  <c r="KH20" i="136" s="1"/>
  <c r="LN20" i="136"/>
  <c r="LP20" i="136" s="1"/>
  <c r="GB20" i="136"/>
  <c r="GO19" i="136"/>
  <c r="GC19" i="136"/>
  <c r="GE19" i="136"/>
  <c r="FZ19" i="136"/>
  <c r="KU19" i="136"/>
  <c r="GD20" i="136"/>
  <c r="KV19" i="136"/>
  <c r="KV20" i="136"/>
  <c r="LQ20" i="136"/>
  <c r="CM20" i="136"/>
  <c r="NN20" i="136" s="1"/>
  <c r="CM19" i="136"/>
  <c r="NN19" i="136" s="1"/>
  <c r="CI18" i="136"/>
  <c r="FY18" i="136"/>
  <c r="GE18" i="136" s="1"/>
  <c r="GQ18" i="136" s="1"/>
  <c r="FY10" i="136"/>
  <c r="FZ10" i="136" s="1"/>
  <c r="GF10" i="136" s="1"/>
  <c r="FY7" i="136"/>
  <c r="FY25" i="136"/>
  <c r="FZ25" i="136" s="1"/>
  <c r="GF25" i="136" s="1"/>
  <c r="FY27" i="136"/>
  <c r="FZ27" i="136" s="1"/>
  <c r="GB27" i="136" s="1"/>
  <c r="FY9" i="136"/>
  <c r="CI23" i="136"/>
  <c r="CI25" i="136"/>
  <c r="CI8" i="136"/>
  <c r="FY8" i="136"/>
  <c r="GC8" i="136" s="1"/>
  <c r="GM8" i="136" s="1"/>
  <c r="GU8" i="136" s="1"/>
  <c r="BB8" i="136"/>
  <c r="AV8" i="136"/>
  <c r="BR8" i="136" s="1"/>
  <c r="FY12" i="136"/>
  <c r="FY23" i="136"/>
  <c r="FZ23" i="136" s="1"/>
  <c r="GB23" i="136" s="1"/>
  <c r="FY16" i="136"/>
  <c r="FZ16" i="136" s="1"/>
  <c r="GF16" i="136" s="1"/>
  <c r="AZ7" i="136"/>
  <c r="FY11" i="136"/>
  <c r="GC11" i="136" s="1"/>
  <c r="GM11" i="136" s="1"/>
  <c r="BB7" i="136"/>
  <c r="FY30" i="136"/>
  <c r="GC30" i="136" s="1"/>
  <c r="GM30" i="136" s="1"/>
  <c r="AX8" i="136"/>
  <c r="AW8" i="136"/>
  <c r="AX7" i="136"/>
  <c r="CL27" i="136"/>
  <c r="CL23" i="136"/>
  <c r="CL10" i="136"/>
  <c r="CI27" i="136"/>
  <c r="CI10" i="136"/>
  <c r="CL17" i="136"/>
  <c r="CI16" i="136"/>
  <c r="AZ8" i="136"/>
  <c r="AV7" i="136"/>
  <c r="CL18" i="136"/>
  <c r="CL13" i="136"/>
  <c r="FY32" i="136"/>
  <c r="FY14" i="136"/>
  <c r="FY15" i="136"/>
  <c r="GA15" i="136" s="1"/>
  <c r="GK15" i="136" s="1"/>
  <c r="GS15" i="136" s="1"/>
  <c r="FY17" i="136"/>
  <c r="FY33" i="136"/>
  <c r="FZ33" i="136" s="1"/>
  <c r="GD33" i="136" s="1"/>
  <c r="FQ34" i="136"/>
  <c r="FR34" i="136"/>
  <c r="FS34" i="136"/>
  <c r="FT34" i="136"/>
  <c r="FU34" i="136"/>
  <c r="FV34" i="136"/>
  <c r="FW34" i="136"/>
  <c r="FX34" i="136"/>
  <c r="FQ35" i="136"/>
  <c r="FR35" i="136"/>
  <c r="FS35" i="136"/>
  <c r="FT35" i="136"/>
  <c r="FU35" i="136"/>
  <c r="FV35" i="136"/>
  <c r="FW35" i="136"/>
  <c r="FX35" i="136"/>
  <c r="D34" i="136"/>
  <c r="NR34" i="136" s="1"/>
  <c r="D35" i="136"/>
  <c r="NR35" i="136" s="1"/>
  <c r="JA36" i="136"/>
  <c r="JB36" i="136"/>
  <c r="JC36" i="136"/>
  <c r="JD36" i="136"/>
  <c r="JE36" i="136"/>
  <c r="JF36" i="136"/>
  <c r="JG36" i="136"/>
  <c r="JH36" i="136"/>
  <c r="JI36" i="136"/>
  <c r="JJ36" i="136"/>
  <c r="JK36" i="136"/>
  <c r="JL36" i="136"/>
  <c r="JM36" i="136"/>
  <c r="JN36" i="136"/>
  <c r="JA37" i="136"/>
  <c r="JB37" i="136"/>
  <c r="JC37" i="136"/>
  <c r="JD37" i="136"/>
  <c r="JE37" i="136"/>
  <c r="NW37" i="136" s="1"/>
  <c r="JF37" i="136"/>
  <c r="JG37" i="136"/>
  <c r="JH37" i="136"/>
  <c r="JI37" i="136"/>
  <c r="NY37" i="136" s="1"/>
  <c r="JJ37" i="136"/>
  <c r="JK37" i="136"/>
  <c r="JL37" i="136"/>
  <c r="JM37" i="136"/>
  <c r="JN37" i="136"/>
  <c r="JA34" i="136"/>
  <c r="JB34" i="136"/>
  <c r="JC34" i="136"/>
  <c r="JD34" i="136"/>
  <c r="JE34" i="136"/>
  <c r="JF34" i="136"/>
  <c r="JG34" i="136"/>
  <c r="JH34" i="136"/>
  <c r="JI34" i="136"/>
  <c r="JJ34" i="136"/>
  <c r="JK34" i="136"/>
  <c r="JL34" i="136"/>
  <c r="JM34" i="136"/>
  <c r="JN34" i="136"/>
  <c r="JA35" i="136"/>
  <c r="JB35" i="136"/>
  <c r="JC35" i="136"/>
  <c r="JD35" i="136"/>
  <c r="JE35" i="136"/>
  <c r="NW35" i="136" s="1"/>
  <c r="JF35" i="136"/>
  <c r="JG35" i="136"/>
  <c r="JH35" i="136"/>
  <c r="JI35" i="136"/>
  <c r="NY35" i="136" s="1"/>
  <c r="JJ35" i="136"/>
  <c r="JK35" i="136"/>
  <c r="JL35" i="136"/>
  <c r="JM35" i="136"/>
  <c r="JN35" i="136"/>
  <c r="FQ36" i="136"/>
  <c r="FR36" i="136"/>
  <c r="FS36" i="136"/>
  <c r="FT36" i="136"/>
  <c r="FU36" i="136"/>
  <c r="FV36" i="136"/>
  <c r="FW36" i="136"/>
  <c r="FX36" i="136"/>
  <c r="FQ37" i="136"/>
  <c r="FR37" i="136"/>
  <c r="FS37" i="136"/>
  <c r="FT37" i="136"/>
  <c r="FU37" i="136"/>
  <c r="FV37" i="136"/>
  <c r="FW37" i="136"/>
  <c r="FX37" i="136"/>
  <c r="NM18" i="136" l="1"/>
  <c r="NM23" i="136"/>
  <c r="NM27" i="136"/>
  <c r="NM17" i="136"/>
  <c r="NM9" i="136"/>
  <c r="NM8" i="136"/>
  <c r="NM25" i="136"/>
  <c r="NM30" i="136"/>
  <c r="NM13" i="136"/>
  <c r="NM10" i="136"/>
  <c r="NZ7" i="136"/>
  <c r="LN19" i="136"/>
  <c r="LP19" i="136" s="1"/>
  <c r="LR19" i="136" s="1"/>
  <c r="NY36" i="136"/>
  <c r="GF19" i="136"/>
  <c r="NU20" i="136"/>
  <c r="NW34" i="136"/>
  <c r="GQ19" i="136"/>
  <c r="NZ32" i="136"/>
  <c r="NU19" i="136"/>
  <c r="GK19" i="136"/>
  <c r="GM19" i="136"/>
  <c r="KE7" i="136"/>
  <c r="KF7" i="136" s="1"/>
  <c r="NZ17" i="136"/>
  <c r="KE14" i="136"/>
  <c r="LM7" i="136"/>
  <c r="LN7" i="136" s="1"/>
  <c r="KE32" i="136"/>
  <c r="KF32" i="136" s="1"/>
  <c r="NX9" i="136"/>
  <c r="NZ9" i="136"/>
  <c r="KG19" i="136"/>
  <c r="NX12" i="136"/>
  <c r="NZ35" i="136"/>
  <c r="NX35" i="136"/>
  <c r="NY34" i="136"/>
  <c r="NW36" i="136"/>
  <c r="FZ17" i="136"/>
  <c r="GB17" i="136" s="1"/>
  <c r="FZ7" i="136"/>
  <c r="KE9" i="136"/>
  <c r="NX7" i="136"/>
  <c r="LM9" i="136"/>
  <c r="LO9" i="136" s="1"/>
  <c r="LQ9" i="136" s="1"/>
  <c r="LS9" i="136" s="1"/>
  <c r="NX32" i="136"/>
  <c r="LM17" i="136"/>
  <c r="LO17" i="136" s="1"/>
  <c r="LQ17" i="136" s="1"/>
  <c r="LS17" i="136" s="1"/>
  <c r="LM12" i="136"/>
  <c r="LO12" i="136" s="1"/>
  <c r="LQ12" i="136" s="1"/>
  <c r="KW19" i="136"/>
  <c r="KX19" i="136" s="1"/>
  <c r="GY20" i="136"/>
  <c r="NZ12" i="136"/>
  <c r="FZ9" i="136"/>
  <c r="GF9" i="136" s="1"/>
  <c r="KE17" i="136"/>
  <c r="KF17" i="136" s="1"/>
  <c r="FZ14" i="136"/>
  <c r="GC12" i="136"/>
  <c r="LM14" i="136"/>
  <c r="LO14" i="136" s="1"/>
  <c r="LQ14" i="136" s="1"/>
  <c r="LS14" i="136" s="1"/>
  <c r="NX17" i="136"/>
  <c r="GC32" i="136"/>
  <c r="KE12" i="136"/>
  <c r="KF12" i="136" s="1"/>
  <c r="NX14" i="136"/>
  <c r="NZ14" i="136"/>
  <c r="CM9" i="136"/>
  <c r="CM30" i="136"/>
  <c r="GP20" i="136"/>
  <c r="GW19" i="136"/>
  <c r="JP34" i="136"/>
  <c r="JZ34" i="136"/>
  <c r="JY35" i="136"/>
  <c r="JO35" i="136"/>
  <c r="KE35" i="136" s="1"/>
  <c r="JY36" i="136"/>
  <c r="JO36" i="136"/>
  <c r="JX35" i="136"/>
  <c r="JR34" i="136"/>
  <c r="JX36" i="136"/>
  <c r="JW35" i="136"/>
  <c r="LM35" i="136" s="1"/>
  <c r="LO35" i="136" s="1"/>
  <c r="JS37" i="136"/>
  <c r="JW36" i="136"/>
  <c r="KU13" i="136"/>
  <c r="KW13" i="136" s="1"/>
  <c r="KY13" i="136" s="1"/>
  <c r="JV35" i="136"/>
  <c r="JV36" i="136"/>
  <c r="JU35" i="136"/>
  <c r="JU36" i="136"/>
  <c r="JT35" i="136"/>
  <c r="JX34" i="136"/>
  <c r="JT36" i="136"/>
  <c r="JU37" i="136"/>
  <c r="JT37" i="136"/>
  <c r="JV34" i="136"/>
  <c r="GN20" i="136"/>
  <c r="GV20" i="136" s="1"/>
  <c r="JS35" i="136"/>
  <c r="JW34" i="136"/>
  <c r="JQ37" i="136"/>
  <c r="JS36" i="136"/>
  <c r="JR37" i="136"/>
  <c r="JZ37" i="136"/>
  <c r="JP37" i="136"/>
  <c r="JY34" i="136"/>
  <c r="JU34" i="136"/>
  <c r="JO37" i="136"/>
  <c r="KE37" i="136" s="1"/>
  <c r="KG37" i="136" s="1"/>
  <c r="JR35" i="136"/>
  <c r="JT34" i="136"/>
  <c r="JX37" i="136"/>
  <c r="JR36" i="136"/>
  <c r="JQ34" i="136"/>
  <c r="JO34" i="136"/>
  <c r="JY37" i="136"/>
  <c r="JQ35" i="136"/>
  <c r="JS34" i="136"/>
  <c r="JW37" i="136"/>
  <c r="LM37" i="136" s="1"/>
  <c r="LO37" i="136" s="1"/>
  <c r="LQ37" i="136" s="1"/>
  <c r="LS37" i="136" s="1"/>
  <c r="JQ36" i="136"/>
  <c r="JZ35" i="136"/>
  <c r="JP35" i="136"/>
  <c r="JV37" i="136"/>
  <c r="JZ36" i="136"/>
  <c r="JP36" i="136"/>
  <c r="KU15" i="136"/>
  <c r="KW15" i="136" s="1"/>
  <c r="KY15" i="136" s="1"/>
  <c r="KU16" i="136"/>
  <c r="KW16" i="136" s="1"/>
  <c r="KY16" i="136" s="1"/>
  <c r="LN13" i="136"/>
  <c r="LP13" i="136" s="1"/>
  <c r="LR13" i="136" s="1"/>
  <c r="LT13" i="136" s="1"/>
  <c r="GO13" i="136"/>
  <c r="FZ13" i="136"/>
  <c r="GB13" i="136" s="1"/>
  <c r="GA13" i="136"/>
  <c r="GK13" i="136" s="1"/>
  <c r="GS13" i="136" s="1"/>
  <c r="KU8" i="136"/>
  <c r="KW8" i="136" s="1"/>
  <c r="KY8" i="136" s="1"/>
  <c r="KV8" i="136"/>
  <c r="LN8" i="136"/>
  <c r="LP8" i="136" s="1"/>
  <c r="LR8" i="136" s="1"/>
  <c r="GC13" i="136"/>
  <c r="GM13" i="136" s="1"/>
  <c r="GU13" i="136" s="1"/>
  <c r="GW20" i="136"/>
  <c r="KV16" i="136"/>
  <c r="GL20" i="136"/>
  <c r="GT20" i="136" s="1"/>
  <c r="GD19" i="136"/>
  <c r="GB19" i="136"/>
  <c r="KX20" i="136"/>
  <c r="KZ20" i="136" s="1"/>
  <c r="GP19" i="136"/>
  <c r="EP30" i="136"/>
  <c r="LS20" i="136"/>
  <c r="LR20" i="136"/>
  <c r="EP20" i="136"/>
  <c r="EP19" i="136"/>
  <c r="LS19" i="136"/>
  <c r="KU25" i="136"/>
  <c r="KW25" i="136" s="1"/>
  <c r="KY25" i="136" s="1"/>
  <c r="KU27" i="136"/>
  <c r="KW27" i="136" s="1"/>
  <c r="KY27" i="136" s="1"/>
  <c r="LN30" i="136"/>
  <c r="LN27" i="136"/>
  <c r="LP27" i="136" s="1"/>
  <c r="LR27" i="136" s="1"/>
  <c r="LT27" i="136" s="1"/>
  <c r="LN25" i="136"/>
  <c r="LP25" i="136" s="1"/>
  <c r="LR25" i="136" s="1"/>
  <c r="LT25" i="136" s="1"/>
  <c r="KU7" i="136"/>
  <c r="KV7" i="136"/>
  <c r="KV13" i="136"/>
  <c r="KU10" i="136"/>
  <c r="KW10" i="136" s="1"/>
  <c r="KY10" i="136" s="1"/>
  <c r="LN10" i="136"/>
  <c r="LP10" i="136" s="1"/>
  <c r="KU14" i="136"/>
  <c r="KV25" i="136"/>
  <c r="KV30" i="136"/>
  <c r="LO30" i="136"/>
  <c r="KV10" i="136"/>
  <c r="KU12" i="136"/>
  <c r="KU30" i="136"/>
  <c r="KW30" i="136" s="1"/>
  <c r="KY30" i="136" s="1"/>
  <c r="KU9" i="136"/>
  <c r="LN32" i="136"/>
  <c r="LP32" i="136" s="1"/>
  <c r="KU32" i="136"/>
  <c r="KV9" i="136"/>
  <c r="KV18" i="136"/>
  <c r="LN18" i="136"/>
  <c r="LP18" i="136" s="1"/>
  <c r="LR18" i="136" s="1"/>
  <c r="KU18" i="136"/>
  <c r="KW18" i="136" s="1"/>
  <c r="KY18" i="136" s="1"/>
  <c r="GO18" i="136"/>
  <c r="GA25" i="136"/>
  <c r="GK25" i="136" s="1"/>
  <c r="GS25" i="136" s="1"/>
  <c r="KV12" i="136"/>
  <c r="KV27" i="136"/>
  <c r="GE10" i="136"/>
  <c r="GQ10" i="136" s="1"/>
  <c r="GR10" i="136" s="1"/>
  <c r="GO9" i="136"/>
  <c r="GA18" i="136"/>
  <c r="GK18" i="136" s="1"/>
  <c r="GS18" i="136" s="1"/>
  <c r="GC18" i="136"/>
  <c r="GM18" i="136" s="1"/>
  <c r="GU18" i="136" s="1"/>
  <c r="GE12" i="136"/>
  <c r="GA12" i="136"/>
  <c r="GE9" i="136"/>
  <c r="KF18" i="136"/>
  <c r="KH18" i="136" s="1"/>
  <c r="GA10" i="136"/>
  <c r="GK10" i="136" s="1"/>
  <c r="GS10" i="136" s="1"/>
  <c r="GO10" i="136"/>
  <c r="KF25" i="136"/>
  <c r="GC10" i="136"/>
  <c r="GM10" i="136" s="1"/>
  <c r="GU10" i="136" s="1"/>
  <c r="GO25" i="136"/>
  <c r="GE25" i="136"/>
  <c r="GQ25" i="136" s="1"/>
  <c r="GR25" i="136" s="1"/>
  <c r="GC25" i="136"/>
  <c r="GM25" i="136" s="1"/>
  <c r="GU25" i="136" s="1"/>
  <c r="KU11" i="136"/>
  <c r="KW11" i="136" s="1"/>
  <c r="KY11" i="136" s="1"/>
  <c r="GO23" i="136"/>
  <c r="GA23" i="136"/>
  <c r="GK23" i="136" s="1"/>
  <c r="GL23" i="136" s="1"/>
  <c r="GC9" i="136"/>
  <c r="GB25" i="136"/>
  <c r="FZ18" i="136"/>
  <c r="GD18" i="136" s="1"/>
  <c r="GE7" i="136"/>
  <c r="GO7" i="136"/>
  <c r="GC7" i="136"/>
  <c r="GA7" i="136"/>
  <c r="GA11" i="136"/>
  <c r="GK11" i="136" s="1"/>
  <c r="GS11" i="136" s="1"/>
  <c r="LN23" i="136"/>
  <c r="LP23" i="136" s="1"/>
  <c r="GF27" i="136"/>
  <c r="KU23" i="136"/>
  <c r="KW23" i="136" s="1"/>
  <c r="KY23" i="136" s="1"/>
  <c r="GO27" i="136"/>
  <c r="GA27" i="136"/>
  <c r="GK27" i="136" s="1"/>
  <c r="GS27" i="136" s="1"/>
  <c r="GE27" i="136"/>
  <c r="GQ27" i="136" s="1"/>
  <c r="KG25" i="136"/>
  <c r="GD27" i="136"/>
  <c r="GC27" i="136"/>
  <c r="GM27" i="136" s="1"/>
  <c r="GU27" i="136" s="1"/>
  <c r="FZ11" i="136"/>
  <c r="GF11" i="136" s="1"/>
  <c r="KV23" i="136"/>
  <c r="GA32" i="136"/>
  <c r="GD23" i="136"/>
  <c r="GE11" i="136"/>
  <c r="GQ11" i="136" s="1"/>
  <c r="GO8" i="136"/>
  <c r="GA8" i="136"/>
  <c r="GK8" i="136" s="1"/>
  <c r="GS8" i="136" s="1"/>
  <c r="GY8" i="136" s="1"/>
  <c r="FZ8" i="136"/>
  <c r="GF8" i="136" s="1"/>
  <c r="KF16" i="136"/>
  <c r="KH16" i="136" s="1"/>
  <c r="GO12" i="136"/>
  <c r="FZ12" i="136"/>
  <c r="GA9" i="136"/>
  <c r="GC23" i="136"/>
  <c r="GM23" i="136" s="1"/>
  <c r="GU23" i="136" s="1"/>
  <c r="KF27" i="136"/>
  <c r="KH27" i="136" s="1"/>
  <c r="KV11" i="136"/>
  <c r="GF23" i="136"/>
  <c r="CM8" i="136"/>
  <c r="GO11" i="136"/>
  <c r="NU11" i="136" s="1"/>
  <c r="GD25" i="136"/>
  <c r="GE8" i="136"/>
  <c r="GQ8" i="136" s="1"/>
  <c r="GO30" i="136"/>
  <c r="KF23" i="136"/>
  <c r="KH23" i="136" s="1"/>
  <c r="GE32" i="136"/>
  <c r="GE16" i="136"/>
  <c r="GQ16" i="136" s="1"/>
  <c r="GR16" i="136" s="1"/>
  <c r="GE23" i="136"/>
  <c r="GQ23" i="136" s="1"/>
  <c r="GB16" i="136"/>
  <c r="GD16" i="136"/>
  <c r="GA16" i="136"/>
  <c r="GK16" i="136" s="1"/>
  <c r="GS16" i="136" s="1"/>
  <c r="GC16" i="136"/>
  <c r="GM16" i="136" s="1"/>
  <c r="GU16" i="136" s="1"/>
  <c r="GO32" i="136"/>
  <c r="GO16" i="136"/>
  <c r="NU16" i="136" s="1"/>
  <c r="KF30" i="136"/>
  <c r="KH30" i="136" s="1"/>
  <c r="FZ32" i="136"/>
  <c r="GA30" i="136"/>
  <c r="GK30" i="136" s="1"/>
  <c r="GS30" i="136" s="1"/>
  <c r="GE30" i="136"/>
  <c r="GQ30" i="136" s="1"/>
  <c r="FZ30" i="136"/>
  <c r="GF30" i="136" s="1"/>
  <c r="LN16" i="136"/>
  <c r="LO16" i="136"/>
  <c r="KF10" i="136"/>
  <c r="KG10" i="136"/>
  <c r="LS18" i="136"/>
  <c r="LQ10" i="136"/>
  <c r="KF11" i="136"/>
  <c r="KG11" i="136"/>
  <c r="LQ23" i="136"/>
  <c r="KG8" i="136"/>
  <c r="KF8" i="136"/>
  <c r="KF13" i="136"/>
  <c r="KG13" i="136"/>
  <c r="LN11" i="136"/>
  <c r="LO11" i="136"/>
  <c r="LS8" i="136"/>
  <c r="GU11" i="136"/>
  <c r="GU30" i="136"/>
  <c r="GB10" i="136"/>
  <c r="GD10" i="136"/>
  <c r="CM25" i="136"/>
  <c r="EP23" i="136"/>
  <c r="CM23" i="136"/>
  <c r="CL16" i="136"/>
  <c r="CM18" i="136"/>
  <c r="NN18" i="136" s="1"/>
  <c r="EP18" i="136"/>
  <c r="EP9" i="136"/>
  <c r="EP25" i="136"/>
  <c r="EP10" i="136"/>
  <c r="CM10" i="136"/>
  <c r="CL11" i="136"/>
  <c r="CL12" i="136"/>
  <c r="CM13" i="136"/>
  <c r="NN13" i="136" s="1"/>
  <c r="EP13" i="136"/>
  <c r="CM17" i="136"/>
  <c r="NN17" i="136" s="1"/>
  <c r="EP17" i="136"/>
  <c r="EP8" i="136"/>
  <c r="CM27" i="136"/>
  <c r="NN27" i="136" s="1"/>
  <c r="EP27" i="136"/>
  <c r="LN15" i="136"/>
  <c r="LP15" i="136" s="1"/>
  <c r="KV17" i="136"/>
  <c r="KU17" i="136"/>
  <c r="KV14" i="136"/>
  <c r="FZ15" i="136"/>
  <c r="GD15" i="136" s="1"/>
  <c r="LN33" i="136"/>
  <c r="GE15" i="136"/>
  <c r="GQ15" i="136" s="1"/>
  <c r="KV15" i="136"/>
  <c r="KU33" i="136"/>
  <c r="KW33" i="136" s="1"/>
  <c r="KY33" i="136" s="1"/>
  <c r="KV33" i="136"/>
  <c r="LO33" i="136"/>
  <c r="LQ33" i="136" s="1"/>
  <c r="LS33" i="136" s="1"/>
  <c r="KF33" i="136"/>
  <c r="KH33" i="136" s="1"/>
  <c r="GC33" i="136"/>
  <c r="GM33" i="136" s="1"/>
  <c r="GU33" i="136" s="1"/>
  <c r="GO14" i="136"/>
  <c r="GA14" i="136"/>
  <c r="GE14" i="136"/>
  <c r="GC14" i="136"/>
  <c r="KV32" i="136"/>
  <c r="GO33" i="136"/>
  <c r="NU33" i="136" s="1"/>
  <c r="GO15" i="136"/>
  <c r="GE33" i="136"/>
  <c r="GQ33" i="136" s="1"/>
  <c r="GC15" i="136"/>
  <c r="GM15" i="136" s="1"/>
  <c r="GU15" i="136" s="1"/>
  <c r="GY15" i="136" s="1"/>
  <c r="GE17" i="136"/>
  <c r="GC17" i="136"/>
  <c r="GO17" i="136"/>
  <c r="GA33" i="136"/>
  <c r="GK33" i="136" s="1"/>
  <c r="GS33" i="136" s="1"/>
  <c r="GA17" i="136"/>
  <c r="KF15" i="136"/>
  <c r="KG15" i="136"/>
  <c r="LQ15" i="136"/>
  <c r="LQ32" i="136"/>
  <c r="GF17" i="136"/>
  <c r="GB33" i="136"/>
  <c r="GF33" i="136"/>
  <c r="FY35" i="136"/>
  <c r="GO35" i="136" s="1"/>
  <c r="FY34" i="136"/>
  <c r="FY36" i="136"/>
  <c r="FY37" i="136"/>
  <c r="GO37" i="136" s="1"/>
  <c r="FQ22" i="136"/>
  <c r="FR22" i="136"/>
  <c r="FS22" i="136"/>
  <c r="FT22" i="136"/>
  <c r="FU22" i="136"/>
  <c r="FV22" i="136"/>
  <c r="FW22" i="136"/>
  <c r="FX22" i="136"/>
  <c r="FQ26" i="136"/>
  <c r="FR26" i="136"/>
  <c r="FS26" i="136"/>
  <c r="FT26" i="136"/>
  <c r="FU26" i="136"/>
  <c r="FV26" i="136"/>
  <c r="FW26" i="136"/>
  <c r="FX26" i="136"/>
  <c r="FQ29" i="136"/>
  <c r="FR29" i="136"/>
  <c r="FS29" i="136"/>
  <c r="FT29" i="136"/>
  <c r="FU29" i="136"/>
  <c r="FV29" i="136"/>
  <c r="FW29" i="136"/>
  <c r="FX29" i="136"/>
  <c r="JA22" i="136"/>
  <c r="JB22" i="136"/>
  <c r="JC22" i="136"/>
  <c r="JD22" i="136"/>
  <c r="JE22" i="136"/>
  <c r="NW22" i="136" s="1"/>
  <c r="JF22" i="136"/>
  <c r="JG22" i="136"/>
  <c r="JH22" i="136"/>
  <c r="JI22" i="136"/>
  <c r="NY22" i="136" s="1"/>
  <c r="JJ22" i="136"/>
  <c r="JK22" i="136"/>
  <c r="JL22" i="136"/>
  <c r="JM22" i="136"/>
  <c r="JN22" i="136"/>
  <c r="JA26" i="136"/>
  <c r="JB26" i="136"/>
  <c r="JC26" i="136"/>
  <c r="JD26" i="136"/>
  <c r="JE26" i="136"/>
  <c r="JF26" i="136"/>
  <c r="JG26" i="136"/>
  <c r="JH26" i="136"/>
  <c r="JI26" i="136"/>
  <c r="JJ26" i="136"/>
  <c r="JK26" i="136"/>
  <c r="JL26" i="136"/>
  <c r="JM26" i="136"/>
  <c r="JN26" i="136"/>
  <c r="JA29" i="136"/>
  <c r="JB29" i="136"/>
  <c r="JC29" i="136"/>
  <c r="JD29" i="136"/>
  <c r="JE29" i="136"/>
  <c r="JF29" i="136"/>
  <c r="JG29" i="136"/>
  <c r="JH29" i="136"/>
  <c r="JI29" i="136"/>
  <c r="JJ29" i="136"/>
  <c r="JK29" i="136"/>
  <c r="JL29" i="136"/>
  <c r="JM29" i="136"/>
  <c r="JN29" i="136"/>
  <c r="D22" i="136"/>
  <c r="NR22" i="136" s="1"/>
  <c r="FX21" i="136"/>
  <c r="FW21" i="136"/>
  <c r="FV21" i="136"/>
  <c r="FU21" i="136"/>
  <c r="FT21" i="136"/>
  <c r="FS21" i="136"/>
  <c r="FR21" i="136"/>
  <c r="FQ21" i="136"/>
  <c r="NN9" i="136" l="1"/>
  <c r="NN23" i="136"/>
  <c r="NN10" i="136"/>
  <c r="NN25" i="136"/>
  <c r="NN8" i="136"/>
  <c r="NN30" i="136"/>
  <c r="NM12" i="136"/>
  <c r="NM16" i="136"/>
  <c r="GD17" i="136"/>
  <c r="LN14" i="136"/>
  <c r="LP14" i="136" s="1"/>
  <c r="LR14" i="136" s="1"/>
  <c r="LT14" i="136" s="1"/>
  <c r="NM11" i="136"/>
  <c r="NS11" i="136"/>
  <c r="LO7" i="136"/>
  <c r="LQ7" i="136" s="1"/>
  <c r="LS7" i="136" s="1"/>
  <c r="NV20" i="136"/>
  <c r="GY27" i="136"/>
  <c r="GB9" i="136"/>
  <c r="GY11" i="136"/>
  <c r="LN9" i="136"/>
  <c r="LP9" i="136" s="1"/>
  <c r="LR9" i="136" s="1"/>
  <c r="LT9" i="136" s="1"/>
  <c r="GY33" i="136"/>
  <c r="GY30" i="136"/>
  <c r="GY10" i="136"/>
  <c r="GY25" i="136"/>
  <c r="GR19" i="136"/>
  <c r="GY13" i="136"/>
  <c r="GZ20" i="136"/>
  <c r="LN12" i="136"/>
  <c r="LP12" i="136" s="1"/>
  <c r="LR12" i="136" s="1"/>
  <c r="NX22" i="136"/>
  <c r="NU18" i="136"/>
  <c r="KG9" i="136"/>
  <c r="KF9" i="136"/>
  <c r="NU15" i="136"/>
  <c r="GF7" i="136"/>
  <c r="GC34" i="136"/>
  <c r="GQ7" i="136"/>
  <c r="NU10" i="136"/>
  <c r="KW7" i="136"/>
  <c r="LM36" i="136"/>
  <c r="LO36" i="136" s="1"/>
  <c r="LQ36" i="136" s="1"/>
  <c r="NU27" i="136"/>
  <c r="GQ14" i="136"/>
  <c r="GU19" i="136"/>
  <c r="GO36" i="136"/>
  <c r="NU32" i="136"/>
  <c r="NW26" i="136"/>
  <c r="NU35" i="136"/>
  <c r="GY16" i="136"/>
  <c r="KW12" i="136"/>
  <c r="KX12" i="136" s="1"/>
  <c r="GM32" i="136"/>
  <c r="GM12" i="136"/>
  <c r="KG7" i="136"/>
  <c r="NV19" i="136"/>
  <c r="GK12" i="136"/>
  <c r="GM14" i="136"/>
  <c r="GK17" i="136"/>
  <c r="GL17" i="136" s="1"/>
  <c r="GM9" i="136"/>
  <c r="GD14" i="136"/>
  <c r="NU13" i="136"/>
  <c r="NX34" i="136"/>
  <c r="NY29" i="136"/>
  <c r="GQ12" i="136"/>
  <c r="GL19" i="136"/>
  <c r="CL7" i="136"/>
  <c r="LN17" i="136"/>
  <c r="LP17" i="136" s="1"/>
  <c r="LR17" i="136" s="1"/>
  <c r="LT17" i="136" s="1"/>
  <c r="GQ32" i="136"/>
  <c r="KE36" i="136"/>
  <c r="GB14" i="136"/>
  <c r="GQ17" i="136"/>
  <c r="GD32" i="136"/>
  <c r="GK9" i="136"/>
  <c r="GM7" i="136"/>
  <c r="GY18" i="136"/>
  <c r="KW32" i="136"/>
  <c r="KX32" i="136" s="1"/>
  <c r="KE34" i="136"/>
  <c r="KF34" i="136" s="1"/>
  <c r="KG32" i="136"/>
  <c r="KG14" i="136"/>
  <c r="GK14" i="136"/>
  <c r="GQ9" i="136"/>
  <c r="NU17" i="136"/>
  <c r="NU23" i="136"/>
  <c r="GM17" i="136"/>
  <c r="GK32" i="136"/>
  <c r="KF14" i="136"/>
  <c r="GK7" i="136"/>
  <c r="KW14" i="136"/>
  <c r="GF14" i="136"/>
  <c r="GD12" i="136"/>
  <c r="NU25" i="136"/>
  <c r="NU9" i="136"/>
  <c r="KG17" i="136"/>
  <c r="NU14" i="136"/>
  <c r="KY19" i="136"/>
  <c r="GB7" i="136"/>
  <c r="GN19" i="136"/>
  <c r="NY26" i="136"/>
  <c r="NW29" i="136"/>
  <c r="NZ22" i="136"/>
  <c r="NU37" i="136"/>
  <c r="NU30" i="136"/>
  <c r="NU12" i="136"/>
  <c r="GD7" i="136"/>
  <c r="KW9" i="136"/>
  <c r="KX9" i="136" s="1"/>
  <c r="LM34" i="136"/>
  <c r="LO34" i="136" s="1"/>
  <c r="LQ34" i="136" s="1"/>
  <c r="LS34" i="136" s="1"/>
  <c r="NZ34" i="136"/>
  <c r="GS19" i="136"/>
  <c r="KW17" i="136"/>
  <c r="KX17" i="136" s="1"/>
  <c r="KG12" i="136"/>
  <c r="GD9" i="136"/>
  <c r="KH19" i="136"/>
  <c r="GX20" i="136"/>
  <c r="GX19" i="136"/>
  <c r="JT26" i="136"/>
  <c r="JS26" i="136"/>
  <c r="KX15" i="136"/>
  <c r="KZ15" i="136" s="1"/>
  <c r="GW8" i="136"/>
  <c r="NU8" i="136"/>
  <c r="GW27" i="136"/>
  <c r="GW17" i="136"/>
  <c r="GW18" i="136"/>
  <c r="GP14" i="136"/>
  <c r="GW23" i="136"/>
  <c r="GW7" i="136"/>
  <c r="NU7" i="136"/>
  <c r="GP25" i="136"/>
  <c r="GW9" i="136"/>
  <c r="GW13" i="136"/>
  <c r="GW37" i="136"/>
  <c r="GW15" i="136"/>
  <c r="GW16" i="136"/>
  <c r="GW30" i="136"/>
  <c r="GW12" i="136"/>
  <c r="GW33" i="136"/>
  <c r="GW32" i="136"/>
  <c r="GP10" i="136"/>
  <c r="GW11" i="136"/>
  <c r="JY26" i="136"/>
  <c r="JO26" i="136"/>
  <c r="JW26" i="136"/>
  <c r="JT29" i="136"/>
  <c r="JV26" i="136"/>
  <c r="KX13" i="136"/>
  <c r="KZ13" i="136" s="1"/>
  <c r="JS29" i="136"/>
  <c r="JU26" i="136"/>
  <c r="JV29" i="136"/>
  <c r="JX26" i="136"/>
  <c r="JW29" i="136"/>
  <c r="JU29" i="136"/>
  <c r="JZ29" i="136"/>
  <c r="JP29" i="136"/>
  <c r="JR26" i="136"/>
  <c r="JY29" i="136"/>
  <c r="JO29" i="136"/>
  <c r="JQ26" i="136"/>
  <c r="JX29" i="136"/>
  <c r="JZ26" i="136"/>
  <c r="JP26" i="136"/>
  <c r="JR22" i="136"/>
  <c r="JW22" i="136"/>
  <c r="LM22" i="136" s="1"/>
  <c r="LO22" i="136" s="1"/>
  <c r="JV22" i="136"/>
  <c r="JQ22" i="136"/>
  <c r="JZ22" i="136"/>
  <c r="JY22" i="136"/>
  <c r="JR29" i="136"/>
  <c r="JT22" i="136"/>
  <c r="JP22" i="136"/>
  <c r="JO22" i="136"/>
  <c r="KE22" i="136" s="1"/>
  <c r="KG22" i="136" s="1"/>
  <c r="JX22" i="136"/>
  <c r="JU22" i="136"/>
  <c r="JQ29" i="136"/>
  <c r="JS22" i="136"/>
  <c r="KX16" i="136"/>
  <c r="KZ16" i="136" s="1"/>
  <c r="GP13" i="136"/>
  <c r="GL13" i="136"/>
  <c r="GT13" i="136" s="1"/>
  <c r="KX8" i="136"/>
  <c r="KZ8" i="136" s="1"/>
  <c r="GD13" i="136"/>
  <c r="GN13" i="136" s="1"/>
  <c r="GV13" i="136" s="1"/>
  <c r="GF13" i="136"/>
  <c r="GR13" i="136" s="1"/>
  <c r="LT20" i="136"/>
  <c r="LT19" i="136"/>
  <c r="KX25" i="136"/>
  <c r="KZ25" i="136" s="1"/>
  <c r="KV37" i="136"/>
  <c r="LP30" i="136"/>
  <c r="KX27" i="136"/>
  <c r="KZ27" i="136" s="1"/>
  <c r="KX10" i="136"/>
  <c r="KZ10" i="136" s="1"/>
  <c r="LQ30" i="136"/>
  <c r="KX30" i="136"/>
  <c r="KZ30" i="136" s="1"/>
  <c r="LN37" i="136"/>
  <c r="LP37" i="136" s="1"/>
  <c r="LR37" i="136" s="1"/>
  <c r="GW25" i="136"/>
  <c r="KX18" i="136"/>
  <c r="KZ18" i="136" s="1"/>
  <c r="GL25" i="136"/>
  <c r="GT25" i="136" s="1"/>
  <c r="GN18" i="136"/>
  <c r="GV18" i="136" s="1"/>
  <c r="GS23" i="136"/>
  <c r="GY23" i="136" s="1"/>
  <c r="GL10" i="136"/>
  <c r="GT10" i="136" s="1"/>
  <c r="GW10" i="136"/>
  <c r="GP9" i="136"/>
  <c r="GP23" i="136"/>
  <c r="GL27" i="136"/>
  <c r="GT27" i="136" s="1"/>
  <c r="GN10" i="136"/>
  <c r="GV10" i="136" s="1"/>
  <c r="GP7" i="136"/>
  <c r="GF18" i="136"/>
  <c r="GR18" i="136" s="1"/>
  <c r="GB18" i="136"/>
  <c r="GL18" i="136" s="1"/>
  <c r="GT18" i="136" s="1"/>
  <c r="GP32" i="136"/>
  <c r="KX11" i="136"/>
  <c r="KZ11" i="136" s="1"/>
  <c r="GN25" i="136"/>
  <c r="GV25" i="136" s="1"/>
  <c r="KH25" i="136"/>
  <c r="GP18" i="136"/>
  <c r="GR27" i="136"/>
  <c r="GP27" i="136"/>
  <c r="GR11" i="136"/>
  <c r="GB11" i="136"/>
  <c r="GL11" i="136" s="1"/>
  <c r="GT11" i="136" s="1"/>
  <c r="GD11" i="136"/>
  <c r="GN11" i="136" s="1"/>
  <c r="GV11" i="136" s="1"/>
  <c r="GP8" i="136"/>
  <c r="GN27" i="136"/>
  <c r="GV27" i="136" s="1"/>
  <c r="GB12" i="136"/>
  <c r="GB32" i="136"/>
  <c r="KX23" i="136"/>
  <c r="KZ23" i="136" s="1"/>
  <c r="GP12" i="136"/>
  <c r="GF32" i="136"/>
  <c r="GP16" i="136"/>
  <c r="NV16" i="136" s="1"/>
  <c r="GP11" i="136"/>
  <c r="NV11" i="136" s="1"/>
  <c r="GF12" i="136"/>
  <c r="GR23" i="136"/>
  <c r="GN16" i="136"/>
  <c r="GV16" i="136" s="1"/>
  <c r="GN23" i="136"/>
  <c r="GV23" i="136" s="1"/>
  <c r="GR8" i="136"/>
  <c r="GB8" i="136"/>
  <c r="GL8" i="136" s="1"/>
  <c r="GT8" i="136" s="1"/>
  <c r="GD8" i="136"/>
  <c r="GN8" i="136" s="1"/>
  <c r="GV8" i="136" s="1"/>
  <c r="GL16" i="136"/>
  <c r="GT16" i="136" s="1"/>
  <c r="LQ16" i="136"/>
  <c r="LP16" i="136"/>
  <c r="GR30" i="136"/>
  <c r="GP30" i="136"/>
  <c r="GD30" i="136"/>
  <c r="GN30" i="136" s="1"/>
  <c r="GV30" i="136" s="1"/>
  <c r="GB30" i="136"/>
  <c r="GL30" i="136" s="1"/>
  <c r="GT30" i="136" s="1"/>
  <c r="LT8" i="136"/>
  <c r="LP11" i="136"/>
  <c r="LQ11" i="136"/>
  <c r="LR23" i="136"/>
  <c r="LS23" i="136"/>
  <c r="LT18" i="136"/>
  <c r="KH8" i="136"/>
  <c r="KH11" i="136"/>
  <c r="LS10" i="136"/>
  <c r="LR10" i="136"/>
  <c r="LS12" i="136"/>
  <c r="KH13" i="136"/>
  <c r="KH10" i="136"/>
  <c r="CM12" i="136"/>
  <c r="EP12" i="136"/>
  <c r="EP16" i="136"/>
  <c r="CM16" i="136"/>
  <c r="CM11" i="136"/>
  <c r="EP11" i="136"/>
  <c r="GF15" i="136"/>
  <c r="GR15" i="136" s="1"/>
  <c r="GB15" i="136"/>
  <c r="GL15" i="136" s="1"/>
  <c r="GT15" i="136" s="1"/>
  <c r="KX33" i="136"/>
  <c r="KZ33" i="136" s="1"/>
  <c r="LP33" i="136"/>
  <c r="LR33" i="136" s="1"/>
  <c r="LT33" i="136" s="1"/>
  <c r="GR33" i="136"/>
  <c r="GP33" i="136"/>
  <c r="GN33" i="136"/>
  <c r="GV33" i="136" s="1"/>
  <c r="GR17" i="136"/>
  <c r="GP15" i="136"/>
  <c r="GP17" i="136"/>
  <c r="GW14" i="136"/>
  <c r="GL33" i="136"/>
  <c r="GT33" i="136" s="1"/>
  <c r="GN15" i="136"/>
  <c r="GV15" i="136" s="1"/>
  <c r="LS15" i="136"/>
  <c r="LR15" i="136"/>
  <c r="LS32" i="136"/>
  <c r="LR32" i="136"/>
  <c r="KH15" i="136"/>
  <c r="KV36" i="136"/>
  <c r="KU36" i="136"/>
  <c r="KU37" i="136"/>
  <c r="KW37" i="136" s="1"/>
  <c r="LN35" i="136"/>
  <c r="LP35" i="136" s="1"/>
  <c r="KU35" i="136"/>
  <c r="KW35" i="136" s="1"/>
  <c r="KY35" i="136" s="1"/>
  <c r="FZ35" i="136"/>
  <c r="GD35" i="136" s="1"/>
  <c r="GE35" i="136"/>
  <c r="GQ35" i="136" s="1"/>
  <c r="GC35" i="136"/>
  <c r="GM35" i="136" s="1"/>
  <c r="GU35" i="136" s="1"/>
  <c r="FZ34" i="136"/>
  <c r="GE34" i="136"/>
  <c r="GA35" i="136"/>
  <c r="GK35" i="136" s="1"/>
  <c r="GS35" i="136" s="1"/>
  <c r="GA34" i="136"/>
  <c r="GO34" i="136"/>
  <c r="GW35" i="136"/>
  <c r="KV34" i="136"/>
  <c r="KU34" i="136"/>
  <c r="KV35" i="136"/>
  <c r="GC36" i="136"/>
  <c r="KF37" i="136"/>
  <c r="KH37" i="136" s="1"/>
  <c r="FZ36" i="136"/>
  <c r="GA36" i="136"/>
  <c r="GE36" i="136"/>
  <c r="GE37" i="136"/>
  <c r="GQ37" i="136" s="1"/>
  <c r="GA37" i="136"/>
  <c r="GK37" i="136" s="1"/>
  <c r="GS37" i="136" s="1"/>
  <c r="FZ37" i="136"/>
  <c r="GF37" i="136" s="1"/>
  <c r="GC37" i="136"/>
  <c r="GM37" i="136" s="1"/>
  <c r="GU37" i="136" s="1"/>
  <c r="KG35" i="136"/>
  <c r="KF35" i="136"/>
  <c r="LQ35" i="136"/>
  <c r="FY22" i="136"/>
  <c r="FZ22" i="136" s="1"/>
  <c r="GD22" i="136" s="1"/>
  <c r="FY29" i="136"/>
  <c r="FY26" i="136"/>
  <c r="NN11" i="136" l="1"/>
  <c r="NN12" i="136"/>
  <c r="NN16" i="136"/>
  <c r="GN17" i="136"/>
  <c r="GL14" i="136"/>
  <c r="LP7" i="136"/>
  <c r="LR7" i="136" s="1"/>
  <c r="LT7" i="136" s="1"/>
  <c r="GZ10" i="136"/>
  <c r="GX33" i="136"/>
  <c r="GZ11" i="136"/>
  <c r="KH17" i="136"/>
  <c r="LN36" i="136"/>
  <c r="LP36" i="136" s="1"/>
  <c r="LR36" i="136" s="1"/>
  <c r="GZ8" i="136"/>
  <c r="GZ33" i="136"/>
  <c r="GN14" i="136"/>
  <c r="KF36" i="136"/>
  <c r="GX13" i="136"/>
  <c r="GZ27" i="136"/>
  <c r="GZ13" i="136"/>
  <c r="KG36" i="136"/>
  <c r="GX8" i="136"/>
  <c r="GR7" i="136"/>
  <c r="GR9" i="136"/>
  <c r="GZ30" i="136"/>
  <c r="GN7" i="136"/>
  <c r="GZ25" i="136"/>
  <c r="GZ15" i="136"/>
  <c r="NV18" i="136"/>
  <c r="KY14" i="136"/>
  <c r="NV10" i="136"/>
  <c r="GR32" i="136"/>
  <c r="KH32" i="136"/>
  <c r="GF36" i="136"/>
  <c r="GR14" i="136"/>
  <c r="LM26" i="136"/>
  <c r="LO26" i="136" s="1"/>
  <c r="LQ26" i="136" s="1"/>
  <c r="GZ18" i="136"/>
  <c r="GM36" i="136"/>
  <c r="KY7" i="136"/>
  <c r="GS7" i="136"/>
  <c r="GS9" i="136"/>
  <c r="GZ16" i="136"/>
  <c r="KH14" i="136"/>
  <c r="EP7" i="136"/>
  <c r="NM7" i="136"/>
  <c r="CM7" i="136"/>
  <c r="LN34" i="136"/>
  <c r="LP34" i="136" s="1"/>
  <c r="LR34" i="136" s="1"/>
  <c r="LT34" i="136" s="1"/>
  <c r="GK34" i="136"/>
  <c r="GY35" i="136"/>
  <c r="GQ34" i="136"/>
  <c r="GN9" i="136"/>
  <c r="KX7" i="136"/>
  <c r="KE26" i="136"/>
  <c r="NV30" i="136"/>
  <c r="NV23" i="136"/>
  <c r="NY31" i="136"/>
  <c r="GU9" i="136"/>
  <c r="KH9" i="136"/>
  <c r="NV25" i="136"/>
  <c r="GS32" i="136"/>
  <c r="GU12" i="136"/>
  <c r="NV33" i="136"/>
  <c r="GD34" i="136"/>
  <c r="GR12" i="136"/>
  <c r="NV9" i="136"/>
  <c r="GV19" i="136"/>
  <c r="KH7" i="136"/>
  <c r="GE26" i="136"/>
  <c r="GL32" i="136"/>
  <c r="KY17" i="136"/>
  <c r="KY9" i="136"/>
  <c r="GN32" i="136"/>
  <c r="NV27" i="136"/>
  <c r="NY28" i="136"/>
  <c r="NU36" i="136"/>
  <c r="NV17" i="136"/>
  <c r="NV13" i="136"/>
  <c r="GY37" i="136"/>
  <c r="GL12" i="136"/>
  <c r="KG34" i="136"/>
  <c r="GT19" i="136"/>
  <c r="GU32" i="136"/>
  <c r="NW28" i="136"/>
  <c r="GM34" i="136"/>
  <c r="KX14" i="136"/>
  <c r="GS17" i="136"/>
  <c r="GT17" i="136" s="1"/>
  <c r="KW34" i="136"/>
  <c r="KX34" i="136" s="1"/>
  <c r="LM29" i="136"/>
  <c r="LO29" i="136" s="1"/>
  <c r="LQ29" i="136" s="1"/>
  <c r="NV14" i="136"/>
  <c r="FZ29" i="136"/>
  <c r="GW36" i="136"/>
  <c r="GQ36" i="136"/>
  <c r="NU34" i="136"/>
  <c r="KW36" i="136"/>
  <c r="KX36" i="136" s="1"/>
  <c r="KH12" i="136"/>
  <c r="KE29" i="136"/>
  <c r="KF29" i="136" s="1"/>
  <c r="GY19" i="136"/>
  <c r="GN12" i="136"/>
  <c r="GS14" i="136"/>
  <c r="GU14" i="136"/>
  <c r="GK36" i="136"/>
  <c r="GL9" i="136"/>
  <c r="GU7" i="136"/>
  <c r="GL7" i="136"/>
  <c r="NV12" i="136"/>
  <c r="NW31" i="136"/>
  <c r="GU17" i="136"/>
  <c r="KY32" i="136"/>
  <c r="KZ19" i="136"/>
  <c r="GS12" i="136"/>
  <c r="KY12" i="136"/>
  <c r="NV32" i="136"/>
  <c r="NV15" i="136"/>
  <c r="GX32" i="136"/>
  <c r="GX30" i="136"/>
  <c r="GX18" i="136"/>
  <c r="GX15" i="136"/>
  <c r="GX7" i="136"/>
  <c r="GX14" i="136"/>
  <c r="GX27" i="136"/>
  <c r="GX11" i="136"/>
  <c r="GX17" i="136"/>
  <c r="GX16" i="136"/>
  <c r="GX25" i="136"/>
  <c r="NV7" i="136"/>
  <c r="NV8" i="136"/>
  <c r="GX12" i="136"/>
  <c r="GX23" i="136"/>
  <c r="GX9" i="136"/>
  <c r="GX10" i="136"/>
  <c r="KX37" i="136"/>
  <c r="LR30" i="136"/>
  <c r="LS30" i="136"/>
  <c r="GT23" i="136"/>
  <c r="GZ23" i="136" s="1"/>
  <c r="LT12" i="136"/>
  <c r="LT23" i="136"/>
  <c r="LT10" i="136"/>
  <c r="LS16" i="136"/>
  <c r="LR16" i="136"/>
  <c r="LR11" i="136"/>
  <c r="LS11" i="136"/>
  <c r="LT15" i="136"/>
  <c r="LT32" i="136"/>
  <c r="KY37" i="136"/>
  <c r="KX35" i="136"/>
  <c r="KZ35" i="136" s="1"/>
  <c r="GP35" i="136"/>
  <c r="GX35" i="136" s="1"/>
  <c r="GB35" i="136"/>
  <c r="GL35" i="136" s="1"/>
  <c r="GT35" i="136" s="1"/>
  <c r="GF35" i="136"/>
  <c r="GR35" i="136" s="1"/>
  <c r="GN35" i="136"/>
  <c r="GV35" i="136" s="1"/>
  <c r="GP34" i="136"/>
  <c r="GF34" i="136"/>
  <c r="GB34" i="136"/>
  <c r="GW34" i="136"/>
  <c r="GB36" i="136"/>
  <c r="GR37" i="136"/>
  <c r="GD36" i="136"/>
  <c r="GP36" i="136"/>
  <c r="GD37" i="136"/>
  <c r="GN37" i="136" s="1"/>
  <c r="GV37" i="136" s="1"/>
  <c r="GB37" i="136"/>
  <c r="GL37" i="136" s="1"/>
  <c r="GT37" i="136" s="1"/>
  <c r="GP37" i="136"/>
  <c r="GX37" i="136" s="1"/>
  <c r="KH35" i="136"/>
  <c r="LS36" i="136"/>
  <c r="LS35" i="136"/>
  <c r="LR35" i="136"/>
  <c r="GO22" i="136"/>
  <c r="GE22" i="136"/>
  <c r="GQ22" i="136" s="1"/>
  <c r="GC22" i="136"/>
  <c r="GM22" i="136" s="1"/>
  <c r="GU22" i="136" s="1"/>
  <c r="GA22" i="136"/>
  <c r="GK22" i="136" s="1"/>
  <c r="GS22" i="136" s="1"/>
  <c r="KU29" i="136"/>
  <c r="KV29" i="136"/>
  <c r="KU26" i="136"/>
  <c r="KV26" i="136"/>
  <c r="GA29" i="136"/>
  <c r="GO29" i="136"/>
  <c r="GC29" i="136"/>
  <c r="KF22" i="136"/>
  <c r="KH22" i="136" s="1"/>
  <c r="KU22" i="136"/>
  <c r="KW22" i="136" s="1"/>
  <c r="KY22" i="136" s="1"/>
  <c r="LN22" i="136"/>
  <c r="LP22" i="136" s="1"/>
  <c r="GE29" i="136"/>
  <c r="KV22" i="136"/>
  <c r="GO26" i="136"/>
  <c r="GC26" i="136"/>
  <c r="GA26" i="136"/>
  <c r="FZ26" i="136"/>
  <c r="GB22" i="136"/>
  <c r="GF22" i="136"/>
  <c r="LQ22" i="136"/>
  <c r="GT14" i="136" l="1"/>
  <c r="KZ9" i="136"/>
  <c r="GY22" i="136"/>
  <c r="GZ19" i="136"/>
  <c r="KH36" i="136"/>
  <c r="KZ32" i="136"/>
  <c r="GR36" i="136"/>
  <c r="GV17" i="136"/>
  <c r="KH34" i="136"/>
  <c r="KZ17" i="136"/>
  <c r="LN26" i="136"/>
  <c r="LP26" i="136" s="1"/>
  <c r="LR26" i="136" s="1"/>
  <c r="NU26" i="136"/>
  <c r="GD29" i="136"/>
  <c r="KW26" i="136"/>
  <c r="KZ12" i="136"/>
  <c r="GU34" i="136"/>
  <c r="KG26" i="136"/>
  <c r="GL34" i="136"/>
  <c r="GQ29" i="136"/>
  <c r="KZ7" i="136"/>
  <c r="HW9" i="136"/>
  <c r="NN7" i="136"/>
  <c r="KY36" i="136"/>
  <c r="GV9" i="136"/>
  <c r="GV32" i="136"/>
  <c r="GB29" i="136"/>
  <c r="NU22" i="136"/>
  <c r="KY34" i="136"/>
  <c r="LN29" i="136"/>
  <c r="LP29" i="136" s="1"/>
  <c r="LR29" i="136" s="1"/>
  <c r="NV35" i="136"/>
  <c r="KW29" i="136"/>
  <c r="KX29" i="136" s="1"/>
  <c r="GT32" i="136"/>
  <c r="GY7" i="136"/>
  <c r="GQ26" i="136"/>
  <c r="NV34" i="136"/>
  <c r="GK29" i="136"/>
  <c r="GN36" i="136"/>
  <c r="GS36" i="136"/>
  <c r="GY17" i="136"/>
  <c r="GZ35" i="136"/>
  <c r="GY9" i="136"/>
  <c r="GY12" i="136"/>
  <c r="GT12" i="136"/>
  <c r="GU36" i="136"/>
  <c r="GR34" i="136"/>
  <c r="GV12" i="136"/>
  <c r="GZ37" i="136"/>
  <c r="NU29" i="136"/>
  <c r="GK26" i="136"/>
  <c r="KF26" i="136"/>
  <c r="GV7" i="136"/>
  <c r="KZ14" i="136"/>
  <c r="GY32" i="136"/>
  <c r="GV14" i="136"/>
  <c r="GY14" i="136"/>
  <c r="GN34" i="136"/>
  <c r="GT7" i="136"/>
  <c r="GM29" i="136"/>
  <c r="GT9" i="136"/>
  <c r="GF29" i="136"/>
  <c r="GX36" i="136"/>
  <c r="GM26" i="136"/>
  <c r="GL36" i="136"/>
  <c r="KG29" i="136"/>
  <c r="GS34" i="136"/>
  <c r="GW26" i="136"/>
  <c r="GW22" i="136"/>
  <c r="GW29" i="136"/>
  <c r="LT30" i="136"/>
  <c r="LT11" i="136"/>
  <c r="LT16" i="136"/>
  <c r="KZ37" i="136"/>
  <c r="GX34" i="136"/>
  <c r="LT35" i="136"/>
  <c r="GL22" i="136"/>
  <c r="GT22" i="136" s="1"/>
  <c r="GP22" i="136"/>
  <c r="GR22" i="136"/>
  <c r="GN22" i="136"/>
  <c r="GV22" i="136" s="1"/>
  <c r="GP29" i="136"/>
  <c r="KX22" i="136"/>
  <c r="KZ22" i="136" s="1"/>
  <c r="GF26" i="136"/>
  <c r="GB26" i="136"/>
  <c r="GD26" i="136"/>
  <c r="GP26" i="136"/>
  <c r="LS22" i="136"/>
  <c r="LR22" i="136"/>
  <c r="LS29" i="136"/>
  <c r="LS26" i="136"/>
  <c r="GN29" i="136" l="1"/>
  <c r="GZ22" i="136"/>
  <c r="GZ32" i="136"/>
  <c r="GZ17" i="136"/>
  <c r="GZ7" i="136"/>
  <c r="NV22" i="136"/>
  <c r="GL29" i="136"/>
  <c r="GR26" i="136"/>
  <c r="GY34" i="136"/>
  <c r="GV34" i="136"/>
  <c r="GZ9" i="136"/>
  <c r="KZ34" i="136"/>
  <c r="GY36" i="136"/>
  <c r="MG9" i="136"/>
  <c r="HX9" i="136"/>
  <c r="GT34" i="136"/>
  <c r="KY26" i="136"/>
  <c r="KX26" i="136"/>
  <c r="KH26" i="136"/>
  <c r="KZ36" i="136"/>
  <c r="GT36" i="136"/>
  <c r="GU26" i="136"/>
  <c r="GV36" i="136"/>
  <c r="KY29" i="136"/>
  <c r="KH29" i="136"/>
  <c r="GR29" i="136"/>
  <c r="GU29" i="136"/>
  <c r="GX26" i="136"/>
  <c r="GN26" i="136"/>
  <c r="GS26" i="136"/>
  <c r="GL26" i="136"/>
  <c r="GZ14" i="136"/>
  <c r="NU31" i="136"/>
  <c r="GZ12" i="136"/>
  <c r="GS29" i="136"/>
  <c r="NU28" i="136"/>
  <c r="GX29" i="136"/>
  <c r="GX22" i="136"/>
  <c r="LT22" i="136"/>
  <c r="GT29" i="136" l="1"/>
  <c r="GV29" i="136"/>
  <c r="MH9" i="136"/>
  <c r="GZ34" i="136"/>
  <c r="GZ36" i="136"/>
  <c r="KZ29" i="136"/>
  <c r="GY26" i="136"/>
  <c r="GY29" i="136"/>
  <c r="GV26" i="136"/>
  <c r="GT26" i="136"/>
  <c r="KZ26" i="136"/>
  <c r="CH15" i="136"/>
  <c r="CH14" i="136"/>
  <c r="CH33" i="136"/>
  <c r="CH32" i="136"/>
  <c r="CH35" i="136"/>
  <c r="CH34" i="136"/>
  <c r="CH37" i="136"/>
  <c r="D37" i="136"/>
  <c r="D36" i="136"/>
  <c r="CH29" i="136"/>
  <c r="D29" i="136"/>
  <c r="CH26" i="136"/>
  <c r="D26" i="136"/>
  <c r="CH22" i="136"/>
  <c r="JN21" i="136"/>
  <c r="JM21" i="136"/>
  <c r="JL21" i="136"/>
  <c r="JK21" i="136"/>
  <c r="JJ21" i="136"/>
  <c r="JI21" i="136"/>
  <c r="JH21" i="136"/>
  <c r="JG21" i="136"/>
  <c r="JF21" i="136"/>
  <c r="JE21" i="136"/>
  <c r="JD21" i="136"/>
  <c r="JC21" i="136"/>
  <c r="JB21" i="136"/>
  <c r="JA21" i="136"/>
  <c r="CH21" i="136"/>
  <c r="D21" i="136"/>
  <c r="NR21" i="136" s="1"/>
  <c r="NR24" i="136" s="1"/>
  <c r="GZ29" i="136" l="1"/>
  <c r="GZ26" i="136"/>
  <c r="NR26" i="136"/>
  <c r="NR28" i="136" s="1"/>
  <c r="NX26" i="136"/>
  <c r="NZ26" i="136"/>
  <c r="NV26" i="136"/>
  <c r="NV28" i="136" s="1"/>
  <c r="NW21" i="136"/>
  <c r="NW24" i="136" s="1"/>
  <c r="NY21" i="136"/>
  <c r="NY24" i="136" s="1"/>
  <c r="NR29" i="136"/>
  <c r="NR31" i="136" s="1"/>
  <c r="NZ29" i="136"/>
  <c r="NX29" i="136"/>
  <c r="NV29" i="136"/>
  <c r="NV31" i="136" s="1"/>
  <c r="JQ21" i="136"/>
  <c r="NR36" i="136"/>
  <c r="NZ36" i="136"/>
  <c r="NX36" i="136"/>
  <c r="NV36" i="136"/>
  <c r="JR21" i="136"/>
  <c r="NR37" i="136"/>
  <c r="NX37" i="136"/>
  <c r="NZ37" i="136"/>
  <c r="NV37" i="136"/>
  <c r="JO21" i="136"/>
  <c r="JP21" i="136"/>
  <c r="JY21" i="136"/>
  <c r="JZ21" i="136"/>
  <c r="JS21" i="136"/>
  <c r="JT21" i="136"/>
  <c r="JU21" i="136"/>
  <c r="FY21" i="136"/>
  <c r="JW21" i="136"/>
  <c r="JV21" i="136"/>
  <c r="JX21" i="136"/>
  <c r="LT36" i="136"/>
  <c r="LT37" i="136"/>
  <c r="LT29" i="136"/>
  <c r="LT26" i="136"/>
  <c r="CL26" i="136"/>
  <c r="CL22" i="136"/>
  <c r="CL29" i="136"/>
  <c r="CI33" i="136"/>
  <c r="CI32" i="136"/>
  <c r="CI29" i="136"/>
  <c r="CI26" i="136"/>
  <c r="CI34" i="136"/>
  <c r="CI22" i="136"/>
  <c r="CI35" i="136"/>
  <c r="CI37" i="136"/>
  <c r="CH36" i="136"/>
  <c r="CI21" i="136"/>
  <c r="CI14" i="136"/>
  <c r="CI15" i="136"/>
  <c r="NX28" i="136" l="1"/>
  <c r="NZ31" i="136"/>
  <c r="NM26" i="136"/>
  <c r="NM29" i="136"/>
  <c r="NM22" i="136"/>
  <c r="KE21" i="136"/>
  <c r="KG21" i="136" s="1"/>
  <c r="LM21" i="136"/>
  <c r="LO21" i="136" s="1"/>
  <c r="LQ21" i="136" s="1"/>
  <c r="NX31" i="136"/>
  <c r="NZ21" i="136"/>
  <c r="FZ21" i="136"/>
  <c r="NM28" i="136"/>
  <c r="NX21" i="136"/>
  <c r="NM31" i="136"/>
  <c r="NZ28" i="136"/>
  <c r="GE21" i="136"/>
  <c r="GA21" i="136"/>
  <c r="GC21" i="136"/>
  <c r="CM29" i="136"/>
  <c r="NN29" i="136" s="1"/>
  <c r="NN31" i="136" s="1"/>
  <c r="CM22" i="136"/>
  <c r="NN22" i="136" s="1"/>
  <c r="CM26" i="136"/>
  <c r="NN26" i="136" s="1"/>
  <c r="NN28" i="136" s="1"/>
  <c r="GO21" i="136"/>
  <c r="KU21" i="136"/>
  <c r="KV21" i="136"/>
  <c r="CI36" i="136"/>
  <c r="LR53" i="109"/>
  <c r="LQ53" i="109"/>
  <c r="JH53" i="109"/>
  <c r="JG53" i="109"/>
  <c r="JF53" i="109"/>
  <c r="JE53" i="109"/>
  <c r="JD53" i="109"/>
  <c r="JC53" i="109"/>
  <c r="JB53" i="109"/>
  <c r="JA53" i="109"/>
  <c r="IZ53" i="109"/>
  <c r="IY53" i="109"/>
  <c r="IX53" i="109"/>
  <c r="IW53" i="109"/>
  <c r="JK53" i="109" s="1"/>
  <c r="IV53" i="109"/>
  <c r="IU53" i="109"/>
  <c r="FR53" i="109"/>
  <c r="FQ53" i="109"/>
  <c r="FN53" i="109"/>
  <c r="FM53" i="109"/>
  <c r="FL53" i="109"/>
  <c r="FK53" i="109"/>
  <c r="AR53" i="109"/>
  <c r="AQ53" i="109"/>
  <c r="BA53" i="109" s="1"/>
  <c r="AP53" i="109"/>
  <c r="AO53" i="109"/>
  <c r="AY53" i="109" s="1"/>
  <c r="AN53" i="109"/>
  <c r="AM53" i="109"/>
  <c r="AW53" i="109" s="1"/>
  <c r="AL53" i="109"/>
  <c r="AV53" i="109" s="1"/>
  <c r="AK53" i="109"/>
  <c r="AU53" i="109" s="1"/>
  <c r="AJ53" i="109"/>
  <c r="AI53" i="109"/>
  <c r="C53" i="109"/>
  <c r="D53" i="109" s="1"/>
  <c r="LR52" i="109"/>
  <c r="LQ52" i="109"/>
  <c r="JH52" i="109"/>
  <c r="JG52" i="109"/>
  <c r="JF52" i="109"/>
  <c r="JE52" i="109"/>
  <c r="FS52" i="109" s="1"/>
  <c r="JD52" i="109"/>
  <c r="JC52" i="109"/>
  <c r="JB52" i="109"/>
  <c r="JA52" i="109"/>
  <c r="IZ52" i="109"/>
  <c r="IY52" i="109"/>
  <c r="IX52" i="109"/>
  <c r="IW52" i="109"/>
  <c r="IV52" i="109"/>
  <c r="IU52" i="109"/>
  <c r="FR52" i="109"/>
  <c r="FQ52" i="109"/>
  <c r="FY52" i="109" s="1"/>
  <c r="GK52" i="109" s="1"/>
  <c r="FN52" i="109"/>
  <c r="FM52" i="109"/>
  <c r="FW52" i="109" s="1"/>
  <c r="GG52" i="109" s="1"/>
  <c r="FL52" i="109"/>
  <c r="FK52" i="109"/>
  <c r="AR52" i="109"/>
  <c r="AQ52" i="109"/>
  <c r="BA52" i="109" s="1"/>
  <c r="AP52" i="109"/>
  <c r="AO52" i="109"/>
  <c r="AY52" i="109" s="1"/>
  <c r="AN52" i="109"/>
  <c r="AM52" i="109"/>
  <c r="AW52" i="109" s="1"/>
  <c r="AL52" i="109"/>
  <c r="AK52" i="109"/>
  <c r="AU52" i="109" s="1"/>
  <c r="AJ52" i="109"/>
  <c r="AI52" i="109"/>
  <c r="C52" i="109"/>
  <c r="D52" i="109" s="1"/>
  <c r="LR51" i="109"/>
  <c r="LQ51" i="109"/>
  <c r="JH51" i="109"/>
  <c r="JG51" i="109"/>
  <c r="JF51" i="109"/>
  <c r="JE51" i="109"/>
  <c r="JD51" i="109"/>
  <c r="JC51" i="109"/>
  <c r="JB51" i="109"/>
  <c r="JA51" i="109"/>
  <c r="IZ51" i="109"/>
  <c r="IY51" i="109"/>
  <c r="IX51" i="109"/>
  <c r="IW51" i="109"/>
  <c r="IV51" i="109"/>
  <c r="IU51" i="109"/>
  <c r="FS51" i="109"/>
  <c r="FW51" i="109" s="1"/>
  <c r="GG51" i="109" s="1"/>
  <c r="GO51" i="109" s="1"/>
  <c r="FR51" i="109"/>
  <c r="FQ51" i="109"/>
  <c r="FN51" i="109"/>
  <c r="FM51" i="109"/>
  <c r="FL51" i="109"/>
  <c r="FK51" i="109"/>
  <c r="AR51" i="109"/>
  <c r="AQ51" i="109"/>
  <c r="BA51" i="109" s="1"/>
  <c r="AP51" i="109"/>
  <c r="AO51" i="109"/>
  <c r="AY51" i="109" s="1"/>
  <c r="AN51" i="109"/>
  <c r="AM51" i="109"/>
  <c r="AW51" i="109" s="1"/>
  <c r="AL51" i="109"/>
  <c r="AK51" i="109"/>
  <c r="AU51" i="109" s="1"/>
  <c r="AJ51" i="109"/>
  <c r="AI51" i="109"/>
  <c r="C51" i="109"/>
  <c r="D51" i="109" s="1"/>
  <c r="LR48" i="109"/>
  <c r="LQ48" i="109"/>
  <c r="D48" i="109"/>
  <c r="C48" i="109"/>
  <c r="LR47" i="109"/>
  <c r="LQ47" i="109"/>
  <c r="AR47" i="109"/>
  <c r="BB47" i="109" s="1"/>
  <c r="AQ47" i="109"/>
  <c r="BA47" i="109" s="1"/>
  <c r="AP47" i="109"/>
  <c r="AO47" i="109"/>
  <c r="AY47" i="109" s="1"/>
  <c r="AN47" i="109"/>
  <c r="AM47" i="109"/>
  <c r="AW47" i="109" s="1"/>
  <c r="AL47" i="109"/>
  <c r="AK47" i="109"/>
  <c r="AU47" i="109" s="1"/>
  <c r="AJ47" i="109"/>
  <c r="AI47" i="109"/>
  <c r="C47" i="109"/>
  <c r="D47" i="109" s="1"/>
  <c r="LR46" i="109"/>
  <c r="LQ46" i="109"/>
  <c r="AR46" i="109"/>
  <c r="AQ46" i="109"/>
  <c r="BA46" i="109" s="1"/>
  <c r="AP46" i="109"/>
  <c r="AO46" i="109"/>
  <c r="AY46" i="109" s="1"/>
  <c r="AN46" i="109"/>
  <c r="AM46" i="109"/>
  <c r="AW46" i="109" s="1"/>
  <c r="AL46" i="109"/>
  <c r="AK46" i="109"/>
  <c r="AU46" i="109" s="1"/>
  <c r="AJ46" i="109"/>
  <c r="AI46" i="109"/>
  <c r="C46" i="109"/>
  <c r="D46" i="109" s="1"/>
  <c r="LR45" i="109"/>
  <c r="LQ45" i="109"/>
  <c r="AR45" i="109"/>
  <c r="AQ45" i="109"/>
  <c r="BA45" i="109" s="1"/>
  <c r="AP45" i="109"/>
  <c r="AO45" i="109"/>
  <c r="AY45" i="109" s="1"/>
  <c r="AN45" i="109"/>
  <c r="AM45" i="109"/>
  <c r="AW45" i="109" s="1"/>
  <c r="AL45" i="109"/>
  <c r="AV45" i="109" s="1"/>
  <c r="AK45" i="109"/>
  <c r="AU45" i="109" s="1"/>
  <c r="AJ45" i="109"/>
  <c r="AI45" i="109"/>
  <c r="C45" i="109"/>
  <c r="D45" i="109" s="1"/>
  <c r="LR44" i="109"/>
  <c r="LQ44" i="109"/>
  <c r="AR44" i="109"/>
  <c r="AQ44" i="109"/>
  <c r="BA44" i="109" s="1"/>
  <c r="AP44" i="109"/>
  <c r="AO44" i="109"/>
  <c r="AY44" i="109" s="1"/>
  <c r="AN44" i="109"/>
  <c r="AM44" i="109"/>
  <c r="AW44" i="109" s="1"/>
  <c r="AL44" i="109"/>
  <c r="AK44" i="109"/>
  <c r="AU44" i="109" s="1"/>
  <c r="AJ44" i="109"/>
  <c r="AI44" i="109"/>
  <c r="C44" i="109"/>
  <c r="D44" i="109" s="1"/>
  <c r="LR43" i="109"/>
  <c r="LQ43" i="109"/>
  <c r="AR43" i="109"/>
  <c r="AQ43" i="109"/>
  <c r="BA43" i="109" s="1"/>
  <c r="AP43" i="109"/>
  <c r="AO43" i="109"/>
  <c r="AY43" i="109" s="1"/>
  <c r="AN43" i="109"/>
  <c r="AM43" i="109"/>
  <c r="AW43" i="109" s="1"/>
  <c r="AL43" i="109"/>
  <c r="AK43" i="109"/>
  <c r="AU43" i="109" s="1"/>
  <c r="AJ43" i="109"/>
  <c r="AI43" i="109"/>
  <c r="C43" i="109"/>
  <c r="D43" i="109" s="1"/>
  <c r="LR42" i="109"/>
  <c r="LQ42" i="109"/>
  <c r="AR42" i="109"/>
  <c r="AQ42" i="109"/>
  <c r="BA42" i="109" s="1"/>
  <c r="AP42" i="109"/>
  <c r="AO42" i="109"/>
  <c r="AY42" i="109" s="1"/>
  <c r="AN42" i="109"/>
  <c r="AM42" i="109"/>
  <c r="AW42" i="109" s="1"/>
  <c r="AL42" i="109"/>
  <c r="AK42" i="109"/>
  <c r="AU42" i="109" s="1"/>
  <c r="AJ42" i="109"/>
  <c r="AI42" i="109"/>
  <c r="C42" i="109"/>
  <c r="D42" i="109" s="1"/>
  <c r="LR41" i="109"/>
  <c r="LQ41" i="109"/>
  <c r="AR41" i="109"/>
  <c r="AQ41" i="109"/>
  <c r="BA41" i="109" s="1"/>
  <c r="AP41" i="109"/>
  <c r="AO41" i="109"/>
  <c r="AY41" i="109" s="1"/>
  <c r="AN41" i="109"/>
  <c r="AM41" i="109"/>
  <c r="AW41" i="109" s="1"/>
  <c r="AL41" i="109"/>
  <c r="AK41" i="109"/>
  <c r="AU41" i="109" s="1"/>
  <c r="AJ41" i="109"/>
  <c r="AI41" i="109"/>
  <c r="C41" i="109"/>
  <c r="D41" i="109" s="1"/>
  <c r="LR40" i="109"/>
  <c r="LQ40" i="109"/>
  <c r="AR40" i="109"/>
  <c r="AQ40" i="109"/>
  <c r="BA40" i="109" s="1"/>
  <c r="AP40" i="109"/>
  <c r="AO40" i="109"/>
  <c r="AY40" i="109" s="1"/>
  <c r="AN40" i="109"/>
  <c r="AM40" i="109"/>
  <c r="AW40" i="109" s="1"/>
  <c r="AL40" i="109"/>
  <c r="AK40" i="109"/>
  <c r="AU40" i="109" s="1"/>
  <c r="AJ40" i="109"/>
  <c r="AI40" i="109"/>
  <c r="C40" i="109"/>
  <c r="D40" i="109" s="1"/>
  <c r="LR39" i="109"/>
  <c r="LQ39" i="109"/>
  <c r="AR39" i="109"/>
  <c r="AQ39" i="109"/>
  <c r="BA39" i="109" s="1"/>
  <c r="AP39" i="109"/>
  <c r="AO39" i="109"/>
  <c r="AY39" i="109" s="1"/>
  <c r="AN39" i="109"/>
  <c r="AM39" i="109"/>
  <c r="AW39" i="109" s="1"/>
  <c r="AL39" i="109"/>
  <c r="AK39" i="109"/>
  <c r="AU39" i="109" s="1"/>
  <c r="AJ39" i="109"/>
  <c r="AI39" i="109"/>
  <c r="C39" i="109"/>
  <c r="D39" i="109" s="1"/>
  <c r="LR38" i="109"/>
  <c r="LQ38" i="109"/>
  <c r="AR38" i="109"/>
  <c r="AQ38" i="109"/>
  <c r="BA38" i="109" s="1"/>
  <c r="AP38" i="109"/>
  <c r="AO38" i="109"/>
  <c r="AY38" i="109" s="1"/>
  <c r="AN38" i="109"/>
  <c r="AM38" i="109"/>
  <c r="AW38" i="109" s="1"/>
  <c r="AL38" i="109"/>
  <c r="AK38" i="109"/>
  <c r="AU38" i="109" s="1"/>
  <c r="AJ38" i="109"/>
  <c r="AI38" i="109"/>
  <c r="C38" i="109"/>
  <c r="D38" i="109" s="1"/>
  <c r="LR37" i="109"/>
  <c r="LQ37" i="109"/>
  <c r="AR37" i="109"/>
  <c r="BB37" i="109" s="1"/>
  <c r="AQ37" i="109"/>
  <c r="BA37" i="109" s="1"/>
  <c r="AP37" i="109"/>
  <c r="AO37" i="109"/>
  <c r="AY37" i="109" s="1"/>
  <c r="AN37" i="109"/>
  <c r="AM37" i="109"/>
  <c r="AW37" i="109" s="1"/>
  <c r="AL37" i="109"/>
  <c r="AV37" i="109" s="1"/>
  <c r="AK37" i="109"/>
  <c r="AU37" i="109" s="1"/>
  <c r="AJ37" i="109"/>
  <c r="AI37" i="109"/>
  <c r="C37" i="109"/>
  <c r="D37" i="109" s="1"/>
  <c r="LR36" i="109"/>
  <c r="LQ36" i="109"/>
  <c r="AR36" i="109"/>
  <c r="AQ36" i="109"/>
  <c r="BA36" i="109" s="1"/>
  <c r="AP36" i="109"/>
  <c r="AO36" i="109"/>
  <c r="AY36" i="109" s="1"/>
  <c r="AN36" i="109"/>
  <c r="AM36" i="109"/>
  <c r="AW36" i="109" s="1"/>
  <c r="AL36" i="109"/>
  <c r="AK36" i="109"/>
  <c r="AU36" i="109" s="1"/>
  <c r="AJ36" i="109"/>
  <c r="AI36" i="109"/>
  <c r="C36" i="109"/>
  <c r="D36" i="109" s="1"/>
  <c r="LR35" i="109"/>
  <c r="LQ35" i="109"/>
  <c r="JH35" i="109"/>
  <c r="JG35" i="109"/>
  <c r="JF35" i="109"/>
  <c r="JE35" i="109"/>
  <c r="JD35" i="109"/>
  <c r="JC35" i="109"/>
  <c r="JB35" i="109"/>
  <c r="JA35" i="109"/>
  <c r="IZ35" i="109"/>
  <c r="IY35" i="109"/>
  <c r="IX35" i="109"/>
  <c r="IW35" i="109"/>
  <c r="IV35" i="109"/>
  <c r="IU35" i="109"/>
  <c r="FR35" i="109"/>
  <c r="FQ35" i="109"/>
  <c r="FP35" i="109"/>
  <c r="FO35" i="109"/>
  <c r="FN35" i="109"/>
  <c r="FM35" i="109"/>
  <c r="FL35" i="109"/>
  <c r="FK35" i="109"/>
  <c r="AH35" i="109"/>
  <c r="AR35" i="109" s="1"/>
  <c r="AG35" i="109"/>
  <c r="AQ35" i="109" s="1"/>
  <c r="AF35" i="109"/>
  <c r="AP35" i="109" s="1"/>
  <c r="AE35" i="109"/>
  <c r="AO35" i="109" s="1"/>
  <c r="AD35" i="109"/>
  <c r="AN35" i="109" s="1"/>
  <c r="AC35" i="109"/>
  <c r="AM35" i="109" s="1"/>
  <c r="AB35" i="109"/>
  <c r="AL35" i="109" s="1"/>
  <c r="AA35" i="109"/>
  <c r="AK35" i="109" s="1"/>
  <c r="Z35" i="109"/>
  <c r="AJ35" i="109" s="1"/>
  <c r="Y35" i="109"/>
  <c r="AI35" i="109" s="1"/>
  <c r="C35" i="109"/>
  <c r="D35" i="109" s="1"/>
  <c r="MX34" i="109"/>
  <c r="MW34" i="109"/>
  <c r="MP34" i="109"/>
  <c r="MO34" i="109"/>
  <c r="LX34" i="109"/>
  <c r="LW34" i="109"/>
  <c r="LV34" i="109"/>
  <c r="LU34" i="109"/>
  <c r="LT34" i="109"/>
  <c r="LS34" i="109"/>
  <c r="LR34" i="109"/>
  <c r="LQ34" i="109"/>
  <c r="LR33" i="109"/>
  <c r="LQ33" i="109"/>
  <c r="C33" i="109"/>
  <c r="D33" i="109" s="1"/>
  <c r="LR32" i="109"/>
  <c r="LQ32" i="109"/>
  <c r="AR32" i="109"/>
  <c r="AQ32" i="109"/>
  <c r="BA32" i="109" s="1"/>
  <c r="AP32" i="109"/>
  <c r="AO32" i="109"/>
  <c r="AY32" i="109" s="1"/>
  <c r="AN32" i="109"/>
  <c r="AM32" i="109"/>
  <c r="AW32" i="109" s="1"/>
  <c r="AL32" i="109"/>
  <c r="AK32" i="109"/>
  <c r="AU32" i="109" s="1"/>
  <c r="AJ32" i="109"/>
  <c r="AI32" i="109"/>
  <c r="C32" i="109"/>
  <c r="D32" i="109" s="1"/>
  <c r="LR31" i="109"/>
  <c r="LQ31" i="109"/>
  <c r="AR31" i="109"/>
  <c r="AQ31" i="109"/>
  <c r="BA31" i="109" s="1"/>
  <c r="AP31" i="109"/>
  <c r="AO31" i="109"/>
  <c r="AY31" i="109" s="1"/>
  <c r="AN31" i="109"/>
  <c r="AM31" i="109"/>
  <c r="AW31" i="109" s="1"/>
  <c r="AL31" i="109"/>
  <c r="AK31" i="109"/>
  <c r="AU31" i="109" s="1"/>
  <c r="AJ31" i="109"/>
  <c r="AI31" i="109"/>
  <c r="C31" i="109"/>
  <c r="D31" i="109" s="1"/>
  <c r="LR30" i="109"/>
  <c r="LQ30" i="109"/>
  <c r="AR30" i="109"/>
  <c r="AQ30" i="109"/>
  <c r="BA30" i="109" s="1"/>
  <c r="AP30" i="109"/>
  <c r="AO30" i="109"/>
  <c r="AY30" i="109" s="1"/>
  <c r="AN30" i="109"/>
  <c r="AM30" i="109"/>
  <c r="AW30" i="109" s="1"/>
  <c r="AL30" i="109"/>
  <c r="AK30" i="109"/>
  <c r="AU30" i="109" s="1"/>
  <c r="AJ30" i="109"/>
  <c r="AI30" i="109"/>
  <c r="C30" i="109"/>
  <c r="D30" i="109" s="1"/>
  <c r="LR29" i="109"/>
  <c r="LQ29" i="109"/>
  <c r="AR29" i="109"/>
  <c r="AQ29" i="109"/>
  <c r="BA29" i="109" s="1"/>
  <c r="AP29" i="109"/>
  <c r="AO29" i="109"/>
  <c r="AY29" i="109" s="1"/>
  <c r="AN29" i="109"/>
  <c r="AM29" i="109"/>
  <c r="AW29" i="109" s="1"/>
  <c r="AL29" i="109"/>
  <c r="AK29" i="109"/>
  <c r="AU29" i="109" s="1"/>
  <c r="AJ29" i="109"/>
  <c r="AI29" i="109"/>
  <c r="C29" i="109"/>
  <c r="D29" i="109" s="1"/>
  <c r="LR28" i="109"/>
  <c r="LQ28" i="109"/>
  <c r="AR28" i="109"/>
  <c r="AQ28" i="109"/>
  <c r="BA28" i="109" s="1"/>
  <c r="AP28" i="109"/>
  <c r="AO28" i="109"/>
  <c r="AY28" i="109" s="1"/>
  <c r="AN28" i="109"/>
  <c r="AM28" i="109"/>
  <c r="AW28" i="109" s="1"/>
  <c r="AL28" i="109"/>
  <c r="AK28" i="109"/>
  <c r="AU28" i="109" s="1"/>
  <c r="AJ28" i="109"/>
  <c r="AI28" i="109"/>
  <c r="C28" i="109"/>
  <c r="D28" i="109" s="1"/>
  <c r="LR27" i="109"/>
  <c r="LQ27" i="109"/>
  <c r="AR27" i="109"/>
  <c r="AQ27" i="109"/>
  <c r="BA27" i="109" s="1"/>
  <c r="AP27" i="109"/>
  <c r="AO27" i="109"/>
  <c r="AY27" i="109" s="1"/>
  <c r="AN27" i="109"/>
  <c r="AM27" i="109"/>
  <c r="AW27" i="109" s="1"/>
  <c r="AL27" i="109"/>
  <c r="AK27" i="109"/>
  <c r="AU27" i="109" s="1"/>
  <c r="AJ27" i="109"/>
  <c r="AI27" i="109"/>
  <c r="C27" i="109"/>
  <c r="D27" i="109" s="1"/>
  <c r="LR26" i="109"/>
  <c r="LQ26" i="109"/>
  <c r="AR26" i="109"/>
  <c r="AQ26" i="109"/>
  <c r="BA26" i="109" s="1"/>
  <c r="AP26" i="109"/>
  <c r="AO26" i="109"/>
  <c r="AY26" i="109" s="1"/>
  <c r="AN26" i="109"/>
  <c r="AM26" i="109"/>
  <c r="AW26" i="109" s="1"/>
  <c r="AL26" i="109"/>
  <c r="AK26" i="109"/>
  <c r="AU26" i="109" s="1"/>
  <c r="AJ26" i="109"/>
  <c r="AI26" i="109"/>
  <c r="C26" i="109"/>
  <c r="D26" i="109" s="1"/>
  <c r="LR25" i="109"/>
  <c r="LQ25" i="109"/>
  <c r="AR25" i="109"/>
  <c r="AQ25" i="109"/>
  <c r="BA25" i="109" s="1"/>
  <c r="AP25" i="109"/>
  <c r="AO25" i="109"/>
  <c r="AY25" i="109" s="1"/>
  <c r="AN25" i="109"/>
  <c r="AM25" i="109"/>
  <c r="AW25" i="109" s="1"/>
  <c r="AL25" i="109"/>
  <c r="AK25" i="109"/>
  <c r="AU25" i="109" s="1"/>
  <c r="AJ25" i="109"/>
  <c r="AI25" i="109"/>
  <c r="C25" i="109"/>
  <c r="D25" i="109" s="1"/>
  <c r="LR24" i="109"/>
  <c r="LQ24" i="109"/>
  <c r="AR24" i="109"/>
  <c r="AQ24" i="109"/>
  <c r="BA24" i="109" s="1"/>
  <c r="AP24" i="109"/>
  <c r="AO24" i="109"/>
  <c r="AY24" i="109" s="1"/>
  <c r="AN24" i="109"/>
  <c r="AM24" i="109"/>
  <c r="AW24" i="109" s="1"/>
  <c r="AL24" i="109"/>
  <c r="AK24" i="109"/>
  <c r="AU24" i="109" s="1"/>
  <c r="AJ24" i="109"/>
  <c r="AI24" i="109"/>
  <c r="C24" i="109"/>
  <c r="D24" i="109" s="1"/>
  <c r="LR23" i="109"/>
  <c r="LQ23" i="109"/>
  <c r="AR23" i="109"/>
  <c r="AQ23" i="109"/>
  <c r="BA23" i="109" s="1"/>
  <c r="AP23" i="109"/>
  <c r="AO23" i="109"/>
  <c r="AY23" i="109" s="1"/>
  <c r="AN23" i="109"/>
  <c r="AM23" i="109"/>
  <c r="AW23" i="109" s="1"/>
  <c r="AL23" i="109"/>
  <c r="AK23" i="109"/>
  <c r="AU23" i="109" s="1"/>
  <c r="AJ23" i="109"/>
  <c r="AI23" i="109"/>
  <c r="D23" i="109"/>
  <c r="C23" i="109"/>
  <c r="LR22" i="109"/>
  <c r="LQ22" i="109"/>
  <c r="AR22" i="109"/>
  <c r="AQ22" i="109"/>
  <c r="BA22" i="109" s="1"/>
  <c r="AP22" i="109"/>
  <c r="AO22" i="109"/>
  <c r="AY22" i="109" s="1"/>
  <c r="AN22" i="109"/>
  <c r="AM22" i="109"/>
  <c r="AW22" i="109" s="1"/>
  <c r="AL22" i="109"/>
  <c r="AK22" i="109"/>
  <c r="AU22" i="109" s="1"/>
  <c r="AJ22" i="109"/>
  <c r="AI22" i="109"/>
  <c r="C22" i="109"/>
  <c r="D22" i="109" s="1"/>
  <c r="LR21" i="109"/>
  <c r="LQ21" i="109"/>
  <c r="FL21" i="109"/>
  <c r="FK21" i="109"/>
  <c r="AR21" i="109"/>
  <c r="AQ21" i="109"/>
  <c r="AP21" i="109"/>
  <c r="AO21" i="109"/>
  <c r="AN21" i="109"/>
  <c r="AM21" i="109"/>
  <c r="AL21" i="109"/>
  <c r="AK21" i="109"/>
  <c r="AJ21" i="109"/>
  <c r="AI21" i="109"/>
  <c r="C21" i="109"/>
  <c r="D21" i="109" s="1"/>
  <c r="LR19" i="109"/>
  <c r="LQ19" i="109"/>
  <c r="C19" i="109"/>
  <c r="D19" i="109" s="1"/>
  <c r="LR18" i="109"/>
  <c r="LQ18" i="109"/>
  <c r="AR18" i="109"/>
  <c r="AQ18" i="109"/>
  <c r="BA18" i="109" s="1"/>
  <c r="AP18" i="109"/>
  <c r="AO18" i="109"/>
  <c r="AY18" i="109" s="1"/>
  <c r="AN18" i="109"/>
  <c r="AM18" i="109"/>
  <c r="AW18" i="109" s="1"/>
  <c r="AL18" i="109"/>
  <c r="AK18" i="109"/>
  <c r="AU18" i="109" s="1"/>
  <c r="AJ18" i="109"/>
  <c r="AI18" i="109"/>
  <c r="C18" i="109"/>
  <c r="D18" i="109" s="1"/>
  <c r="LR17" i="109"/>
  <c r="LQ17" i="109"/>
  <c r="AR17" i="109"/>
  <c r="AQ17" i="109"/>
  <c r="BA17" i="109" s="1"/>
  <c r="AP17" i="109"/>
  <c r="AO17" i="109"/>
  <c r="AY17" i="109" s="1"/>
  <c r="AN17" i="109"/>
  <c r="AM17" i="109"/>
  <c r="AW17" i="109" s="1"/>
  <c r="AL17" i="109"/>
  <c r="AK17" i="109"/>
  <c r="AU17" i="109" s="1"/>
  <c r="AJ17" i="109"/>
  <c r="AI17" i="109"/>
  <c r="C17" i="109"/>
  <c r="D17" i="109" s="1"/>
  <c r="LR16" i="109"/>
  <c r="LQ16" i="109"/>
  <c r="AR16" i="109"/>
  <c r="AQ16" i="109"/>
  <c r="BA16" i="109" s="1"/>
  <c r="AP16" i="109"/>
  <c r="AO16" i="109"/>
  <c r="AY16" i="109" s="1"/>
  <c r="AN16" i="109"/>
  <c r="AM16" i="109"/>
  <c r="AW16" i="109" s="1"/>
  <c r="AL16" i="109"/>
  <c r="AK16" i="109"/>
  <c r="AU16" i="109" s="1"/>
  <c r="AJ16" i="109"/>
  <c r="AI16" i="109"/>
  <c r="C16" i="109"/>
  <c r="D16" i="109" s="1"/>
  <c r="LR15" i="109"/>
  <c r="LQ15" i="109"/>
  <c r="AR15" i="109"/>
  <c r="AQ15" i="109"/>
  <c r="BA15" i="109" s="1"/>
  <c r="AP15" i="109"/>
  <c r="AO15" i="109"/>
  <c r="AY15" i="109" s="1"/>
  <c r="AN15" i="109"/>
  <c r="AM15" i="109"/>
  <c r="AW15" i="109" s="1"/>
  <c r="AL15" i="109"/>
  <c r="AK15" i="109"/>
  <c r="AU15" i="109" s="1"/>
  <c r="AJ15" i="109"/>
  <c r="AI15" i="109"/>
  <c r="C15" i="109"/>
  <c r="D15" i="109" s="1"/>
  <c r="LR14" i="109"/>
  <c r="LQ14" i="109"/>
  <c r="AR14" i="109"/>
  <c r="AQ14" i="109"/>
  <c r="BA14" i="109" s="1"/>
  <c r="AP14" i="109"/>
  <c r="AO14" i="109"/>
  <c r="AY14" i="109" s="1"/>
  <c r="AN14" i="109"/>
  <c r="AM14" i="109"/>
  <c r="AW14" i="109" s="1"/>
  <c r="AL14" i="109"/>
  <c r="AK14" i="109"/>
  <c r="AU14" i="109" s="1"/>
  <c r="AJ14" i="109"/>
  <c r="AI14" i="109"/>
  <c r="D14" i="109"/>
  <c r="C14" i="109"/>
  <c r="LR13" i="109"/>
  <c r="LQ13" i="109"/>
  <c r="AR13" i="109"/>
  <c r="AQ13" i="109"/>
  <c r="BA13" i="109" s="1"/>
  <c r="AP13" i="109"/>
  <c r="AO13" i="109"/>
  <c r="AY13" i="109" s="1"/>
  <c r="AN13" i="109"/>
  <c r="AM13" i="109"/>
  <c r="AW13" i="109" s="1"/>
  <c r="AL13" i="109"/>
  <c r="AK13" i="109"/>
  <c r="AU13" i="109" s="1"/>
  <c r="AJ13" i="109"/>
  <c r="AI13" i="109"/>
  <c r="C13" i="109"/>
  <c r="D13" i="109" s="1"/>
  <c r="LR12" i="109"/>
  <c r="LQ12" i="109"/>
  <c r="AR12" i="109"/>
  <c r="AQ12" i="109"/>
  <c r="BA12" i="109" s="1"/>
  <c r="AP12" i="109"/>
  <c r="AO12" i="109"/>
  <c r="AY12" i="109" s="1"/>
  <c r="AN12" i="109"/>
  <c r="AM12" i="109"/>
  <c r="AW12" i="109" s="1"/>
  <c r="AL12" i="109"/>
  <c r="AK12" i="109"/>
  <c r="AU12" i="109" s="1"/>
  <c r="AJ12" i="109"/>
  <c r="AI12" i="109"/>
  <c r="C12" i="109"/>
  <c r="D12" i="109" s="1"/>
  <c r="LR11" i="109"/>
  <c r="LQ11" i="109"/>
  <c r="AR11" i="109"/>
  <c r="AQ11" i="109"/>
  <c r="BA11" i="109" s="1"/>
  <c r="AP11" i="109"/>
  <c r="AO11" i="109"/>
  <c r="AY11" i="109" s="1"/>
  <c r="AN11" i="109"/>
  <c r="AM11" i="109"/>
  <c r="AW11" i="109" s="1"/>
  <c r="AL11" i="109"/>
  <c r="AK11" i="109"/>
  <c r="AU11" i="109" s="1"/>
  <c r="AJ11" i="109"/>
  <c r="AI11" i="109"/>
  <c r="C11" i="109"/>
  <c r="D11" i="109" s="1"/>
  <c r="LR10" i="109"/>
  <c r="LQ10" i="109"/>
  <c r="AR10" i="109"/>
  <c r="AQ10" i="109"/>
  <c r="BA10" i="109" s="1"/>
  <c r="AP10" i="109"/>
  <c r="AO10" i="109"/>
  <c r="AY10" i="109" s="1"/>
  <c r="AN10" i="109"/>
  <c r="AM10" i="109"/>
  <c r="AW10" i="109" s="1"/>
  <c r="AL10" i="109"/>
  <c r="AK10" i="109"/>
  <c r="AU10" i="109" s="1"/>
  <c r="AJ10" i="109"/>
  <c r="AI10" i="109"/>
  <c r="C10" i="109"/>
  <c r="D10" i="109" s="1"/>
  <c r="LR9" i="109"/>
  <c r="LQ9" i="109"/>
  <c r="AR9" i="109"/>
  <c r="AQ9" i="109"/>
  <c r="BA9" i="109" s="1"/>
  <c r="AP9" i="109"/>
  <c r="AO9" i="109"/>
  <c r="AY9" i="109" s="1"/>
  <c r="AN9" i="109"/>
  <c r="AM9" i="109"/>
  <c r="AW9" i="109" s="1"/>
  <c r="AL9" i="109"/>
  <c r="AK9" i="109"/>
  <c r="AU9" i="109" s="1"/>
  <c r="AJ9" i="109"/>
  <c r="AI9" i="109"/>
  <c r="C9" i="109"/>
  <c r="D9" i="109" s="1"/>
  <c r="LR8" i="109"/>
  <c r="LQ8" i="109"/>
  <c r="AR8" i="109"/>
  <c r="AQ8" i="109"/>
  <c r="BA8" i="109" s="1"/>
  <c r="AP8" i="109"/>
  <c r="AO8" i="109"/>
  <c r="AY8" i="109" s="1"/>
  <c r="AN8" i="109"/>
  <c r="AM8" i="109"/>
  <c r="AW8" i="109" s="1"/>
  <c r="AL8" i="109"/>
  <c r="AK8" i="109"/>
  <c r="AU8" i="109" s="1"/>
  <c r="AJ8" i="109"/>
  <c r="AI8" i="109"/>
  <c r="C8" i="109"/>
  <c r="D8" i="109" s="1"/>
  <c r="LR7" i="109"/>
  <c r="LQ7" i="109"/>
  <c r="JH7" i="109"/>
  <c r="JG7" i="109"/>
  <c r="JF7" i="109"/>
  <c r="JE7" i="109"/>
  <c r="JD7" i="109"/>
  <c r="JC7" i="109"/>
  <c r="JB7" i="109"/>
  <c r="JA7" i="109"/>
  <c r="IZ7" i="109"/>
  <c r="IY7" i="109"/>
  <c r="IX7" i="109"/>
  <c r="JL7" i="109" s="1"/>
  <c r="IW7" i="109"/>
  <c r="IV7" i="109"/>
  <c r="IU7" i="109"/>
  <c r="FR7" i="109"/>
  <c r="FQ7" i="109"/>
  <c r="FP7" i="109"/>
  <c r="FO7" i="109"/>
  <c r="FN7" i="109"/>
  <c r="FM7" i="109"/>
  <c r="FL7" i="109"/>
  <c r="FK7" i="109"/>
  <c r="AR7" i="109"/>
  <c r="AQ7" i="109"/>
  <c r="AP7" i="109"/>
  <c r="AO7" i="109"/>
  <c r="AN7" i="109"/>
  <c r="AM7" i="109"/>
  <c r="AL7" i="109"/>
  <c r="AK7" i="109"/>
  <c r="AJ7" i="109"/>
  <c r="AI7" i="109"/>
  <c r="C7" i="109"/>
  <c r="D7" i="109" s="1"/>
  <c r="NX24" i="136" l="1"/>
  <c r="NZ24" i="136"/>
  <c r="KF21" i="136"/>
  <c r="KH21" i="136" s="1"/>
  <c r="LN21" i="136"/>
  <c r="LP21" i="136" s="1"/>
  <c r="LR21" i="136" s="1"/>
  <c r="GK21" i="136"/>
  <c r="NU21" i="136"/>
  <c r="NU24" i="136" s="1"/>
  <c r="GQ21" i="136"/>
  <c r="GM21" i="136"/>
  <c r="KW21" i="136"/>
  <c r="GF21" i="136"/>
  <c r="GD21" i="136"/>
  <c r="GB21" i="136"/>
  <c r="GW21" i="136"/>
  <c r="AX23" i="109"/>
  <c r="BB27" i="109"/>
  <c r="AZ29" i="109"/>
  <c r="BB24" i="109"/>
  <c r="AZ26" i="109"/>
  <c r="JP7" i="109"/>
  <c r="BB14" i="109"/>
  <c r="JK7" i="109"/>
  <c r="AV40" i="109"/>
  <c r="BB42" i="109"/>
  <c r="JQ7" i="109"/>
  <c r="LG7" i="109" s="1"/>
  <c r="JQ35" i="109"/>
  <c r="AZ41" i="109"/>
  <c r="AZ44" i="109"/>
  <c r="AZ51" i="109"/>
  <c r="AX52" i="109"/>
  <c r="AX30" i="109"/>
  <c r="AX17" i="109"/>
  <c r="AZ37" i="109"/>
  <c r="AV47" i="109"/>
  <c r="JO52" i="109"/>
  <c r="AX27" i="109"/>
  <c r="AV29" i="109"/>
  <c r="JK52" i="109"/>
  <c r="JL53" i="109"/>
  <c r="AZ12" i="109"/>
  <c r="AV15" i="109"/>
  <c r="AV31" i="109"/>
  <c r="AX41" i="109"/>
  <c r="GP21" i="136"/>
  <c r="AZ15" i="109"/>
  <c r="AX16" i="109"/>
  <c r="AV18" i="109"/>
  <c r="AV36" i="109"/>
  <c r="BB36" i="109"/>
  <c r="AZ38" i="109"/>
  <c r="AX39" i="109"/>
  <c r="AZ43" i="109"/>
  <c r="AX44" i="109"/>
  <c r="AZ47" i="109"/>
  <c r="FU52" i="109"/>
  <c r="GE52" i="109" s="1"/>
  <c r="GM52" i="109" s="1"/>
  <c r="JI52" i="109"/>
  <c r="JY52" i="109" s="1"/>
  <c r="KA52" i="109" s="1"/>
  <c r="JM52" i="109"/>
  <c r="JS52" i="109"/>
  <c r="AZ53" i="109"/>
  <c r="AM33" i="109"/>
  <c r="AW33" i="109" s="1"/>
  <c r="JK51" i="109"/>
  <c r="JJ52" i="109"/>
  <c r="JN52" i="109"/>
  <c r="JT52" i="109"/>
  <c r="JQ53" i="109"/>
  <c r="LG53" i="109" s="1"/>
  <c r="LI53" i="109" s="1"/>
  <c r="LS21" i="136"/>
  <c r="JJ7" i="109"/>
  <c r="AI19" i="109"/>
  <c r="AX9" i="109"/>
  <c r="BB11" i="109"/>
  <c r="AZ13" i="109"/>
  <c r="AX14" i="109"/>
  <c r="AX22" i="109"/>
  <c r="AV23" i="109"/>
  <c r="AZ25" i="109"/>
  <c r="AV28" i="109"/>
  <c r="BB32" i="109"/>
  <c r="JL35" i="109"/>
  <c r="JL52" i="109"/>
  <c r="JP52" i="109"/>
  <c r="AZ8" i="109"/>
  <c r="FU51" i="109"/>
  <c r="GE51" i="109" s="1"/>
  <c r="GM51" i="109" s="1"/>
  <c r="AN33" i="109"/>
  <c r="AX36" i="109"/>
  <c r="AV38" i="109"/>
  <c r="BB38" i="109"/>
  <c r="AZ39" i="109"/>
  <c r="AX43" i="109"/>
  <c r="AX46" i="109"/>
  <c r="FS53" i="109"/>
  <c r="GI53" i="109" s="1"/>
  <c r="JR53" i="109"/>
  <c r="AX24" i="109"/>
  <c r="AI33" i="109"/>
  <c r="BB22" i="109"/>
  <c r="BB30" i="109"/>
  <c r="AZ31" i="109"/>
  <c r="AX32" i="109"/>
  <c r="AO48" i="109"/>
  <c r="AY48" i="109" s="1"/>
  <c r="GI51" i="109"/>
  <c r="FT51" i="109"/>
  <c r="FZ51" i="109" s="1"/>
  <c r="AM19" i="109"/>
  <c r="AW19" i="109" s="1"/>
  <c r="JR7" i="109"/>
  <c r="LH7" i="109" s="1"/>
  <c r="AV13" i="109"/>
  <c r="BB16" i="109"/>
  <c r="AZ23" i="109"/>
  <c r="AI48" i="109"/>
  <c r="JI35" i="109"/>
  <c r="JY35" i="109" s="1"/>
  <c r="JM35" i="109"/>
  <c r="KO35" i="109" s="1"/>
  <c r="KQ35" i="109" s="1"/>
  <c r="KS35" i="109" s="1"/>
  <c r="JS35" i="109"/>
  <c r="AX37" i="109"/>
  <c r="AV41" i="109"/>
  <c r="BB41" i="109"/>
  <c r="JI7" i="109"/>
  <c r="JY7" i="109" s="1"/>
  <c r="JM7" i="109"/>
  <c r="KO7" i="109" s="1"/>
  <c r="KQ7" i="109" s="1"/>
  <c r="KS7" i="109" s="1"/>
  <c r="JS7" i="109"/>
  <c r="AV10" i="109"/>
  <c r="BB17" i="109"/>
  <c r="AZ18" i="109"/>
  <c r="AJ33" i="109"/>
  <c r="AZ28" i="109"/>
  <c r="FX51" i="109"/>
  <c r="GH51" i="109" s="1"/>
  <c r="GP51" i="109" s="1"/>
  <c r="JI51" i="109"/>
  <c r="JY51" i="109" s="1"/>
  <c r="AV8" i="109"/>
  <c r="AZ10" i="109"/>
  <c r="AV12" i="109"/>
  <c r="AV25" i="109"/>
  <c r="AV26" i="109"/>
  <c r="JN7" i="109"/>
  <c r="KP7" i="109" s="1"/>
  <c r="JT7" i="109"/>
  <c r="AQ33" i="109"/>
  <c r="BA33" i="109" s="1"/>
  <c r="AK48" i="109"/>
  <c r="AU48" i="109" s="1"/>
  <c r="FS35" i="109"/>
  <c r="FW35" i="109" s="1"/>
  <c r="GG35" i="109" s="1"/>
  <c r="FY51" i="109"/>
  <c r="GK51" i="109" s="1"/>
  <c r="JJ51" i="109"/>
  <c r="JT51" i="109"/>
  <c r="JO53" i="109"/>
  <c r="AX11" i="109"/>
  <c r="BB9" i="109"/>
  <c r="AQ19" i="109"/>
  <c r="BA19" i="109" s="1"/>
  <c r="FS7" i="109"/>
  <c r="JO7" i="109"/>
  <c r="AR33" i="109"/>
  <c r="JP35" i="109"/>
  <c r="AX42" i="109"/>
  <c r="AV43" i="109"/>
  <c r="BB43" i="109"/>
  <c r="BB46" i="109"/>
  <c r="AV51" i="109"/>
  <c r="BB51" i="109"/>
  <c r="JP53" i="109"/>
  <c r="AJ48" i="109"/>
  <c r="JJ35" i="109"/>
  <c r="JZ35" i="109" s="1"/>
  <c r="JT35" i="109"/>
  <c r="AZ36" i="109"/>
  <c r="AX38" i="109"/>
  <c r="AV39" i="109"/>
  <c r="BB39" i="109"/>
  <c r="AZ40" i="109"/>
  <c r="AV44" i="109"/>
  <c r="BB44" i="109"/>
  <c r="AX47" i="109"/>
  <c r="AX51" i="109"/>
  <c r="BB52" i="109"/>
  <c r="JI53" i="109"/>
  <c r="JY53" i="109" s="1"/>
  <c r="JM53" i="109"/>
  <c r="JS53" i="109"/>
  <c r="JK35" i="109"/>
  <c r="JO35" i="109"/>
  <c r="JL51" i="109"/>
  <c r="JP51" i="109"/>
  <c r="JR52" i="109"/>
  <c r="JJ53" i="109"/>
  <c r="JN53" i="109"/>
  <c r="JT53" i="109"/>
  <c r="AR19" i="109"/>
  <c r="AX10" i="109"/>
  <c r="AZ11" i="109"/>
  <c r="AX12" i="109"/>
  <c r="AN19" i="109"/>
  <c r="BB10" i="109"/>
  <c r="BB12" i="109"/>
  <c r="AK19" i="109"/>
  <c r="AU19" i="109" s="1"/>
  <c r="AO19" i="109"/>
  <c r="AY19" i="109" s="1"/>
  <c r="AX8" i="109"/>
  <c r="BB8" i="109"/>
  <c r="AV9" i="109"/>
  <c r="AZ9" i="109"/>
  <c r="AX13" i="109"/>
  <c r="BB13" i="109"/>
  <c r="AV14" i="109"/>
  <c r="AZ14" i="109"/>
  <c r="AX15" i="109"/>
  <c r="BB15" i="109"/>
  <c r="AV16" i="109"/>
  <c r="AZ16" i="109"/>
  <c r="AK33" i="109"/>
  <c r="AU33" i="109" s="1"/>
  <c r="AO33" i="109"/>
  <c r="AY33" i="109" s="1"/>
  <c r="BB23" i="109"/>
  <c r="AV24" i="109"/>
  <c r="AZ24" i="109"/>
  <c r="AX25" i="109"/>
  <c r="BB25" i="109"/>
  <c r="AX28" i="109"/>
  <c r="BB28" i="109"/>
  <c r="AJ19" i="109"/>
  <c r="AV11" i="109"/>
  <c r="AL19" i="109"/>
  <c r="AV19" i="109" s="1"/>
  <c r="AP19" i="109"/>
  <c r="AV17" i="109"/>
  <c r="AZ17" i="109"/>
  <c r="AX18" i="109"/>
  <c r="BB18" i="109"/>
  <c r="AL33" i="109"/>
  <c r="AP33" i="109"/>
  <c r="AX26" i="109"/>
  <c r="BB26" i="109"/>
  <c r="AV27" i="109"/>
  <c r="AZ27" i="109"/>
  <c r="AX29" i="109"/>
  <c r="BB29" i="109"/>
  <c r="AV30" i="109"/>
  <c r="AZ30" i="109"/>
  <c r="AX31" i="109"/>
  <c r="BB31" i="109"/>
  <c r="AV32" i="109"/>
  <c r="AZ32" i="109"/>
  <c r="LI7" i="109"/>
  <c r="FT7" i="109"/>
  <c r="FV7" i="109" s="1"/>
  <c r="GI7" i="109"/>
  <c r="FW7" i="109"/>
  <c r="GG7" i="109" s="1"/>
  <c r="KA7" i="109"/>
  <c r="AU7" i="109"/>
  <c r="AY7" i="109"/>
  <c r="AV7" i="109"/>
  <c r="AZ7" i="109"/>
  <c r="AW7" i="109"/>
  <c r="BA7" i="109"/>
  <c r="AX7" i="109"/>
  <c r="BB7" i="109"/>
  <c r="AU21" i="109"/>
  <c r="AY21" i="109"/>
  <c r="AV21" i="109"/>
  <c r="AZ21" i="109"/>
  <c r="AW21" i="109"/>
  <c r="BA21" i="109"/>
  <c r="AV22" i="109"/>
  <c r="AZ22" i="109"/>
  <c r="AX21" i="109"/>
  <c r="BB21" i="109"/>
  <c r="AM48" i="109"/>
  <c r="AW48" i="109" s="1"/>
  <c r="AW35" i="109"/>
  <c r="AQ48" i="109"/>
  <c r="BA48" i="109" s="1"/>
  <c r="BA35" i="109"/>
  <c r="AN48" i="109"/>
  <c r="AX35" i="109"/>
  <c r="AR48" i="109"/>
  <c r="BB35" i="109"/>
  <c r="AL48" i="109"/>
  <c r="AV48" i="109" s="1"/>
  <c r="AV35" i="109"/>
  <c r="AP48" i="109"/>
  <c r="AZ48" i="109" s="1"/>
  <c r="AZ35" i="109"/>
  <c r="FT35" i="109"/>
  <c r="FZ35" i="109" s="1"/>
  <c r="JN35" i="109"/>
  <c r="JR35" i="109"/>
  <c r="AU35" i="109"/>
  <c r="AY35" i="109"/>
  <c r="GO35" i="109"/>
  <c r="KA35" i="109"/>
  <c r="AV42" i="109"/>
  <c r="AZ42" i="109"/>
  <c r="AX40" i="109"/>
  <c r="BB40" i="109"/>
  <c r="AZ45" i="109"/>
  <c r="JO51" i="109"/>
  <c r="JS51" i="109"/>
  <c r="AX45" i="109"/>
  <c r="BB45" i="109"/>
  <c r="AV46" i="109"/>
  <c r="AZ46" i="109"/>
  <c r="AV52" i="109"/>
  <c r="AZ52" i="109"/>
  <c r="GO52" i="109"/>
  <c r="JM51" i="109"/>
  <c r="JQ51" i="109"/>
  <c r="LG51" i="109" s="1"/>
  <c r="JN51" i="109"/>
  <c r="JR51" i="109"/>
  <c r="FT52" i="109"/>
  <c r="FV52" i="109" s="1"/>
  <c r="GF52" i="109" s="1"/>
  <c r="GI52" i="109"/>
  <c r="JQ52" i="109"/>
  <c r="LG52" i="109" s="1"/>
  <c r="AX53" i="109"/>
  <c r="BB53" i="109"/>
  <c r="GN21" i="136" l="1"/>
  <c r="KY21" i="136"/>
  <c r="KX21" i="136"/>
  <c r="GL21" i="136"/>
  <c r="NV21" i="136"/>
  <c r="NV24" i="136" s="1"/>
  <c r="GR21" i="136"/>
  <c r="GS21" i="136"/>
  <c r="GU21" i="136"/>
  <c r="GX21" i="136"/>
  <c r="KP53" i="109"/>
  <c r="KR53" i="109" s="1"/>
  <c r="KT53" i="109" s="1"/>
  <c r="KO53" i="109"/>
  <c r="KQ53" i="109" s="1"/>
  <c r="KS53" i="109" s="1"/>
  <c r="LH53" i="109"/>
  <c r="LJ53" i="109" s="1"/>
  <c r="JZ51" i="109"/>
  <c r="AX33" i="109"/>
  <c r="AZ19" i="109"/>
  <c r="JZ52" i="109"/>
  <c r="KB52" i="109" s="1"/>
  <c r="KA51" i="109"/>
  <c r="JZ53" i="109"/>
  <c r="KB53" i="109" s="1"/>
  <c r="FY53" i="109"/>
  <c r="GK53" i="109" s="1"/>
  <c r="JZ7" i="109"/>
  <c r="AX19" i="109"/>
  <c r="FT53" i="109"/>
  <c r="FV53" i="109" s="1"/>
  <c r="BB33" i="109"/>
  <c r="KR7" i="109"/>
  <c r="KT7" i="109" s="1"/>
  <c r="LT21" i="136"/>
  <c r="AX48" i="109"/>
  <c r="AV33" i="109"/>
  <c r="KA53" i="109"/>
  <c r="FU53" i="109"/>
  <c r="GE53" i="109" s="1"/>
  <c r="GM53" i="109" s="1"/>
  <c r="BB19" i="109"/>
  <c r="KP51" i="109"/>
  <c r="FW53" i="109"/>
  <c r="GG53" i="109" s="1"/>
  <c r="GO53" i="109" s="1"/>
  <c r="BB48" i="109"/>
  <c r="FU35" i="109"/>
  <c r="GE35" i="109" s="1"/>
  <c r="GM35" i="109" s="1"/>
  <c r="GS35" i="109" s="1"/>
  <c r="GL51" i="109"/>
  <c r="GI35" i="109"/>
  <c r="GQ35" i="109" s="1"/>
  <c r="FY35" i="109"/>
  <c r="GK35" i="109" s="1"/>
  <c r="GL35" i="109" s="1"/>
  <c r="FU7" i="109"/>
  <c r="GE7" i="109" s="1"/>
  <c r="GM7" i="109" s="1"/>
  <c r="GS7" i="109" s="1"/>
  <c r="FY7" i="109"/>
  <c r="GK7" i="109" s="1"/>
  <c r="FV51" i="109"/>
  <c r="GF51" i="109" s="1"/>
  <c r="GN51" i="109" s="1"/>
  <c r="GQ51" i="109"/>
  <c r="GJ51" i="109"/>
  <c r="AZ33" i="109"/>
  <c r="LH52" i="109"/>
  <c r="LI52" i="109"/>
  <c r="KP52" i="109"/>
  <c r="GO7" i="109"/>
  <c r="GJ52" i="109"/>
  <c r="GQ52" i="109"/>
  <c r="FX52" i="109"/>
  <c r="GH52" i="109" s="1"/>
  <c r="GP52" i="109" s="1"/>
  <c r="LI51" i="109"/>
  <c r="LH51" i="109"/>
  <c r="GS51" i="109"/>
  <c r="FX35" i="109"/>
  <c r="GH35" i="109" s="1"/>
  <c r="GP35" i="109" s="1"/>
  <c r="GJ7" i="109"/>
  <c r="GQ7" i="109"/>
  <c r="LJ7" i="109"/>
  <c r="LK7" i="109"/>
  <c r="FZ52" i="109"/>
  <c r="GL52" i="109" s="1"/>
  <c r="KO51" i="109"/>
  <c r="KQ51" i="109" s="1"/>
  <c r="KO52" i="109"/>
  <c r="KQ52" i="109" s="1"/>
  <c r="GQ53" i="109"/>
  <c r="GN52" i="109"/>
  <c r="GS52" i="109"/>
  <c r="LK53" i="109"/>
  <c r="KB51" i="109"/>
  <c r="KB35" i="109"/>
  <c r="KP35" i="109"/>
  <c r="KR35" i="109" s="1"/>
  <c r="KT35" i="109" s="1"/>
  <c r="FZ7" i="109"/>
  <c r="GL7" i="109" s="1"/>
  <c r="FV35" i="109"/>
  <c r="KB7" i="109"/>
  <c r="FX7" i="109"/>
  <c r="GH7" i="109" s="1"/>
  <c r="KZ21" i="136" l="1"/>
  <c r="GY21" i="136"/>
  <c r="GT21" i="136"/>
  <c r="GV21" i="136"/>
  <c r="GF53" i="109"/>
  <c r="GJ35" i="109"/>
  <c r="GR35" i="109" s="1"/>
  <c r="FX53" i="109"/>
  <c r="GJ53" i="109"/>
  <c r="FZ53" i="109"/>
  <c r="GL53" i="109" s="1"/>
  <c r="GF7" i="109"/>
  <c r="GN7" i="109" s="1"/>
  <c r="GT51" i="109"/>
  <c r="GF35" i="109"/>
  <c r="GN35" i="109" s="1"/>
  <c r="GT35" i="109" s="1"/>
  <c r="GH53" i="109"/>
  <c r="GP53" i="109" s="1"/>
  <c r="GR53" i="109"/>
  <c r="GR52" i="109"/>
  <c r="GR7" i="109"/>
  <c r="GR51" i="109"/>
  <c r="KR52" i="109"/>
  <c r="KS52" i="109"/>
  <c r="LM53" i="109"/>
  <c r="LL53" i="109"/>
  <c r="KS51" i="109"/>
  <c r="KR51" i="109"/>
  <c r="LM7" i="109"/>
  <c r="LL7" i="109"/>
  <c r="GP7" i="109"/>
  <c r="GT7" i="109" s="1"/>
  <c r="LK52" i="109"/>
  <c r="LJ52" i="109"/>
  <c r="LJ51" i="109"/>
  <c r="LK51" i="109"/>
  <c r="GS53" i="109"/>
  <c r="GN53" i="109"/>
  <c r="GT52" i="109"/>
  <c r="GZ21" i="136" l="1"/>
  <c r="LM51" i="109"/>
  <c r="LL51" i="109"/>
  <c r="GT53" i="109"/>
  <c r="LL52" i="109"/>
  <c r="LM52" i="109"/>
  <c r="KT51" i="109"/>
  <c r="KT52" i="109"/>
  <c r="LN7" i="109"/>
  <c r="LN53" i="109"/>
  <c r="LN52" i="109" l="1"/>
  <c r="LN51" i="109"/>
  <c r="BZ40" i="16" l="1"/>
  <c r="CB40" i="16" s="1"/>
  <c r="BE40" i="16"/>
  <c r="BD40" i="16"/>
  <c r="BC40" i="16"/>
  <c r="BB40" i="16"/>
  <c r="BA40" i="16"/>
  <c r="AZ40" i="16"/>
  <c r="AY40" i="16"/>
  <c r="AX40" i="16"/>
  <c r="AW40" i="16"/>
  <c r="AV40" i="16"/>
  <c r="AU40" i="16"/>
  <c r="AT40" i="16"/>
  <c r="AS40" i="16"/>
  <c r="AR40" i="16"/>
  <c r="D35" i="16"/>
  <c r="D36" i="16"/>
  <c r="D37" i="16"/>
  <c r="D38" i="16"/>
  <c r="D39" i="16"/>
  <c r="D40" i="16"/>
  <c r="D34" i="16"/>
  <c r="D33" i="16"/>
  <c r="D31" i="16"/>
  <c r="D32" i="16"/>
  <c r="BE39" i="16"/>
  <c r="BD39" i="16"/>
  <c r="BC39" i="16"/>
  <c r="BB39" i="16"/>
  <c r="BA39" i="16"/>
  <c r="AZ39" i="16"/>
  <c r="AY39" i="16"/>
  <c r="AX39" i="16"/>
  <c r="AW39" i="16"/>
  <c r="AV39" i="16"/>
  <c r="AU39" i="16"/>
  <c r="AT39" i="16"/>
  <c r="AS39" i="16"/>
  <c r="AR39" i="16"/>
  <c r="BE38" i="16"/>
  <c r="BD38" i="16"/>
  <c r="BC38" i="16"/>
  <c r="BB38" i="16"/>
  <c r="BA38" i="16"/>
  <c r="AZ38" i="16"/>
  <c r="AY38" i="16"/>
  <c r="AX38" i="16"/>
  <c r="AW38" i="16"/>
  <c r="AV38" i="16"/>
  <c r="AU38" i="16"/>
  <c r="AT38" i="16"/>
  <c r="AS38" i="16"/>
  <c r="AR38" i="16"/>
  <c r="BR38" i="16" s="1"/>
  <c r="BE37" i="16"/>
  <c r="BD37" i="16"/>
  <c r="BC37" i="16"/>
  <c r="BB37" i="16"/>
  <c r="BA37" i="16"/>
  <c r="AZ37" i="16"/>
  <c r="AY37" i="16"/>
  <c r="AX37" i="16"/>
  <c r="AW37" i="16"/>
  <c r="AV37" i="16"/>
  <c r="AU37" i="16"/>
  <c r="AT37" i="16"/>
  <c r="AS37" i="16"/>
  <c r="AR37" i="16"/>
  <c r="BR37" i="16" s="1"/>
  <c r="BE36" i="16"/>
  <c r="BD36" i="16"/>
  <c r="BC36" i="16"/>
  <c r="BB36" i="16"/>
  <c r="BA36" i="16"/>
  <c r="AZ36" i="16"/>
  <c r="AY36" i="16"/>
  <c r="AX36" i="16"/>
  <c r="AW36" i="16"/>
  <c r="AV36" i="16"/>
  <c r="AU36" i="16"/>
  <c r="AT36" i="16"/>
  <c r="AS36" i="16"/>
  <c r="AR36" i="16"/>
  <c r="BE35" i="16"/>
  <c r="BD35" i="16"/>
  <c r="BC35" i="16"/>
  <c r="BB35" i="16"/>
  <c r="BA35" i="16"/>
  <c r="AZ35" i="16"/>
  <c r="AY35" i="16"/>
  <c r="AX35" i="16"/>
  <c r="AW35" i="16"/>
  <c r="AV35" i="16"/>
  <c r="AU35" i="16"/>
  <c r="AT35" i="16"/>
  <c r="AS35" i="16"/>
  <c r="AR35" i="16"/>
  <c r="BE34" i="16"/>
  <c r="BD34" i="16"/>
  <c r="BC34" i="16"/>
  <c r="BB34" i="16"/>
  <c r="BA34" i="16"/>
  <c r="AZ34" i="16"/>
  <c r="AY34" i="16"/>
  <c r="AX34" i="16"/>
  <c r="AW34" i="16"/>
  <c r="AV34" i="16"/>
  <c r="AU34" i="16"/>
  <c r="AT34" i="16"/>
  <c r="AS34" i="16"/>
  <c r="AR34" i="16"/>
  <c r="BR34" i="16" s="1"/>
  <c r="BE33" i="16"/>
  <c r="BD33" i="16"/>
  <c r="BC33" i="16"/>
  <c r="BB33" i="16"/>
  <c r="BA33" i="16"/>
  <c r="AZ33" i="16"/>
  <c r="AY33" i="16"/>
  <c r="AX33" i="16"/>
  <c r="AW33" i="16"/>
  <c r="AV33" i="16"/>
  <c r="AU33" i="16"/>
  <c r="AT33" i="16"/>
  <c r="AS33" i="16"/>
  <c r="AR33" i="16"/>
  <c r="BE32" i="16"/>
  <c r="BD32" i="16"/>
  <c r="BC32" i="16"/>
  <c r="BB32" i="16"/>
  <c r="BA32" i="16"/>
  <c r="AZ32" i="16"/>
  <c r="AY32" i="16"/>
  <c r="AX32" i="16"/>
  <c r="AW32" i="16"/>
  <c r="AV32" i="16"/>
  <c r="AU32" i="16"/>
  <c r="AT32" i="16"/>
  <c r="AS32" i="16"/>
  <c r="AR32" i="16"/>
  <c r="BR32" i="16" s="1"/>
  <c r="BE31" i="16"/>
  <c r="BD31" i="16"/>
  <c r="BC31" i="16"/>
  <c r="BB31" i="16"/>
  <c r="BA31" i="16"/>
  <c r="AZ31" i="16"/>
  <c r="AY31" i="16"/>
  <c r="AX31" i="16"/>
  <c r="AW31" i="16"/>
  <c r="AV31" i="16"/>
  <c r="AU31" i="16"/>
  <c r="AT31" i="16"/>
  <c r="AS31" i="16"/>
  <c r="AR31" i="16"/>
  <c r="BR31" i="16" s="1"/>
  <c r="D22" i="16"/>
  <c r="D23" i="16"/>
  <c r="D24" i="16"/>
  <c r="D25" i="16"/>
  <c r="D26" i="16"/>
  <c r="D27" i="16"/>
  <c r="D28" i="16"/>
  <c r="D29" i="16"/>
  <c r="D21" i="16"/>
  <c r="CY9" i="10"/>
  <c r="CY10" i="10"/>
  <c r="CY11" i="10"/>
  <c r="CY12" i="10"/>
  <c r="CY13" i="10"/>
  <c r="CY14" i="10"/>
  <c r="CY15" i="10"/>
  <c r="CY16" i="10"/>
  <c r="CY8" i="10"/>
  <c r="BZ29" i="16"/>
  <c r="CB29" i="16" s="1"/>
  <c r="AR20" i="16"/>
  <c r="AS20" i="16"/>
  <c r="AT20" i="16"/>
  <c r="AU20" i="16"/>
  <c r="AV20" i="16"/>
  <c r="AW20" i="16"/>
  <c r="AX20" i="16"/>
  <c r="AY20" i="16"/>
  <c r="AZ20" i="16"/>
  <c r="BA20" i="16"/>
  <c r="BB20" i="16"/>
  <c r="BC20" i="16"/>
  <c r="BD20" i="16"/>
  <c r="BE20" i="16"/>
  <c r="AR21" i="16"/>
  <c r="AS21" i="16"/>
  <c r="AT21" i="16"/>
  <c r="AU21" i="16"/>
  <c r="AV21" i="16"/>
  <c r="AW21" i="16"/>
  <c r="AX21" i="16"/>
  <c r="AY21" i="16"/>
  <c r="AZ21" i="16"/>
  <c r="BA21" i="16"/>
  <c r="BB21" i="16"/>
  <c r="BC21" i="16"/>
  <c r="BD21" i="16"/>
  <c r="BE21" i="16"/>
  <c r="AR22" i="16"/>
  <c r="AS22" i="16"/>
  <c r="AT22" i="16"/>
  <c r="AU22" i="16"/>
  <c r="AV22" i="16"/>
  <c r="AW22" i="16"/>
  <c r="AX22" i="16"/>
  <c r="AY22" i="16"/>
  <c r="AZ22" i="16"/>
  <c r="BA22" i="16"/>
  <c r="BB22" i="16"/>
  <c r="BC22" i="16"/>
  <c r="BD22" i="16"/>
  <c r="BE22" i="16"/>
  <c r="AR23" i="16"/>
  <c r="AS23" i="16"/>
  <c r="AT23" i="16"/>
  <c r="AU23" i="16"/>
  <c r="AV23" i="16"/>
  <c r="AW23" i="16"/>
  <c r="AX23" i="16"/>
  <c r="AY23" i="16"/>
  <c r="AZ23" i="16"/>
  <c r="BA23" i="16"/>
  <c r="BB23" i="16"/>
  <c r="BC23" i="16"/>
  <c r="BD23" i="16"/>
  <c r="BE23" i="16"/>
  <c r="AR24" i="16"/>
  <c r="AS24" i="16"/>
  <c r="AT24" i="16"/>
  <c r="AU24" i="16"/>
  <c r="AV24" i="16"/>
  <c r="AW24" i="16"/>
  <c r="AX24" i="16"/>
  <c r="AY24" i="16"/>
  <c r="AZ24" i="16"/>
  <c r="BA24" i="16"/>
  <c r="BB24" i="16"/>
  <c r="BC24" i="16"/>
  <c r="BD24" i="16"/>
  <c r="BE24" i="16"/>
  <c r="AR25" i="16"/>
  <c r="AS25" i="16"/>
  <c r="AT25" i="16"/>
  <c r="AU25" i="16"/>
  <c r="AV25" i="16"/>
  <c r="AW25" i="16"/>
  <c r="AX25" i="16"/>
  <c r="AY25" i="16"/>
  <c r="AZ25" i="16"/>
  <c r="BA25" i="16"/>
  <c r="BB25" i="16"/>
  <c r="BC25" i="16"/>
  <c r="BD25" i="16"/>
  <c r="BE25" i="16"/>
  <c r="AR26" i="16"/>
  <c r="AS26" i="16"/>
  <c r="AT26" i="16"/>
  <c r="AU26" i="16"/>
  <c r="AV26" i="16"/>
  <c r="AW26" i="16"/>
  <c r="AX26" i="16"/>
  <c r="AY26" i="16"/>
  <c r="AZ26" i="16"/>
  <c r="BA26" i="16"/>
  <c r="BB26" i="16"/>
  <c r="BC26" i="16"/>
  <c r="BD26" i="16"/>
  <c r="BE26" i="16"/>
  <c r="AR27" i="16"/>
  <c r="AS27" i="16"/>
  <c r="AT27" i="16"/>
  <c r="AU27" i="16"/>
  <c r="AV27" i="16"/>
  <c r="AW27" i="16"/>
  <c r="AX27" i="16"/>
  <c r="AY27" i="16"/>
  <c r="AZ27" i="16"/>
  <c r="BA27" i="16"/>
  <c r="BB27" i="16"/>
  <c r="BC27" i="16"/>
  <c r="BD27" i="16"/>
  <c r="BE27" i="16"/>
  <c r="AR28" i="16"/>
  <c r="AS28" i="16"/>
  <c r="AT28" i="16"/>
  <c r="AU28" i="16"/>
  <c r="AV28" i="16"/>
  <c r="AW28" i="16"/>
  <c r="AX28" i="16"/>
  <c r="AY28" i="16"/>
  <c r="AZ28" i="16"/>
  <c r="BA28" i="16"/>
  <c r="BB28" i="16"/>
  <c r="BC28" i="16"/>
  <c r="BD28" i="16"/>
  <c r="BE28" i="16"/>
  <c r="AR29" i="16"/>
  <c r="AS29" i="16"/>
  <c r="AT29" i="16"/>
  <c r="AU29" i="16"/>
  <c r="AV29" i="16"/>
  <c r="AW29" i="16"/>
  <c r="AX29" i="16"/>
  <c r="AY29" i="16"/>
  <c r="AZ29" i="16"/>
  <c r="BA29" i="16"/>
  <c r="BB29" i="16"/>
  <c r="BC29" i="16"/>
  <c r="BD29" i="16"/>
  <c r="BE29" i="16"/>
  <c r="LD20" i="1"/>
  <c r="LE20" i="1"/>
  <c r="LF20" i="1"/>
  <c r="LD21" i="1"/>
  <c r="LE21" i="1"/>
  <c r="LF21" i="1"/>
  <c r="LD22" i="1"/>
  <c r="LE22" i="1"/>
  <c r="LF22" i="1"/>
  <c r="IM18" i="1"/>
  <c r="IN18" i="1"/>
  <c r="IO18" i="1"/>
  <c r="IP18" i="1"/>
  <c r="IQ18" i="1"/>
  <c r="IR18" i="1"/>
  <c r="IS18" i="1"/>
  <c r="IT18" i="1"/>
  <c r="IU18" i="1"/>
  <c r="IV18" i="1"/>
  <c r="IW18" i="1"/>
  <c r="IX18" i="1"/>
  <c r="IY18" i="1"/>
  <c r="IZ18" i="1"/>
  <c r="IM19" i="1"/>
  <c r="IN19" i="1"/>
  <c r="IO19" i="1"/>
  <c r="IP19" i="1"/>
  <c r="IQ19" i="1"/>
  <c r="IR19" i="1"/>
  <c r="IS19" i="1"/>
  <c r="IT19" i="1"/>
  <c r="IU19" i="1"/>
  <c r="IV19" i="1"/>
  <c r="JH19" i="1" s="1"/>
  <c r="IW19" i="1"/>
  <c r="IX19" i="1"/>
  <c r="IY19" i="1"/>
  <c r="IZ19" i="1"/>
  <c r="JL19" i="1" s="1"/>
  <c r="IM20" i="1"/>
  <c r="IN20" i="1"/>
  <c r="IO20" i="1"/>
  <c r="IP20" i="1"/>
  <c r="IQ20" i="1"/>
  <c r="IR20" i="1"/>
  <c r="IS20" i="1"/>
  <c r="IT20" i="1"/>
  <c r="IU20" i="1"/>
  <c r="IV20" i="1"/>
  <c r="IW20" i="1"/>
  <c r="IX20" i="1"/>
  <c r="IY20" i="1"/>
  <c r="JK20" i="1" s="1"/>
  <c r="IZ20" i="1"/>
  <c r="JL20" i="1" s="1"/>
  <c r="IM21" i="1"/>
  <c r="IN21" i="1"/>
  <c r="IO21" i="1"/>
  <c r="IP21" i="1"/>
  <c r="IQ21" i="1"/>
  <c r="IR21" i="1"/>
  <c r="IS21" i="1"/>
  <c r="IT21" i="1"/>
  <c r="IU21" i="1"/>
  <c r="IV21" i="1"/>
  <c r="IW21" i="1"/>
  <c r="IX21" i="1"/>
  <c r="IY21" i="1"/>
  <c r="IZ21" i="1"/>
  <c r="IM22" i="1"/>
  <c r="IN22" i="1"/>
  <c r="IO22" i="1"/>
  <c r="IP22" i="1"/>
  <c r="IQ22" i="1"/>
  <c r="IR22" i="1"/>
  <c r="IS22" i="1"/>
  <c r="IT22" i="1"/>
  <c r="IU22" i="1"/>
  <c r="IV22" i="1"/>
  <c r="IW22" i="1"/>
  <c r="IX22" i="1"/>
  <c r="IY22" i="1"/>
  <c r="IZ22" i="1"/>
  <c r="JL22" i="1" s="1"/>
  <c r="FC18" i="1"/>
  <c r="FD18" i="1"/>
  <c r="FE18" i="1"/>
  <c r="FF18" i="1"/>
  <c r="FG18" i="1"/>
  <c r="FH18" i="1"/>
  <c r="FI18" i="1"/>
  <c r="FJ18" i="1"/>
  <c r="FC19" i="1"/>
  <c r="FD19" i="1"/>
  <c r="FE19" i="1"/>
  <c r="FF19" i="1"/>
  <c r="FG19" i="1"/>
  <c r="FH19" i="1"/>
  <c r="FI19" i="1"/>
  <c r="FJ19" i="1"/>
  <c r="FC20" i="1"/>
  <c r="FD20" i="1"/>
  <c r="FE20" i="1"/>
  <c r="FF20" i="1"/>
  <c r="FG20" i="1"/>
  <c r="FH20" i="1"/>
  <c r="FI20" i="1"/>
  <c r="FJ20" i="1"/>
  <c r="FC21" i="1"/>
  <c r="FD21" i="1"/>
  <c r="FE21" i="1"/>
  <c r="FF21" i="1"/>
  <c r="FG21" i="1"/>
  <c r="FH21" i="1"/>
  <c r="FI21" i="1"/>
  <c r="FJ21" i="1"/>
  <c r="FC22" i="1"/>
  <c r="FD22" i="1"/>
  <c r="FE22" i="1"/>
  <c r="FF22" i="1"/>
  <c r="FG22" i="1"/>
  <c r="FH22" i="1"/>
  <c r="FI22" i="1"/>
  <c r="FJ22" i="1"/>
  <c r="D20" i="1"/>
  <c r="D21" i="1"/>
  <c r="D22" i="1"/>
  <c r="AI20" i="1"/>
  <c r="AJ20" i="1"/>
  <c r="AK20" i="1"/>
  <c r="AL20" i="1"/>
  <c r="AM20" i="1"/>
  <c r="AN20" i="1"/>
  <c r="AO20" i="1"/>
  <c r="AY20" i="1" s="1"/>
  <c r="AP20" i="1"/>
  <c r="AQ20" i="1"/>
  <c r="AR20" i="1"/>
  <c r="AI21" i="1"/>
  <c r="AJ21" i="1"/>
  <c r="AK21" i="1"/>
  <c r="AU21" i="1" s="1"/>
  <c r="AL21" i="1"/>
  <c r="AM21" i="1"/>
  <c r="AW21" i="1" s="1"/>
  <c r="AN21" i="1"/>
  <c r="AO21" i="1"/>
  <c r="AP21" i="1"/>
  <c r="AQ21" i="1"/>
  <c r="BA21" i="1" s="1"/>
  <c r="AR21" i="1"/>
  <c r="AI22" i="1"/>
  <c r="AJ22" i="1"/>
  <c r="AK22" i="1"/>
  <c r="AU22" i="1" s="1"/>
  <c r="AL22" i="1"/>
  <c r="AM22" i="1"/>
  <c r="AN22" i="1"/>
  <c r="AO22" i="1"/>
  <c r="AY22" i="1" s="1"/>
  <c r="AP22" i="1"/>
  <c r="AQ22" i="1"/>
  <c r="AR22" i="1"/>
  <c r="AU20" i="1"/>
  <c r="AI14" i="15"/>
  <c r="BI14" i="15" s="1"/>
  <c r="AJ14" i="15"/>
  <c r="BJ14" i="15" s="1"/>
  <c r="AK14" i="15"/>
  <c r="AL14" i="15"/>
  <c r="AM14" i="15"/>
  <c r="AN14" i="15"/>
  <c r="AO14" i="15"/>
  <c r="AZ14" i="15" s="1"/>
  <c r="AP14" i="15"/>
  <c r="AQ14" i="15"/>
  <c r="AR14" i="15"/>
  <c r="AU14" i="15"/>
  <c r="JH22" i="1" l="1"/>
  <c r="JK21" i="1"/>
  <c r="JK18" i="1"/>
  <c r="JG22" i="1"/>
  <c r="BB14" i="15"/>
  <c r="BP14" i="15" s="1"/>
  <c r="AV14" i="15"/>
  <c r="JH18" i="1"/>
  <c r="JK22" i="1"/>
  <c r="JG21" i="1"/>
  <c r="JK19" i="1"/>
  <c r="AX14" i="15"/>
  <c r="BN14" i="15" s="1"/>
  <c r="JG19" i="1"/>
  <c r="JL21" i="1"/>
  <c r="JH20" i="1"/>
  <c r="JL18" i="1"/>
  <c r="BR33" i="16"/>
  <c r="BS33" i="16" s="1"/>
  <c r="BR36" i="16"/>
  <c r="AW14" i="15"/>
  <c r="BM14" i="15" s="1"/>
  <c r="BT31" i="16"/>
  <c r="BU31" i="16" s="1"/>
  <c r="BA14" i="15"/>
  <c r="BO14" i="15" s="1"/>
  <c r="AY14" i="15"/>
  <c r="BS34" i="16"/>
  <c r="BS36" i="16"/>
  <c r="BT37" i="16"/>
  <c r="BU37" i="16" s="1"/>
  <c r="BS31" i="16"/>
  <c r="BS37" i="16"/>
  <c r="BR40" i="16"/>
  <c r="BS40" i="16" s="1"/>
  <c r="BT40" i="16"/>
  <c r="BU40" i="16" s="1"/>
  <c r="CA40" i="16"/>
  <c r="CC40" i="16" s="1"/>
  <c r="BR39" i="16"/>
  <c r="BS39" i="16" s="1"/>
  <c r="BT39" i="16"/>
  <c r="BU39" i="16" s="1"/>
  <c r="BT36" i="16"/>
  <c r="BU36" i="16" s="1"/>
  <c r="BR35" i="16"/>
  <c r="BS35" i="16" s="1"/>
  <c r="BT38" i="16"/>
  <c r="BU38" i="16" s="1"/>
  <c r="BS38" i="16"/>
  <c r="BT35" i="16"/>
  <c r="BU35" i="16" s="1"/>
  <c r="BT33" i="16"/>
  <c r="BU33" i="16" s="1"/>
  <c r="BT32" i="16"/>
  <c r="BU32" i="16" s="1"/>
  <c r="BT34" i="16"/>
  <c r="BU34" i="16" s="1"/>
  <c r="BS32" i="16"/>
  <c r="BT28" i="16"/>
  <c r="BU28" i="16" s="1"/>
  <c r="BR27" i="16"/>
  <c r="BT26" i="16"/>
  <c r="BU26" i="16" s="1"/>
  <c r="BR25" i="16"/>
  <c r="BS25" i="16" s="1"/>
  <c r="BT24" i="16"/>
  <c r="BU24" i="16" s="1"/>
  <c r="BR23" i="16"/>
  <c r="BS23" i="16" s="1"/>
  <c r="BR29" i="16"/>
  <c r="BS29" i="16" s="1"/>
  <c r="BT29" i="16"/>
  <c r="BU29" i="16" s="1"/>
  <c r="BR28" i="16"/>
  <c r="BS28" i="16" s="1"/>
  <c r="BT27" i="16"/>
  <c r="BU27" i="16" s="1"/>
  <c r="BR26" i="16"/>
  <c r="BS26" i="16" s="1"/>
  <c r="BT25" i="16"/>
  <c r="BU25" i="16" s="1"/>
  <c r="BR24" i="16"/>
  <c r="BS24" i="16" s="1"/>
  <c r="BT23" i="16"/>
  <c r="BU23" i="16" s="1"/>
  <c r="BT21" i="16"/>
  <c r="BU21" i="16" s="1"/>
  <c r="BR21" i="16"/>
  <c r="BS21" i="16" s="1"/>
  <c r="BR22" i="16"/>
  <c r="BS22" i="16" s="1"/>
  <c r="BT22" i="16"/>
  <c r="BU22" i="16" s="1"/>
  <c r="CA29" i="16"/>
  <c r="CC29" i="16" s="1"/>
  <c r="JG20" i="1"/>
  <c r="JG18" i="1"/>
  <c r="JH21" i="1"/>
  <c r="JJ21" i="1"/>
  <c r="JC22" i="1"/>
  <c r="JF19" i="1"/>
  <c r="JA18" i="1"/>
  <c r="JA19" i="1"/>
  <c r="JA21" i="1"/>
  <c r="JQ21" i="1" s="1"/>
  <c r="JS21" i="1" s="1"/>
  <c r="JI21" i="1"/>
  <c r="KM21" i="1" s="1"/>
  <c r="JE21" i="1"/>
  <c r="JC21" i="1"/>
  <c r="JJ19" i="1"/>
  <c r="JF21" i="1"/>
  <c r="JC20" i="1"/>
  <c r="JI19" i="1"/>
  <c r="JE19" i="1"/>
  <c r="JC19" i="1"/>
  <c r="JB21" i="1"/>
  <c r="JF22" i="1"/>
  <c r="JB19" i="1"/>
  <c r="JF20" i="1"/>
  <c r="JB20" i="1"/>
  <c r="JB22" i="1"/>
  <c r="JE22" i="1"/>
  <c r="JA22" i="1"/>
  <c r="JQ22" i="1" s="1"/>
  <c r="JS22" i="1" s="1"/>
  <c r="JE20" i="1"/>
  <c r="JA20" i="1"/>
  <c r="JQ20" i="1" s="1"/>
  <c r="JS20" i="1" s="1"/>
  <c r="JE18" i="1"/>
  <c r="JI18" i="1"/>
  <c r="JD22" i="1"/>
  <c r="JD21" i="1"/>
  <c r="JD20" i="1"/>
  <c r="JD19" i="1"/>
  <c r="JF18" i="1"/>
  <c r="JJ22" i="1"/>
  <c r="JJ20" i="1"/>
  <c r="JD18" i="1"/>
  <c r="JI22" i="1"/>
  <c r="JI20" i="1"/>
  <c r="JC18" i="1"/>
  <c r="JB18" i="1"/>
  <c r="JJ18" i="1"/>
  <c r="BB22" i="1"/>
  <c r="AX22" i="1"/>
  <c r="AZ21" i="1"/>
  <c r="AX20" i="1"/>
  <c r="AZ20" i="1"/>
  <c r="AZ22" i="1"/>
  <c r="AV22" i="1"/>
  <c r="BB20" i="1"/>
  <c r="BA22" i="1"/>
  <c r="BB21" i="1"/>
  <c r="AY21" i="1"/>
  <c r="AV21" i="1"/>
  <c r="AW20" i="1"/>
  <c r="BA20" i="1"/>
  <c r="AV20" i="1"/>
  <c r="AW22" i="1"/>
  <c r="AX21" i="1"/>
  <c r="AI10" i="15"/>
  <c r="BI10" i="15" s="1"/>
  <c r="AJ10" i="15"/>
  <c r="BJ10" i="15" s="1"/>
  <c r="AK10" i="15"/>
  <c r="AU10" i="15" s="1"/>
  <c r="AL10" i="15"/>
  <c r="AM10" i="15"/>
  <c r="AW10" i="15" s="1"/>
  <c r="BM10" i="15" s="1"/>
  <c r="AN10" i="15"/>
  <c r="AO10" i="15"/>
  <c r="AY10" i="15" s="1"/>
  <c r="AP10" i="15"/>
  <c r="AQ10" i="15"/>
  <c r="BA10" i="15" s="1"/>
  <c r="BO10" i="15" s="1"/>
  <c r="AR10" i="15"/>
  <c r="D14" i="15"/>
  <c r="D10" i="15"/>
  <c r="CV10" i="10"/>
  <c r="AI16" i="10"/>
  <c r="AJ16" i="10"/>
  <c r="AK16" i="10"/>
  <c r="AU16" i="10" s="1"/>
  <c r="AL16" i="10"/>
  <c r="AM16" i="10"/>
  <c r="AW16" i="10" s="1"/>
  <c r="AN16" i="10"/>
  <c r="AO16" i="10"/>
  <c r="AY16" i="10" s="1"/>
  <c r="AP16" i="10"/>
  <c r="AQ16" i="10"/>
  <c r="AR16" i="10"/>
  <c r="CV16" i="10"/>
  <c r="CW16" i="10"/>
  <c r="CX16" i="10"/>
  <c r="D13" i="10"/>
  <c r="D14" i="10"/>
  <c r="D15" i="10"/>
  <c r="D16" i="10"/>
  <c r="CV12" i="10"/>
  <c r="CW12" i="10"/>
  <c r="CX12" i="10"/>
  <c r="CV13" i="10"/>
  <c r="CW13" i="10"/>
  <c r="CX13" i="10"/>
  <c r="CV14" i="10"/>
  <c r="CW14" i="10"/>
  <c r="CX14" i="10"/>
  <c r="CV15" i="10"/>
  <c r="CW15" i="10"/>
  <c r="CX15" i="10"/>
  <c r="AI12" i="10"/>
  <c r="AJ12" i="10"/>
  <c r="AK12" i="10"/>
  <c r="AU12" i="10" s="1"/>
  <c r="AL12" i="10"/>
  <c r="AM12" i="10"/>
  <c r="AW12" i="10" s="1"/>
  <c r="AN12" i="10"/>
  <c r="AO12" i="10"/>
  <c r="AY12" i="10" s="1"/>
  <c r="AP12" i="10"/>
  <c r="AQ12" i="10"/>
  <c r="BA12" i="10" s="1"/>
  <c r="AR12" i="10"/>
  <c r="AI13" i="10"/>
  <c r="AJ13" i="10"/>
  <c r="AK13" i="10"/>
  <c r="AU13" i="10" s="1"/>
  <c r="AL13" i="10"/>
  <c r="AM13" i="10"/>
  <c r="AW13" i="10" s="1"/>
  <c r="AN13" i="10"/>
  <c r="AO13" i="10"/>
  <c r="AY13" i="10" s="1"/>
  <c r="AP13" i="10"/>
  <c r="AQ13" i="10"/>
  <c r="BA13" i="10" s="1"/>
  <c r="AR13" i="10"/>
  <c r="AI14" i="10"/>
  <c r="AJ14" i="10"/>
  <c r="AK14" i="10"/>
  <c r="AU14" i="10" s="1"/>
  <c r="AL14" i="10"/>
  <c r="AM14" i="10"/>
  <c r="AW14" i="10" s="1"/>
  <c r="AN14" i="10"/>
  <c r="AO14" i="10"/>
  <c r="AY14" i="10" s="1"/>
  <c r="AP14" i="10"/>
  <c r="AQ14" i="10"/>
  <c r="BA14" i="10" s="1"/>
  <c r="AR14" i="10"/>
  <c r="AI15" i="10"/>
  <c r="AJ15" i="10"/>
  <c r="AK15" i="10"/>
  <c r="AU15" i="10" s="1"/>
  <c r="AL15" i="10"/>
  <c r="AM15" i="10"/>
  <c r="AW15" i="10" s="1"/>
  <c r="AN15" i="10"/>
  <c r="AO15" i="10"/>
  <c r="AY15" i="10" s="1"/>
  <c r="AP15" i="10"/>
  <c r="AQ15" i="10"/>
  <c r="BA15" i="10" s="1"/>
  <c r="AR15" i="10"/>
  <c r="D12" i="10"/>
  <c r="CA19" i="16"/>
  <c r="BE19" i="16"/>
  <c r="BD19" i="16"/>
  <c r="BC19" i="16"/>
  <c r="BB19" i="16"/>
  <c r="BA19" i="16"/>
  <c r="AZ19" i="16"/>
  <c r="AY19" i="16"/>
  <c r="AX19" i="16"/>
  <c r="AW19" i="16"/>
  <c r="AV19" i="16"/>
  <c r="AU19" i="16"/>
  <c r="AT19" i="16"/>
  <c r="AS19" i="16"/>
  <c r="AR19" i="16"/>
  <c r="BR19" i="16" s="1"/>
  <c r="AR9" i="16"/>
  <c r="BE18" i="16"/>
  <c r="BD18" i="16"/>
  <c r="BC18" i="16"/>
  <c r="BB18" i="16"/>
  <c r="BA18" i="16"/>
  <c r="AZ18" i="16"/>
  <c r="AY18" i="16"/>
  <c r="AX18" i="16"/>
  <c r="AW18" i="16"/>
  <c r="AV18" i="16"/>
  <c r="AU18" i="16"/>
  <c r="AT18" i="16"/>
  <c r="AS18" i="16"/>
  <c r="AR18" i="16"/>
  <c r="BE17" i="16"/>
  <c r="BD17" i="16"/>
  <c r="BC17" i="16"/>
  <c r="BB17" i="16"/>
  <c r="BA17" i="16"/>
  <c r="AZ17" i="16"/>
  <c r="AY17" i="16"/>
  <c r="AX17" i="16"/>
  <c r="AW17" i="16"/>
  <c r="AV17" i="16"/>
  <c r="AU17" i="16"/>
  <c r="AT17" i="16"/>
  <c r="AS17" i="16"/>
  <c r="AR17" i="16"/>
  <c r="BE16" i="16"/>
  <c r="BD16" i="16"/>
  <c r="BC16" i="16"/>
  <c r="BB16" i="16"/>
  <c r="BA16" i="16"/>
  <c r="AZ16" i="16"/>
  <c r="AY16" i="16"/>
  <c r="AX16" i="16"/>
  <c r="AW16" i="16"/>
  <c r="AV16" i="16"/>
  <c r="AU16" i="16"/>
  <c r="AT16" i="16"/>
  <c r="AS16" i="16"/>
  <c r="AR16" i="16"/>
  <c r="BE15" i="16"/>
  <c r="BD15" i="16"/>
  <c r="BC15" i="16"/>
  <c r="BB15" i="16"/>
  <c r="BA15" i="16"/>
  <c r="AZ15" i="16"/>
  <c r="AY15" i="16"/>
  <c r="AX15" i="16"/>
  <c r="AW15" i="16"/>
  <c r="AV15" i="16"/>
  <c r="AU15" i="16"/>
  <c r="AT15" i="16"/>
  <c r="AS15" i="16"/>
  <c r="AR15" i="16"/>
  <c r="BE14" i="16"/>
  <c r="BD14" i="16"/>
  <c r="BC14" i="16"/>
  <c r="BB14" i="16"/>
  <c r="BA14" i="16"/>
  <c r="AZ14" i="16"/>
  <c r="AY14" i="16"/>
  <c r="AX14" i="16"/>
  <c r="AW14" i="16"/>
  <c r="AV14" i="16"/>
  <c r="AU14" i="16"/>
  <c r="AT14" i="16"/>
  <c r="AS14" i="16"/>
  <c r="AR14" i="16"/>
  <c r="BR14" i="16" s="1"/>
  <c r="BE13" i="16"/>
  <c r="BD13" i="16"/>
  <c r="BC13" i="16"/>
  <c r="BB13" i="16"/>
  <c r="BA13" i="16"/>
  <c r="AZ13" i="16"/>
  <c r="AY13" i="16"/>
  <c r="AX13" i="16"/>
  <c r="AW13" i="16"/>
  <c r="AV13" i="16"/>
  <c r="AU13" i="16"/>
  <c r="AT13" i="16"/>
  <c r="AS13" i="16"/>
  <c r="AR13" i="16"/>
  <c r="BE12" i="16"/>
  <c r="BD12" i="16"/>
  <c r="BC12" i="16"/>
  <c r="BB12" i="16"/>
  <c r="BA12" i="16"/>
  <c r="AZ12" i="16"/>
  <c r="AY12" i="16"/>
  <c r="AX12" i="16"/>
  <c r="AW12" i="16"/>
  <c r="AV12" i="16"/>
  <c r="AU12" i="16"/>
  <c r="AT12" i="16"/>
  <c r="AS12" i="16"/>
  <c r="AR12" i="16"/>
  <c r="BE11" i="16"/>
  <c r="BD11" i="16"/>
  <c r="BC11" i="16"/>
  <c r="BB11" i="16"/>
  <c r="BA11" i="16"/>
  <c r="AZ11" i="16"/>
  <c r="AY11" i="16"/>
  <c r="AX11" i="16"/>
  <c r="AW11" i="16"/>
  <c r="AV11" i="16"/>
  <c r="AU11" i="16"/>
  <c r="AT11" i="16"/>
  <c r="AS11" i="16"/>
  <c r="AR11" i="16"/>
  <c r="BE10" i="16"/>
  <c r="BD10" i="16"/>
  <c r="BC10" i="16"/>
  <c r="BB10" i="16"/>
  <c r="BA10" i="16"/>
  <c r="AZ10" i="16"/>
  <c r="AY10" i="16"/>
  <c r="AX10" i="16"/>
  <c r="AW10" i="16"/>
  <c r="AV10" i="16"/>
  <c r="AU10" i="16"/>
  <c r="AT10" i="16"/>
  <c r="AS10" i="16"/>
  <c r="AR10" i="16"/>
  <c r="BR10" i="16" s="1"/>
  <c r="BE9" i="16"/>
  <c r="BD9" i="16"/>
  <c r="BC9" i="16"/>
  <c r="BB9" i="16"/>
  <c r="BA9" i="16"/>
  <c r="AZ9" i="16"/>
  <c r="AY9" i="16"/>
  <c r="AX9" i="16"/>
  <c r="AW9" i="16"/>
  <c r="AV9" i="16"/>
  <c r="AU9" i="16"/>
  <c r="AT9" i="16"/>
  <c r="AS9" i="16"/>
  <c r="BS27" i="16" l="1"/>
  <c r="BX23" i="16" a="1"/>
  <c r="BX23" i="16" s="1"/>
  <c r="BX34" i="16" a="1"/>
  <c r="BX34" i="16" s="1"/>
  <c r="BR18" i="16"/>
  <c r="BS18" i="16" s="1"/>
  <c r="BR12" i="16"/>
  <c r="BS12" i="16" s="1"/>
  <c r="KB21" i="1"/>
  <c r="KN21" i="1"/>
  <c r="JR21" i="1"/>
  <c r="JT21" i="1" s="1"/>
  <c r="KA22" i="1"/>
  <c r="KC22" i="1" s="1"/>
  <c r="KE22" i="1" s="1"/>
  <c r="JR20" i="1"/>
  <c r="JT20" i="1" s="1"/>
  <c r="FK21" i="1"/>
  <c r="GA21" i="1" s="1"/>
  <c r="GI21" i="1" s="1"/>
  <c r="KO21" i="1"/>
  <c r="KQ21" i="1" s="1"/>
  <c r="KA21" i="1"/>
  <c r="KC21" i="1" s="1"/>
  <c r="KB22" i="1"/>
  <c r="JR22" i="1"/>
  <c r="JT22" i="1" s="1"/>
  <c r="KM20" i="1"/>
  <c r="FK20" i="1"/>
  <c r="KA20" i="1"/>
  <c r="KC20" i="1" s="1"/>
  <c r="FK22" i="1"/>
  <c r="KM22" i="1"/>
  <c r="KB20" i="1"/>
  <c r="BT17" i="16"/>
  <c r="BU17" i="16" s="1"/>
  <c r="BS19" i="16"/>
  <c r="BT19" i="16"/>
  <c r="BU19" i="16" s="1"/>
  <c r="CB19" i="16"/>
  <c r="BB10" i="15"/>
  <c r="BP10" i="15" s="1"/>
  <c r="AX10" i="15"/>
  <c r="BN10" i="15" s="1"/>
  <c r="AZ10" i="15"/>
  <c r="AV10" i="15"/>
  <c r="BZ10" i="15"/>
  <c r="BX10" i="15"/>
  <c r="AV16" i="10"/>
  <c r="AZ16" i="10"/>
  <c r="BB16" i="10"/>
  <c r="AX16" i="10"/>
  <c r="BA16" i="10"/>
  <c r="AX12" i="10"/>
  <c r="BB15" i="10"/>
  <c r="AX15" i="10"/>
  <c r="AZ14" i="10"/>
  <c r="AV14" i="10"/>
  <c r="BB13" i="10"/>
  <c r="AX13" i="10"/>
  <c r="AZ12" i="10"/>
  <c r="AZ15" i="10"/>
  <c r="AV15" i="10"/>
  <c r="BB14" i="10"/>
  <c r="AX14" i="10"/>
  <c r="AZ13" i="10"/>
  <c r="AV13" i="10"/>
  <c r="BB12" i="10"/>
  <c r="AV12" i="10"/>
  <c r="BT18" i="16"/>
  <c r="BU18" i="16" s="1"/>
  <c r="BR15" i="16"/>
  <c r="BS15" i="16" s="1"/>
  <c r="BR16" i="16"/>
  <c r="BR17" i="16"/>
  <c r="BS17" i="16" s="1"/>
  <c r="BS14" i="16"/>
  <c r="BT14" i="16"/>
  <c r="BU14" i="16" s="1"/>
  <c r="BT13" i="16"/>
  <c r="BU13" i="16" s="1"/>
  <c r="BR11" i="16"/>
  <c r="BS11" i="16" s="1"/>
  <c r="BT11" i="16"/>
  <c r="BU11" i="16" s="1"/>
  <c r="BT10" i="16"/>
  <c r="BU10" i="16" s="1"/>
  <c r="BT15" i="16"/>
  <c r="BU15" i="16" s="1"/>
  <c r="BT12" i="16"/>
  <c r="BU12" i="16" s="1"/>
  <c r="BT16" i="16"/>
  <c r="BU16" i="16" s="1"/>
  <c r="BR13" i="16"/>
  <c r="BS13" i="16" s="1"/>
  <c r="BS10" i="16"/>
  <c r="BR9" i="16"/>
  <c r="BS9" i="16" s="1"/>
  <c r="BT9" i="16"/>
  <c r="BU9" i="16" s="1"/>
  <c r="C19" i="1"/>
  <c r="D19" i="1" s="1"/>
  <c r="C18" i="1"/>
  <c r="D18" i="1" s="1"/>
  <c r="C17" i="1"/>
  <c r="C13" i="15"/>
  <c r="D13" i="15" s="1"/>
  <c r="C12" i="15"/>
  <c r="C9" i="15"/>
  <c r="D9" i="15" s="1"/>
  <c r="AI13" i="15"/>
  <c r="BI13" i="15" s="1"/>
  <c r="AJ13" i="15"/>
  <c r="BJ13" i="15" s="1"/>
  <c r="AK13" i="15"/>
  <c r="AU13" i="15" s="1"/>
  <c r="AL13" i="15"/>
  <c r="AM13" i="15"/>
  <c r="AW13" i="15" s="1"/>
  <c r="BM13" i="15" s="1"/>
  <c r="AN13" i="15"/>
  <c r="AO13" i="15"/>
  <c r="AP13" i="15"/>
  <c r="AQ13" i="15"/>
  <c r="BA13" i="15" s="1"/>
  <c r="BO13" i="15" s="1"/>
  <c r="AR13" i="15"/>
  <c r="AI9" i="15"/>
  <c r="BI9" i="15" s="1"/>
  <c r="AJ9" i="15"/>
  <c r="BJ9" i="15" s="1"/>
  <c r="AK9" i="15"/>
  <c r="AU9" i="15" s="1"/>
  <c r="AL9" i="15"/>
  <c r="AM9" i="15"/>
  <c r="AN9" i="15"/>
  <c r="AO9" i="15"/>
  <c r="AY9" i="15" s="1"/>
  <c r="AP9" i="15"/>
  <c r="AQ9" i="15"/>
  <c r="AR9" i="15"/>
  <c r="C11" i="10"/>
  <c r="D11" i="10" s="1"/>
  <c r="C10" i="10"/>
  <c r="D10" i="10" s="1"/>
  <c r="AI9" i="10"/>
  <c r="AJ9" i="10"/>
  <c r="AK9" i="10"/>
  <c r="AU9" i="10" s="1"/>
  <c r="AL9" i="10"/>
  <c r="AM9" i="10"/>
  <c r="AW9" i="10" s="1"/>
  <c r="AN9" i="10"/>
  <c r="AO9" i="10"/>
  <c r="AP9" i="10"/>
  <c r="AQ9" i="10"/>
  <c r="BA9" i="10" s="1"/>
  <c r="AR9" i="10"/>
  <c r="CV9" i="10"/>
  <c r="CW9" i="10"/>
  <c r="CX9" i="10"/>
  <c r="AI10" i="10"/>
  <c r="AJ10" i="10"/>
  <c r="AK10" i="10"/>
  <c r="AU10" i="10" s="1"/>
  <c r="AL10" i="10"/>
  <c r="AM10" i="10"/>
  <c r="AN10" i="10"/>
  <c r="AO10" i="10"/>
  <c r="AY10" i="10" s="1"/>
  <c r="AP10" i="10"/>
  <c r="AQ10" i="10"/>
  <c r="BA10" i="10" s="1"/>
  <c r="AR10" i="10"/>
  <c r="CW10" i="10"/>
  <c r="CX10" i="10"/>
  <c r="AI11" i="10"/>
  <c r="AJ11" i="10"/>
  <c r="AK11" i="10"/>
  <c r="AL11" i="10"/>
  <c r="AM11" i="10"/>
  <c r="AW11" i="10" s="1"/>
  <c r="AN11" i="10"/>
  <c r="AO11" i="10"/>
  <c r="AP11" i="10"/>
  <c r="AQ11" i="10"/>
  <c r="BA11" i="10" s="1"/>
  <c r="AR11" i="10"/>
  <c r="AU11" i="10"/>
  <c r="CV11" i="10"/>
  <c r="CW11" i="10"/>
  <c r="CX11" i="10"/>
  <c r="C9" i="10"/>
  <c r="D9" i="10" s="1"/>
  <c r="CX8" i="10"/>
  <c r="CW8" i="10"/>
  <c r="CV8" i="10"/>
  <c r="BS16" i="16" l="1"/>
  <c r="BX13" i="16" a="1"/>
  <c r="BX13" i="16" s="1"/>
  <c r="KP21" i="1"/>
  <c r="KD22" i="1"/>
  <c r="KF22" i="1" s="1"/>
  <c r="FQ21" i="1"/>
  <c r="FM21" i="1"/>
  <c r="FW21" i="1" s="1"/>
  <c r="FO21" i="1"/>
  <c r="FY21" i="1" s="1"/>
  <c r="GG21" i="1" s="1"/>
  <c r="KD21" i="1"/>
  <c r="KE21" i="1"/>
  <c r="FL21" i="1"/>
  <c r="GB21" i="1" s="1"/>
  <c r="GJ21" i="1" s="1"/>
  <c r="FO22" i="1"/>
  <c r="FY22" i="1" s="1"/>
  <c r="FL22" i="1"/>
  <c r="FQ22" i="1"/>
  <c r="FM22" i="1"/>
  <c r="FW22" i="1" s="1"/>
  <c r="GA22" i="1"/>
  <c r="KO20" i="1"/>
  <c r="KN20" i="1"/>
  <c r="KE20" i="1"/>
  <c r="KD20" i="1"/>
  <c r="KN22" i="1"/>
  <c r="KO22" i="1"/>
  <c r="FQ20" i="1"/>
  <c r="GA20" i="1"/>
  <c r="FL20" i="1"/>
  <c r="FO20" i="1"/>
  <c r="FY20" i="1" s="1"/>
  <c r="FM20" i="1"/>
  <c r="FW20" i="1" s="1"/>
  <c r="KR21" i="1"/>
  <c r="KS21" i="1"/>
  <c r="BY10" i="15"/>
  <c r="CA10" i="15"/>
  <c r="CC19" i="16"/>
  <c r="AZ9" i="15"/>
  <c r="AV9" i="15"/>
  <c r="BB9" i="15"/>
  <c r="BP9" i="15" s="1"/>
  <c r="AX9" i="15"/>
  <c r="BN9" i="15" s="1"/>
  <c r="AZ13" i="15"/>
  <c r="AV13" i="15"/>
  <c r="BB13" i="15"/>
  <c r="BP13" i="15" s="1"/>
  <c r="AX13" i="15"/>
  <c r="BN13" i="15" s="1"/>
  <c r="AY13" i="15"/>
  <c r="BA9" i="15"/>
  <c r="BO9" i="15" s="1"/>
  <c r="AW9" i="15"/>
  <c r="BM9" i="15" s="1"/>
  <c r="BX9" i="15"/>
  <c r="BB9" i="10"/>
  <c r="AX9" i="10"/>
  <c r="AZ11" i="10"/>
  <c r="AV11" i="10"/>
  <c r="BB11" i="10"/>
  <c r="AX11" i="10"/>
  <c r="AY11" i="10"/>
  <c r="AZ9" i="10"/>
  <c r="AV9" i="10"/>
  <c r="BB10" i="10"/>
  <c r="AX10" i="10"/>
  <c r="AY9" i="10"/>
  <c r="AZ10" i="10"/>
  <c r="AW10" i="10"/>
  <c r="AV10" i="10"/>
  <c r="AR8" i="10"/>
  <c r="AQ8" i="10"/>
  <c r="AP8" i="10"/>
  <c r="AO8" i="10"/>
  <c r="AY8" i="10" s="1"/>
  <c r="AN8" i="10"/>
  <c r="AM8" i="10"/>
  <c r="AL8" i="10"/>
  <c r="AK8" i="10"/>
  <c r="AU8" i="10" s="1"/>
  <c r="AJ8" i="10"/>
  <c r="AI8" i="10"/>
  <c r="C8" i="10"/>
  <c r="D8" i="10" s="1"/>
  <c r="KF21" i="1" l="1"/>
  <c r="FN21" i="1"/>
  <c r="FX21" i="1" s="1"/>
  <c r="FR21" i="1"/>
  <c r="FP21" i="1"/>
  <c r="FZ21" i="1" s="1"/>
  <c r="GH21" i="1" s="1"/>
  <c r="GE21" i="1"/>
  <c r="GI20" i="1"/>
  <c r="GB20" i="1"/>
  <c r="GE22" i="1"/>
  <c r="GE20" i="1"/>
  <c r="KF20" i="1"/>
  <c r="GG20" i="1"/>
  <c r="KQ22" i="1"/>
  <c r="KP22" i="1"/>
  <c r="KQ20" i="1"/>
  <c r="KP20" i="1"/>
  <c r="FP22" i="1"/>
  <c r="FZ22" i="1" s="1"/>
  <c r="FR22" i="1"/>
  <c r="FN22" i="1"/>
  <c r="FX22" i="1" s="1"/>
  <c r="KT21" i="1"/>
  <c r="FR20" i="1"/>
  <c r="FP20" i="1"/>
  <c r="FZ20" i="1" s="1"/>
  <c r="FN20" i="1"/>
  <c r="FX20" i="1" s="1"/>
  <c r="GB22" i="1"/>
  <c r="GI22" i="1"/>
  <c r="GG22" i="1"/>
  <c r="BY9" i="15"/>
  <c r="BZ9" i="15"/>
  <c r="CA9" i="15" s="1"/>
  <c r="AX8" i="10"/>
  <c r="BB8" i="10"/>
  <c r="BA8" i="10"/>
  <c r="AV8" i="10"/>
  <c r="AZ8" i="10"/>
  <c r="AW8" i="10"/>
  <c r="GK21" i="1" l="1"/>
  <c r="GF21" i="1"/>
  <c r="GJ22" i="1"/>
  <c r="GH22" i="1"/>
  <c r="KR20" i="1"/>
  <c r="KS20" i="1"/>
  <c r="KS22" i="1"/>
  <c r="KR22" i="1"/>
  <c r="GF20" i="1"/>
  <c r="GK20" i="1"/>
  <c r="GK22" i="1"/>
  <c r="GF22" i="1"/>
  <c r="GJ20" i="1"/>
  <c r="GH20" i="1"/>
  <c r="AR12" i="15"/>
  <c r="AQ12" i="15"/>
  <c r="AI12" i="15"/>
  <c r="BI12" i="15" s="1"/>
  <c r="AJ12" i="15"/>
  <c r="AK12" i="15"/>
  <c r="AL12" i="15"/>
  <c r="AM12" i="15"/>
  <c r="AN12" i="15"/>
  <c r="AO12" i="15"/>
  <c r="AP12" i="15"/>
  <c r="GL20" i="1" l="1"/>
  <c r="GL21" i="1"/>
  <c r="GL22" i="1"/>
  <c r="KT22" i="1"/>
  <c r="KT20" i="1"/>
  <c r="V81" i="7"/>
  <c r="U81" i="7"/>
  <c r="P81" i="7"/>
  <c r="O81" i="7"/>
  <c r="L81" i="7"/>
  <c r="K81" i="7"/>
  <c r="H81" i="7"/>
  <c r="G81" i="7"/>
  <c r="N17" i="7"/>
  <c r="M17" i="7"/>
  <c r="N16" i="7"/>
  <c r="M16" i="7"/>
  <c r="LF19" i="1" l="1"/>
  <c r="LE19" i="1"/>
  <c r="LD19" i="1"/>
  <c r="AR19" i="1"/>
  <c r="AQ19" i="1"/>
  <c r="BA19" i="1" s="1"/>
  <c r="AP19" i="1"/>
  <c r="AO19" i="1"/>
  <c r="AY19" i="1" s="1"/>
  <c r="AN19" i="1"/>
  <c r="AM19" i="1"/>
  <c r="AW19" i="1" s="1"/>
  <c r="AL19" i="1"/>
  <c r="AK19" i="1"/>
  <c r="AU19" i="1" s="1"/>
  <c r="AJ19" i="1"/>
  <c r="AI19" i="1"/>
  <c r="AV19" i="1" l="1"/>
  <c r="AZ19" i="1"/>
  <c r="AX19" i="1"/>
  <c r="BB19" i="1"/>
  <c r="FK19" i="1"/>
  <c r="LF18" i="1"/>
  <c r="LE18" i="1"/>
  <c r="LD18" i="1"/>
  <c r="JQ18" i="1"/>
  <c r="AR18" i="1"/>
  <c r="AQ18" i="1"/>
  <c r="BA18" i="1" s="1"/>
  <c r="AP18" i="1"/>
  <c r="AO18" i="1"/>
  <c r="AY18" i="1" s="1"/>
  <c r="AN18" i="1"/>
  <c r="AM18" i="1"/>
  <c r="AW18" i="1" s="1"/>
  <c r="AL18" i="1"/>
  <c r="AK18" i="1"/>
  <c r="AU18" i="1" s="1"/>
  <c r="AJ18" i="1"/>
  <c r="AI18" i="1"/>
  <c r="FJ17" i="1"/>
  <c r="FI17" i="1"/>
  <c r="FH17" i="1"/>
  <c r="FG17" i="1"/>
  <c r="FF17" i="1"/>
  <c r="FE17" i="1"/>
  <c r="FD17" i="1"/>
  <c r="FC17" i="1"/>
  <c r="LF17" i="1"/>
  <c r="LE17" i="1"/>
  <c r="LD17" i="1"/>
  <c r="IZ17" i="1"/>
  <c r="IY17" i="1"/>
  <c r="IX17" i="1"/>
  <c r="IW17" i="1"/>
  <c r="IV17" i="1"/>
  <c r="IU17" i="1"/>
  <c r="IT17" i="1"/>
  <c r="IS17" i="1"/>
  <c r="IR17" i="1"/>
  <c r="IQ17" i="1"/>
  <c r="IP17" i="1"/>
  <c r="IO17" i="1"/>
  <c r="IN17" i="1"/>
  <c r="IM17" i="1"/>
  <c r="FQ19" i="1" l="1"/>
  <c r="FL19" i="1"/>
  <c r="GA19" i="1"/>
  <c r="FO19" i="1"/>
  <c r="FY19" i="1" s="1"/>
  <c r="FM19" i="1"/>
  <c r="FW19" i="1" s="1"/>
  <c r="JB17" i="1"/>
  <c r="JR18" i="1"/>
  <c r="JA17" i="1"/>
  <c r="JQ17" i="1" s="1"/>
  <c r="JC17" i="1"/>
  <c r="KB19" i="1"/>
  <c r="JF17" i="1"/>
  <c r="JJ17" i="1"/>
  <c r="BB18" i="1"/>
  <c r="KA19" i="1"/>
  <c r="KC19" i="1" s="1"/>
  <c r="KE19" i="1" s="1"/>
  <c r="KM19" i="1"/>
  <c r="KN19" i="1" s="1"/>
  <c r="AZ18" i="1"/>
  <c r="AX18" i="1"/>
  <c r="AV18" i="1"/>
  <c r="JS18" i="1"/>
  <c r="JK17" i="1"/>
  <c r="JD17" i="1"/>
  <c r="JH17" i="1"/>
  <c r="JL17" i="1"/>
  <c r="JG17" i="1"/>
  <c r="JE17" i="1"/>
  <c r="JI17" i="1"/>
  <c r="KM17" i="1" s="1"/>
  <c r="KO17" i="1" s="1"/>
  <c r="FR19" i="1" l="1"/>
  <c r="FN19" i="1"/>
  <c r="FX19" i="1" s="1"/>
  <c r="FP19" i="1"/>
  <c r="FZ19" i="1" s="1"/>
  <c r="GG19" i="1"/>
  <c r="KM18" i="1"/>
  <c r="KO18" i="1" s="1"/>
  <c r="FK18" i="1"/>
  <c r="GI19" i="1"/>
  <c r="GB19" i="1"/>
  <c r="GE19" i="1"/>
  <c r="JR17" i="1"/>
  <c r="JS17" i="1"/>
  <c r="KD19" i="1"/>
  <c r="KF19" i="1" s="1"/>
  <c r="KO19" i="1"/>
  <c r="KP19" i="1" s="1"/>
  <c r="KA18" i="1"/>
  <c r="KC18" i="1" s="1"/>
  <c r="KE18" i="1" s="1"/>
  <c r="KA17" i="1"/>
  <c r="KC17" i="1" s="1"/>
  <c r="KE17" i="1" s="1"/>
  <c r="KB18" i="1"/>
  <c r="JT18" i="1"/>
  <c r="KN17" i="1"/>
  <c r="KP17" i="1" s="1"/>
  <c r="KB17" i="1"/>
  <c r="FK17" i="1"/>
  <c r="GA17" i="1" s="1"/>
  <c r="KN18" i="1" l="1"/>
  <c r="KP18" i="1" s="1"/>
  <c r="FQ18" i="1"/>
  <c r="GA18" i="1"/>
  <c r="FL18" i="1"/>
  <c r="FO18" i="1"/>
  <c r="FY18" i="1" s="1"/>
  <c r="FM18" i="1"/>
  <c r="FW18" i="1" s="1"/>
  <c r="GK19" i="1"/>
  <c r="GF19" i="1"/>
  <c r="GH19" i="1"/>
  <c r="GJ19" i="1"/>
  <c r="JT17" i="1"/>
  <c r="KD17" i="1"/>
  <c r="KF17" i="1" s="1"/>
  <c r="KD18" i="1"/>
  <c r="KF18" i="1" s="1"/>
  <c r="FL17" i="1"/>
  <c r="GB17" i="1" s="1"/>
  <c r="FO17" i="1"/>
  <c r="FY17" i="1" s="1"/>
  <c r="FM17" i="1"/>
  <c r="FQ17" i="1"/>
  <c r="GL19" i="1" l="1"/>
  <c r="GG18" i="1"/>
  <c r="GE18" i="1"/>
  <c r="FP18" i="1"/>
  <c r="FZ18" i="1" s="1"/>
  <c r="FN18" i="1"/>
  <c r="FX18" i="1" s="1"/>
  <c r="FR18" i="1"/>
  <c r="FW17" i="1"/>
  <c r="GE17" i="1" s="1"/>
  <c r="GB18" i="1"/>
  <c r="GI18" i="1"/>
  <c r="GG17" i="1"/>
  <c r="GI17" i="1"/>
  <c r="FP17" i="1"/>
  <c r="FZ17" i="1" s="1"/>
  <c r="FR17" i="1"/>
  <c r="FN17" i="1"/>
  <c r="FX17" i="1" l="1"/>
  <c r="GF17" i="1" s="1"/>
  <c r="GJ18" i="1"/>
  <c r="GK18" i="1"/>
  <c r="GF18" i="1"/>
  <c r="GH18" i="1"/>
  <c r="GK17" i="1"/>
  <c r="GH17" i="1"/>
  <c r="GJ17" i="1"/>
  <c r="GL18" i="1" l="1"/>
  <c r="GL17" i="1"/>
  <c r="AR17" i="1"/>
  <c r="AQ17" i="1"/>
  <c r="AP17" i="1"/>
  <c r="AO17" i="1"/>
  <c r="AY17" i="1" s="1"/>
  <c r="AN17" i="1"/>
  <c r="AM17" i="1"/>
  <c r="AW17" i="1" s="1"/>
  <c r="AL17" i="1"/>
  <c r="AK17" i="1"/>
  <c r="AJ17" i="1"/>
  <c r="AI17" i="1"/>
  <c r="D17" i="1"/>
  <c r="LF14" i="1"/>
  <c r="LE14" i="1"/>
  <c r="LD14" i="1"/>
  <c r="IZ14" i="1"/>
  <c r="IY14" i="1"/>
  <c r="IX14" i="1"/>
  <c r="IW14" i="1"/>
  <c r="IV14" i="1"/>
  <c r="IU14" i="1"/>
  <c r="IT14" i="1"/>
  <c r="IS14" i="1"/>
  <c r="IR14" i="1"/>
  <c r="IQ14" i="1"/>
  <c r="IP14" i="1"/>
  <c r="IO14" i="1"/>
  <c r="IN14" i="1"/>
  <c r="IM14" i="1"/>
  <c r="FJ14" i="1"/>
  <c r="FI14" i="1"/>
  <c r="FH14" i="1"/>
  <c r="FG14" i="1"/>
  <c r="FF14" i="1"/>
  <c r="FE14" i="1"/>
  <c r="FD14" i="1"/>
  <c r="FC14" i="1"/>
  <c r="AR14" i="1"/>
  <c r="AQ14" i="1"/>
  <c r="BA14" i="1" s="1"/>
  <c r="AP14" i="1"/>
  <c r="AO14" i="1"/>
  <c r="AN14" i="1"/>
  <c r="AM14" i="1"/>
  <c r="AW14" i="1" s="1"/>
  <c r="AL14" i="1"/>
  <c r="AK14" i="1"/>
  <c r="AU14" i="1" s="1"/>
  <c r="BG14" i="1" s="1"/>
  <c r="AJ14" i="1"/>
  <c r="AI14" i="1"/>
  <c r="D14" i="1"/>
  <c r="LF13" i="1"/>
  <c r="LE13" i="1"/>
  <c r="LD13" i="1"/>
  <c r="IZ13" i="1"/>
  <c r="IY13" i="1"/>
  <c r="IX13" i="1"/>
  <c r="IW13" i="1"/>
  <c r="IV13" i="1"/>
  <c r="IU13" i="1"/>
  <c r="IT13" i="1"/>
  <c r="IS13" i="1"/>
  <c r="IR13" i="1"/>
  <c r="IQ13" i="1"/>
  <c r="IP13" i="1"/>
  <c r="IO13" i="1"/>
  <c r="IN13" i="1"/>
  <c r="IM13" i="1"/>
  <c r="FJ13" i="1"/>
  <c r="FI13" i="1"/>
  <c r="FH13" i="1"/>
  <c r="FG13" i="1"/>
  <c r="FF13" i="1"/>
  <c r="FE13" i="1"/>
  <c r="FD13" i="1"/>
  <c r="FC13" i="1"/>
  <c r="AR13" i="1"/>
  <c r="AQ13" i="1"/>
  <c r="BA13" i="1" s="1"/>
  <c r="AP13" i="1"/>
  <c r="AO13" i="1"/>
  <c r="AY13" i="1" s="1"/>
  <c r="BE13" i="1" s="1"/>
  <c r="CB13" i="1" s="1"/>
  <c r="AN13" i="1"/>
  <c r="AM13" i="1"/>
  <c r="AW13" i="1" s="1"/>
  <c r="AL13" i="1"/>
  <c r="AK13" i="1"/>
  <c r="AU13" i="1" s="1"/>
  <c r="BG13" i="1" s="1"/>
  <c r="AJ13" i="1"/>
  <c r="AI13" i="1"/>
  <c r="D13" i="1"/>
  <c r="LF12" i="1"/>
  <c r="LE12" i="1"/>
  <c r="LD12" i="1"/>
  <c r="IZ12" i="1"/>
  <c r="IY12" i="1"/>
  <c r="IX12" i="1"/>
  <c r="IW12" i="1"/>
  <c r="IV12" i="1"/>
  <c r="IU12" i="1"/>
  <c r="IT12" i="1"/>
  <c r="IS12" i="1"/>
  <c r="IR12" i="1"/>
  <c r="IQ12" i="1"/>
  <c r="IP12" i="1"/>
  <c r="IO12" i="1"/>
  <c r="IN12" i="1"/>
  <c r="IM12" i="1"/>
  <c r="FJ12" i="1"/>
  <c r="FI12" i="1"/>
  <c r="FH12" i="1"/>
  <c r="FG12" i="1"/>
  <c r="FF12" i="1"/>
  <c r="FE12" i="1"/>
  <c r="FD12" i="1"/>
  <c r="FC12" i="1"/>
  <c r="AR12" i="1"/>
  <c r="AQ12" i="1"/>
  <c r="BA12" i="1" s="1"/>
  <c r="AP12" i="1"/>
  <c r="AO12" i="1"/>
  <c r="AY12" i="1" s="1"/>
  <c r="BE12" i="1" s="1"/>
  <c r="CB12" i="1" s="1"/>
  <c r="AN12" i="1"/>
  <c r="AM12" i="1"/>
  <c r="AW12" i="1" s="1"/>
  <c r="AL12" i="1"/>
  <c r="AK12" i="1"/>
  <c r="AU12" i="1" s="1"/>
  <c r="BG12" i="1" s="1"/>
  <c r="AJ12" i="1"/>
  <c r="AI12" i="1"/>
  <c r="D12" i="1"/>
  <c r="LF10" i="1"/>
  <c r="LE10" i="1"/>
  <c r="LD10" i="1"/>
  <c r="IZ10" i="1"/>
  <c r="IY10" i="1"/>
  <c r="IX10" i="1"/>
  <c r="IW10" i="1"/>
  <c r="IV10" i="1"/>
  <c r="IU10" i="1"/>
  <c r="IT10" i="1"/>
  <c r="IS10" i="1"/>
  <c r="IR10" i="1"/>
  <c r="IQ10" i="1"/>
  <c r="IP10" i="1"/>
  <c r="IO10" i="1"/>
  <c r="IN10" i="1"/>
  <c r="IM10" i="1"/>
  <c r="FJ10" i="1"/>
  <c r="FI10" i="1"/>
  <c r="FH10" i="1"/>
  <c r="FG10" i="1"/>
  <c r="FF10" i="1"/>
  <c r="FE10" i="1"/>
  <c r="FD10" i="1"/>
  <c r="FC10" i="1"/>
  <c r="AR10" i="1"/>
  <c r="AQ10" i="1"/>
  <c r="BA10" i="1" s="1"/>
  <c r="AP10" i="1"/>
  <c r="AO10" i="1"/>
  <c r="AY10" i="1" s="1"/>
  <c r="BE10" i="1" s="1"/>
  <c r="CB10" i="1" s="1"/>
  <c r="AN10" i="1"/>
  <c r="AM10" i="1"/>
  <c r="AW10" i="1" s="1"/>
  <c r="AL10" i="1"/>
  <c r="AK10" i="1"/>
  <c r="AU10" i="1" s="1"/>
  <c r="BG10" i="1" s="1"/>
  <c r="AJ10" i="1"/>
  <c r="AI10" i="1"/>
  <c r="D10" i="1"/>
  <c r="LF9" i="1"/>
  <c r="LE9" i="1"/>
  <c r="LD9" i="1"/>
  <c r="IZ9" i="1"/>
  <c r="IY9" i="1"/>
  <c r="IX9" i="1"/>
  <c r="IW9" i="1"/>
  <c r="IV9" i="1"/>
  <c r="IU9" i="1"/>
  <c r="IT9" i="1"/>
  <c r="IS9" i="1"/>
  <c r="IR9" i="1"/>
  <c r="IQ9" i="1"/>
  <c r="IP9" i="1"/>
  <c r="IO9" i="1"/>
  <c r="IN9" i="1"/>
  <c r="IM9" i="1"/>
  <c r="FJ9" i="1"/>
  <c r="FI9" i="1"/>
  <c r="FH9" i="1"/>
  <c r="FG9" i="1"/>
  <c r="FF9" i="1"/>
  <c r="FE9" i="1"/>
  <c r="FD9" i="1"/>
  <c r="FC9" i="1"/>
  <c r="CW9" i="1"/>
  <c r="CV9" i="1"/>
  <c r="CU9" i="1"/>
  <c r="CT9" i="1"/>
  <c r="CS9" i="1"/>
  <c r="CR9" i="1"/>
  <c r="CQ9" i="1"/>
  <c r="CP9" i="1"/>
  <c r="CO9" i="1"/>
  <c r="CN9" i="1"/>
  <c r="AR9" i="1"/>
  <c r="AQ9" i="1"/>
  <c r="BA9" i="1" s="1"/>
  <c r="AP9" i="1"/>
  <c r="AO9" i="1"/>
  <c r="AN9" i="1"/>
  <c r="AM9" i="1"/>
  <c r="AW9" i="1" s="1"/>
  <c r="AL9" i="1"/>
  <c r="AK9" i="1"/>
  <c r="AU9" i="1" s="1"/>
  <c r="BG9" i="1" s="1"/>
  <c r="AJ9" i="1"/>
  <c r="AI9" i="1"/>
  <c r="D9" i="1"/>
  <c r="LF8" i="1"/>
  <c r="LE8" i="1"/>
  <c r="LD8" i="1"/>
  <c r="IZ8" i="1"/>
  <c r="IY8" i="1"/>
  <c r="IX8" i="1"/>
  <c r="IW8" i="1"/>
  <c r="IV8" i="1"/>
  <c r="IU8" i="1"/>
  <c r="IT8" i="1"/>
  <c r="IS8" i="1"/>
  <c r="IR8" i="1"/>
  <c r="IQ8" i="1"/>
  <c r="IP8" i="1"/>
  <c r="IO8" i="1"/>
  <c r="IN8" i="1"/>
  <c r="IM8" i="1"/>
  <c r="FJ8" i="1"/>
  <c r="FI8" i="1"/>
  <c r="FH8" i="1"/>
  <c r="FG8" i="1"/>
  <c r="FF8" i="1"/>
  <c r="FE8" i="1"/>
  <c r="FD8" i="1"/>
  <c r="FC8" i="1"/>
  <c r="CW8" i="1"/>
  <c r="CV8" i="1"/>
  <c r="CU8" i="1"/>
  <c r="CT8" i="1"/>
  <c r="CS8" i="1"/>
  <c r="CR8" i="1"/>
  <c r="CQ8" i="1"/>
  <c r="CP8" i="1"/>
  <c r="CO8" i="1"/>
  <c r="CN8" i="1"/>
  <c r="AR8" i="1"/>
  <c r="AQ8" i="1"/>
  <c r="BA8" i="1" s="1"/>
  <c r="AP8" i="1"/>
  <c r="AO8" i="1"/>
  <c r="AY8" i="1" s="1"/>
  <c r="BE8" i="1" s="1"/>
  <c r="CB8" i="1" s="1"/>
  <c r="AN8" i="1"/>
  <c r="AM8" i="1"/>
  <c r="AW8" i="1" s="1"/>
  <c r="AL8" i="1"/>
  <c r="AK8" i="1"/>
  <c r="AU8" i="1" s="1"/>
  <c r="BG8" i="1" s="1"/>
  <c r="AJ8" i="1"/>
  <c r="AI8" i="1"/>
  <c r="D8" i="1"/>
  <c r="LF7" i="1"/>
  <c r="LE7" i="1"/>
  <c r="LD7" i="1"/>
  <c r="IZ7" i="1"/>
  <c r="IY7" i="1"/>
  <c r="IX7" i="1"/>
  <c r="IW7" i="1"/>
  <c r="IV7" i="1"/>
  <c r="IU7" i="1"/>
  <c r="IT7" i="1"/>
  <c r="IS7" i="1"/>
  <c r="IR7" i="1"/>
  <c r="IQ7" i="1"/>
  <c r="IP7" i="1"/>
  <c r="IO7" i="1"/>
  <c r="IN7" i="1"/>
  <c r="IM7" i="1"/>
  <c r="FJ7" i="1"/>
  <c r="FI7" i="1"/>
  <c r="FH7" i="1"/>
  <c r="FG7" i="1"/>
  <c r="FF7" i="1"/>
  <c r="FE7" i="1"/>
  <c r="FD7" i="1"/>
  <c r="FC7" i="1"/>
  <c r="CW7" i="1"/>
  <c r="CV7" i="1"/>
  <c r="CU7" i="1"/>
  <c r="CT7" i="1"/>
  <c r="CS7" i="1"/>
  <c r="CR7" i="1"/>
  <c r="CQ7" i="1"/>
  <c r="CP7" i="1"/>
  <c r="CO7" i="1"/>
  <c r="CN7" i="1"/>
  <c r="AR7" i="1"/>
  <c r="AQ7" i="1"/>
  <c r="BA7" i="1" s="1"/>
  <c r="AP7" i="1"/>
  <c r="AO7" i="1"/>
  <c r="AY7" i="1" s="1"/>
  <c r="BE7" i="1" s="1"/>
  <c r="CB7" i="1" s="1"/>
  <c r="AN7" i="1"/>
  <c r="AM7" i="1"/>
  <c r="AW7" i="1" s="1"/>
  <c r="AL7" i="1"/>
  <c r="AK7" i="1"/>
  <c r="AU7" i="1" s="1"/>
  <c r="BG7" i="1" s="1"/>
  <c r="AJ7" i="1"/>
  <c r="AI7" i="1"/>
  <c r="D7" i="1"/>
  <c r="JB13" i="1" l="1"/>
  <c r="JB8" i="1"/>
  <c r="JA9" i="1"/>
  <c r="JQ9" i="1" s="1"/>
  <c r="JS9" i="1" s="1"/>
  <c r="JA10" i="1"/>
  <c r="JQ10" i="1" s="1"/>
  <c r="JS10" i="1" s="1"/>
  <c r="JA12" i="1"/>
  <c r="JQ12" i="1" s="1"/>
  <c r="JA7" i="1"/>
  <c r="JQ7" i="1" s="1"/>
  <c r="JS7" i="1" s="1"/>
  <c r="JB7" i="1"/>
  <c r="JB10" i="1"/>
  <c r="JB9" i="1"/>
  <c r="JA8" i="1"/>
  <c r="JQ8" i="1" s="1"/>
  <c r="JR8" i="1" s="1"/>
  <c r="JB14" i="1"/>
  <c r="JA14" i="1"/>
  <c r="JQ14" i="1" s="1"/>
  <c r="JS14" i="1" s="1"/>
  <c r="JA13" i="1"/>
  <c r="JQ13" i="1" s="1"/>
  <c r="JR13" i="1" s="1"/>
  <c r="JB12" i="1"/>
  <c r="JE14" i="1"/>
  <c r="JD8" i="1"/>
  <c r="JK9" i="1"/>
  <c r="JL8" i="1"/>
  <c r="JC13" i="1"/>
  <c r="JJ9" i="1"/>
  <c r="JF14" i="1"/>
  <c r="JJ14" i="1"/>
  <c r="AX12" i="1"/>
  <c r="JH13" i="1"/>
  <c r="AX10" i="1"/>
  <c r="BB10" i="1"/>
  <c r="JG9" i="1"/>
  <c r="JC12" i="1"/>
  <c r="JD13" i="1"/>
  <c r="AV7" i="1"/>
  <c r="BH7" i="1" s="1"/>
  <c r="JH8" i="1"/>
  <c r="AX9" i="1"/>
  <c r="BB9" i="1"/>
  <c r="JD10" i="1"/>
  <c r="JF10" i="1"/>
  <c r="AX7" i="1"/>
  <c r="BB7" i="1"/>
  <c r="JE10" i="1"/>
  <c r="JC14" i="1"/>
  <c r="JI14" i="1"/>
  <c r="KM14" i="1" s="1"/>
  <c r="KO14" i="1" s="1"/>
  <c r="JC7" i="1"/>
  <c r="JE7" i="1"/>
  <c r="JI7" i="1"/>
  <c r="KM7" i="1" s="1"/>
  <c r="KO7" i="1" s="1"/>
  <c r="JF8" i="1"/>
  <c r="JJ8" i="1"/>
  <c r="JC9" i="1"/>
  <c r="JE9" i="1"/>
  <c r="JI9" i="1"/>
  <c r="KM9" i="1" s="1"/>
  <c r="KO9" i="1" s="1"/>
  <c r="JF13" i="1"/>
  <c r="AZ14" i="1"/>
  <c r="BF14" i="1" s="1"/>
  <c r="JD14" i="1"/>
  <c r="AV17" i="1"/>
  <c r="JG7" i="1"/>
  <c r="JK7" i="1"/>
  <c r="BB8" i="1"/>
  <c r="JJ10" i="1"/>
  <c r="JK12" i="1"/>
  <c r="JJ13" i="1"/>
  <c r="JH9" i="1"/>
  <c r="JL9" i="1"/>
  <c r="JC10" i="1"/>
  <c r="JI10" i="1"/>
  <c r="KM10" i="1" s="1"/>
  <c r="KO10" i="1" s="1"/>
  <c r="AX14" i="1"/>
  <c r="AZ9" i="1"/>
  <c r="BF9" i="1" s="1"/>
  <c r="BB12" i="1"/>
  <c r="AX13" i="1"/>
  <c r="BB13" i="1"/>
  <c r="JL13" i="1"/>
  <c r="AV14" i="1"/>
  <c r="BH14" i="1" s="1"/>
  <c r="AY14" i="1"/>
  <c r="BE14" i="1" s="1"/>
  <c r="CB14" i="1" s="1"/>
  <c r="AX8" i="1"/>
  <c r="JC8" i="1"/>
  <c r="JG8" i="1"/>
  <c r="JK8" i="1"/>
  <c r="JD9" i="1"/>
  <c r="JF9" i="1"/>
  <c r="JG10" i="1"/>
  <c r="JK10" i="1"/>
  <c r="BB14" i="1"/>
  <c r="JD7" i="1"/>
  <c r="JH7" i="1"/>
  <c r="JL7" i="1"/>
  <c r="AV8" i="1"/>
  <c r="BH8" i="1" s="1"/>
  <c r="AZ8" i="1"/>
  <c r="BF8" i="1" s="1"/>
  <c r="JH10" i="1"/>
  <c r="JL10" i="1"/>
  <c r="AV12" i="1"/>
  <c r="BH12" i="1" s="1"/>
  <c r="AZ12" i="1"/>
  <c r="BF12" i="1" s="1"/>
  <c r="CC12" i="1" s="1"/>
  <c r="JH14" i="1"/>
  <c r="JL14" i="1"/>
  <c r="AX17" i="1"/>
  <c r="BB17" i="1"/>
  <c r="BA17" i="1"/>
  <c r="AZ17" i="1"/>
  <c r="AU17" i="1"/>
  <c r="AZ7" i="1"/>
  <c r="BF7" i="1" s="1"/>
  <c r="CC7" i="1" s="1"/>
  <c r="AV9" i="1"/>
  <c r="BH9" i="1" s="1"/>
  <c r="AY9" i="1"/>
  <c r="BE9" i="1" s="1"/>
  <c r="CB9" i="1" s="1"/>
  <c r="JF7" i="1"/>
  <c r="JJ7" i="1"/>
  <c r="JF12" i="1"/>
  <c r="JD12" i="1"/>
  <c r="JH12" i="1"/>
  <c r="JL12" i="1"/>
  <c r="JE8" i="1"/>
  <c r="JI8" i="1"/>
  <c r="KM8" i="1" s="1"/>
  <c r="JJ12" i="1"/>
  <c r="JS12" i="1"/>
  <c r="JG12" i="1"/>
  <c r="AV10" i="1"/>
  <c r="BH10" i="1" s="1"/>
  <c r="AZ10" i="1"/>
  <c r="BF10" i="1" s="1"/>
  <c r="CC10" i="1" s="1"/>
  <c r="JG13" i="1"/>
  <c r="JK13" i="1"/>
  <c r="JG14" i="1"/>
  <c r="JK14" i="1"/>
  <c r="JE12" i="1"/>
  <c r="JI12" i="1"/>
  <c r="KM12" i="1" s="1"/>
  <c r="AV13" i="1"/>
  <c r="BH13" i="1" s="1"/>
  <c r="AZ13" i="1"/>
  <c r="BF13" i="1" s="1"/>
  <c r="JE13" i="1"/>
  <c r="JI13" i="1"/>
  <c r="KM13" i="1" s="1"/>
  <c r="JR9" i="1" l="1"/>
  <c r="JT9" i="1" s="1"/>
  <c r="JR12" i="1"/>
  <c r="JR10" i="1"/>
  <c r="JR7" i="1"/>
  <c r="JT7" i="1" s="1"/>
  <c r="JS8" i="1"/>
  <c r="JT8" i="1" s="1"/>
  <c r="FK7" i="1"/>
  <c r="GA7" i="1" s="1"/>
  <c r="GI7" i="1" s="1"/>
  <c r="JR14" i="1"/>
  <c r="JT14" i="1" s="1"/>
  <c r="CC14" i="1"/>
  <c r="JS13" i="1"/>
  <c r="JT13" i="1" s="1"/>
  <c r="KA14" i="1"/>
  <c r="KC14" i="1" s="1"/>
  <c r="KE14" i="1" s="1"/>
  <c r="KA7" i="1"/>
  <c r="KC7" i="1" s="1"/>
  <c r="KE7" i="1" s="1"/>
  <c r="KN9" i="1"/>
  <c r="KP9" i="1" s="1"/>
  <c r="KB14" i="1"/>
  <c r="FK14" i="1"/>
  <c r="FO14" i="1" s="1"/>
  <c r="FY14" i="1" s="1"/>
  <c r="KN14" i="1"/>
  <c r="KP14" i="1" s="1"/>
  <c r="KA10" i="1"/>
  <c r="KC10" i="1" s="1"/>
  <c r="KE10" i="1" s="1"/>
  <c r="KA12" i="1"/>
  <c r="KC12" i="1" s="1"/>
  <c r="KE12" i="1" s="1"/>
  <c r="KB10" i="1"/>
  <c r="KB9" i="1"/>
  <c r="FK9" i="1"/>
  <c r="KA9" i="1"/>
  <c r="KC9" i="1" s="1"/>
  <c r="KE9" i="1" s="1"/>
  <c r="KN10" i="1"/>
  <c r="KP10" i="1" s="1"/>
  <c r="KA13" i="1"/>
  <c r="KC13" i="1" s="1"/>
  <c r="KE13" i="1" s="1"/>
  <c r="KB7" i="1"/>
  <c r="FK13" i="1"/>
  <c r="FO13" i="1" s="1"/>
  <c r="FY13" i="1" s="1"/>
  <c r="CC8" i="1"/>
  <c r="FK10" i="1"/>
  <c r="FO10" i="1" s="1"/>
  <c r="FY10" i="1" s="1"/>
  <c r="KB12" i="1"/>
  <c r="KN7" i="1"/>
  <c r="KP7" i="1" s="1"/>
  <c r="KA8" i="1"/>
  <c r="KC8" i="1" s="1"/>
  <c r="KQ9" i="1"/>
  <c r="KB8" i="1"/>
  <c r="KQ7" i="1"/>
  <c r="KO13" i="1"/>
  <c r="KN13" i="1"/>
  <c r="KO12" i="1"/>
  <c r="KN12" i="1"/>
  <c r="KB13" i="1"/>
  <c r="CC13" i="1"/>
  <c r="CC9" i="1"/>
  <c r="KO8" i="1"/>
  <c r="KN8" i="1"/>
  <c r="KQ14" i="1"/>
  <c r="FK12" i="1"/>
  <c r="JT12" i="1"/>
  <c r="FK8" i="1"/>
  <c r="JT10" i="1"/>
  <c r="KQ10" i="1"/>
  <c r="FO7" i="1" l="1"/>
  <c r="FY7" i="1" s="1"/>
  <c r="GG7" i="1" s="1"/>
  <c r="FQ7" i="1"/>
  <c r="GC7" i="1" s="1"/>
  <c r="FL7" i="1"/>
  <c r="FN7" i="1" s="1"/>
  <c r="FM7" i="1"/>
  <c r="FW7" i="1" s="1"/>
  <c r="GE7" i="1" s="1"/>
  <c r="KD14" i="1"/>
  <c r="KF14" i="1" s="1"/>
  <c r="KD13" i="1"/>
  <c r="KF13" i="1" s="1"/>
  <c r="GA14" i="1"/>
  <c r="GI14" i="1" s="1"/>
  <c r="KD7" i="1"/>
  <c r="KF7" i="1" s="1"/>
  <c r="KD12" i="1"/>
  <c r="KF12" i="1" s="1"/>
  <c r="GG10" i="1"/>
  <c r="FL14" i="1"/>
  <c r="FR14" i="1" s="1"/>
  <c r="FQ10" i="1"/>
  <c r="GC10" i="1" s="1"/>
  <c r="FQ14" i="1"/>
  <c r="GC14" i="1" s="1"/>
  <c r="FM14" i="1"/>
  <c r="FW14" i="1" s="1"/>
  <c r="GE14" i="1" s="1"/>
  <c r="KD10" i="1"/>
  <c r="KF10" i="1" s="1"/>
  <c r="FL10" i="1"/>
  <c r="FP10" i="1" s="1"/>
  <c r="FZ10" i="1" s="1"/>
  <c r="FM10" i="1"/>
  <c r="FW10" i="1" s="1"/>
  <c r="GA10" i="1"/>
  <c r="GI10" i="1" s="1"/>
  <c r="FQ13" i="1"/>
  <c r="GC13" i="1" s="1"/>
  <c r="KD9" i="1"/>
  <c r="KF9" i="1" s="1"/>
  <c r="GA9" i="1"/>
  <c r="FL9" i="1"/>
  <c r="FM9" i="1"/>
  <c r="FW9" i="1" s="1"/>
  <c r="FO9" i="1"/>
  <c r="FY9" i="1" s="1"/>
  <c r="FQ9" i="1"/>
  <c r="GC9" i="1" s="1"/>
  <c r="GA13" i="1"/>
  <c r="FM13" i="1"/>
  <c r="FW13" i="1" s="1"/>
  <c r="GE13" i="1" s="1"/>
  <c r="FL13" i="1"/>
  <c r="FN13" i="1" s="1"/>
  <c r="KP13" i="1"/>
  <c r="KQ13" i="1"/>
  <c r="KR9" i="1"/>
  <c r="KS9" i="1"/>
  <c r="KR10" i="1"/>
  <c r="KS10" i="1"/>
  <c r="KP8" i="1"/>
  <c r="KQ8" i="1"/>
  <c r="GG13" i="1"/>
  <c r="GA12" i="1"/>
  <c r="FM12" i="1"/>
  <c r="FW12" i="1" s="1"/>
  <c r="FL12" i="1"/>
  <c r="FQ12" i="1"/>
  <c r="GC12" i="1" s="1"/>
  <c r="FO12" i="1"/>
  <c r="FY12" i="1" s="1"/>
  <c r="GA8" i="1"/>
  <c r="FL8" i="1"/>
  <c r="FO8" i="1"/>
  <c r="FY8" i="1" s="1"/>
  <c r="FQ8" i="1"/>
  <c r="GC8" i="1" s="1"/>
  <c r="FM8" i="1"/>
  <c r="FW8" i="1" s="1"/>
  <c r="KR14" i="1"/>
  <c r="KS14" i="1"/>
  <c r="GG14" i="1"/>
  <c r="KP12" i="1"/>
  <c r="KQ12" i="1"/>
  <c r="KE8" i="1"/>
  <c r="KD8" i="1"/>
  <c r="KS7" i="1"/>
  <c r="KR7" i="1"/>
  <c r="GK7" i="1" l="1"/>
  <c r="GB7" i="1"/>
  <c r="GJ7" i="1" s="1"/>
  <c r="FP7" i="1"/>
  <c r="FZ7" i="1" s="1"/>
  <c r="GH7" i="1" s="1"/>
  <c r="FR7" i="1"/>
  <c r="GD7" i="1" s="1"/>
  <c r="FX7" i="1"/>
  <c r="GF7" i="1" s="1"/>
  <c r="FP13" i="1"/>
  <c r="FZ13" i="1" s="1"/>
  <c r="GH13" i="1" s="1"/>
  <c r="FN14" i="1"/>
  <c r="FX14" i="1" s="1"/>
  <c r="GF14" i="1" s="1"/>
  <c r="FP14" i="1"/>
  <c r="FZ14" i="1" s="1"/>
  <c r="GB14" i="1"/>
  <c r="GJ14" i="1" s="1"/>
  <c r="GD14" i="1"/>
  <c r="GE10" i="1"/>
  <c r="GK10" i="1" s="1"/>
  <c r="FR10" i="1"/>
  <c r="GD10" i="1" s="1"/>
  <c r="FN10" i="1"/>
  <c r="FX10" i="1" s="1"/>
  <c r="GB10" i="1"/>
  <c r="GJ10" i="1" s="1"/>
  <c r="GB13" i="1"/>
  <c r="GB9" i="1"/>
  <c r="GI9" i="1"/>
  <c r="GG9" i="1"/>
  <c r="GI13" i="1"/>
  <c r="GE9" i="1"/>
  <c r="FX13" i="1"/>
  <c r="FN9" i="1"/>
  <c r="FX9" i="1" s="1"/>
  <c r="FP9" i="1"/>
  <c r="FZ9" i="1" s="1"/>
  <c r="FR9" i="1"/>
  <c r="GD9" i="1" s="1"/>
  <c r="GH10" i="1"/>
  <c r="FR13" i="1"/>
  <c r="GD13" i="1" s="1"/>
  <c r="KT10" i="1"/>
  <c r="KT9" i="1"/>
  <c r="FP8" i="1"/>
  <c r="FZ8" i="1" s="1"/>
  <c r="FR8" i="1"/>
  <c r="GD8" i="1" s="1"/>
  <c r="FN8" i="1"/>
  <c r="FX8" i="1" s="1"/>
  <c r="KS13" i="1"/>
  <c r="KR13" i="1"/>
  <c r="KT7" i="1"/>
  <c r="GE8" i="1"/>
  <c r="FP12" i="1"/>
  <c r="FZ12" i="1" s="1"/>
  <c r="FN12" i="1"/>
  <c r="FX12" i="1" s="1"/>
  <c r="FR12" i="1"/>
  <c r="GD12" i="1" s="1"/>
  <c r="GE12" i="1"/>
  <c r="KS12" i="1"/>
  <c r="KR12" i="1"/>
  <c r="KF8" i="1"/>
  <c r="GB8" i="1"/>
  <c r="GI8" i="1"/>
  <c r="GK13" i="1"/>
  <c r="KT14" i="1"/>
  <c r="GG8" i="1"/>
  <c r="GG12" i="1"/>
  <c r="GI12" i="1"/>
  <c r="GB12" i="1"/>
  <c r="KS8" i="1"/>
  <c r="KR8" i="1"/>
  <c r="GK14" i="1"/>
  <c r="GJ13" i="1" l="1"/>
  <c r="GL7" i="1"/>
  <c r="GF10" i="1"/>
  <c r="GL10" i="1" s="1"/>
  <c r="GH14" i="1"/>
  <c r="GF13" i="1"/>
  <c r="GJ9" i="1"/>
  <c r="GK9" i="1"/>
  <c r="GF9" i="1"/>
  <c r="KT13" i="1"/>
  <c r="GH9" i="1"/>
  <c r="GJ12" i="1"/>
  <c r="KT8" i="1"/>
  <c r="GJ8" i="1"/>
  <c r="GK12" i="1"/>
  <c r="GF12" i="1"/>
  <c r="GK8" i="1"/>
  <c r="GF8" i="1"/>
  <c r="KT12" i="1"/>
  <c r="GH8" i="1"/>
  <c r="GH12" i="1"/>
  <c r="GL13" i="1" l="1"/>
  <c r="GL14" i="1"/>
  <c r="GL9" i="1"/>
  <c r="GL8" i="1"/>
  <c r="GL12" i="1"/>
  <c r="BA12" i="15" l="1"/>
  <c r="BO12" i="15" s="1"/>
  <c r="AY12" i="15"/>
  <c r="AW12" i="15"/>
  <c r="AU12" i="15"/>
  <c r="BJ12" i="15"/>
  <c r="D12" i="15"/>
  <c r="AX12" i="15" l="1"/>
  <c r="BN12" i="15" s="1"/>
  <c r="BB12" i="15"/>
  <c r="BP12" i="15" s="1"/>
  <c r="AZ12" i="15"/>
  <c r="AV12" i="15"/>
  <c r="BM12" i="15"/>
  <c r="AR8" i="15" l="1"/>
  <c r="AQ8" i="15"/>
  <c r="BA8" i="15" s="1"/>
  <c r="BO8" i="15" s="1"/>
  <c r="AP8" i="15"/>
  <c r="AO8" i="15"/>
  <c r="AY8" i="15" s="1"/>
  <c r="AN8" i="15"/>
  <c r="AM8" i="15"/>
  <c r="AW8" i="15" s="1"/>
  <c r="BM8" i="15" s="1"/>
  <c r="AL8" i="15"/>
  <c r="AK8" i="15"/>
  <c r="AU8" i="15" s="1"/>
  <c r="AJ8" i="15"/>
  <c r="BJ8" i="15" s="1"/>
  <c r="AI8" i="15"/>
  <c r="BI8" i="15" s="1"/>
  <c r="D8" i="15"/>
  <c r="C166" i="7"/>
  <c r="B166" i="7"/>
  <c r="C165" i="7"/>
  <c r="B165" i="7"/>
  <c r="C164" i="7"/>
  <c r="B164" i="7"/>
  <c r="C163" i="7"/>
  <c r="B163" i="7"/>
  <c r="C162" i="7"/>
  <c r="B162" i="7"/>
  <c r="C161" i="7"/>
  <c r="B161" i="7"/>
  <c r="C160" i="7"/>
  <c r="B160" i="7"/>
  <c r="C159" i="7"/>
  <c r="B159" i="7"/>
  <c r="C158" i="7"/>
  <c r="B158" i="7"/>
  <c r="H96" i="7"/>
  <c r="G96" i="7"/>
  <c r="F96" i="7"/>
  <c r="E96" i="7"/>
  <c r="H95" i="7"/>
  <c r="G95" i="7"/>
  <c r="F95" i="7"/>
  <c r="E95" i="7"/>
  <c r="H94" i="7"/>
  <c r="G94" i="7"/>
  <c r="F94" i="7"/>
  <c r="E94" i="7"/>
  <c r="H93" i="7"/>
  <c r="G93" i="7"/>
  <c r="F93" i="7"/>
  <c r="E93" i="7"/>
  <c r="H92" i="7"/>
  <c r="G92" i="7"/>
  <c r="F92" i="7"/>
  <c r="E92" i="7"/>
  <c r="M91" i="7"/>
  <c r="H91" i="7"/>
  <c r="G91" i="7"/>
  <c r="F91" i="7"/>
  <c r="E91" i="7"/>
  <c r="G90" i="7"/>
  <c r="F90" i="7"/>
  <c r="E90" i="7"/>
  <c r="C85" i="7"/>
  <c r="B85" i="7"/>
  <c r="C81" i="7"/>
  <c r="B81" i="7"/>
  <c r="B78" i="7"/>
  <c r="C78" i="7" s="1"/>
  <c r="B77" i="7"/>
  <c r="C77" i="7" s="1"/>
  <c r="B76" i="7"/>
  <c r="B72" i="7"/>
  <c r="B67" i="7"/>
  <c r="C66" i="7"/>
  <c r="B64" i="7"/>
  <c r="C58" i="7"/>
  <c r="C57" i="7"/>
  <c r="B57" i="7"/>
  <c r="B63" i="7" s="1"/>
  <c r="C34" i="7"/>
  <c r="B34" i="7"/>
  <c r="C27" i="7"/>
  <c r="B21" i="7"/>
  <c r="B20" i="7"/>
  <c r="B19" i="7"/>
  <c r="HS19" i="136" l="1"/>
  <c r="HS15" i="136"/>
  <c r="ME15" i="136" s="1"/>
  <c r="HS20" i="136"/>
  <c r="ME20" i="136" s="1"/>
  <c r="HS16" i="136"/>
  <c r="ME16" i="136" s="1"/>
  <c r="HS7" i="136"/>
  <c r="HT7" i="136" s="1"/>
  <c r="HS9" i="136"/>
  <c r="HS32" i="136"/>
  <c r="HS33" i="136"/>
  <c r="ME33" i="136" s="1"/>
  <c r="HS10" i="136"/>
  <c r="ME10" i="136" s="1"/>
  <c r="HS30" i="136"/>
  <c r="ME30" i="136" s="1"/>
  <c r="HS8" i="136"/>
  <c r="ME8" i="136" s="1"/>
  <c r="HS14" i="136"/>
  <c r="HS27" i="136"/>
  <c r="ME27" i="136" s="1"/>
  <c r="HS25" i="136"/>
  <c r="ME25" i="136" s="1"/>
  <c r="HS18" i="136"/>
  <c r="ME18" i="136" s="1"/>
  <c r="HS11" i="136"/>
  <c r="ME11" i="136" s="1"/>
  <c r="HS17" i="136"/>
  <c r="HS23" i="136"/>
  <c r="ME23" i="136" s="1"/>
  <c r="HS36" i="136"/>
  <c r="HS34" i="136"/>
  <c r="HS37" i="136"/>
  <c r="ME37" i="136" s="1"/>
  <c r="HS35" i="136"/>
  <c r="ME35" i="136" s="1"/>
  <c r="HS22" i="136"/>
  <c r="ME22" i="136" s="1"/>
  <c r="HS26" i="136"/>
  <c r="HS29" i="136"/>
  <c r="HT29" i="136" s="1"/>
  <c r="HS12" i="136"/>
  <c r="HS13" i="136"/>
  <c r="ME13" i="136" s="1"/>
  <c r="HS21" i="136"/>
  <c r="KK20" i="136"/>
  <c r="KK19" i="136"/>
  <c r="KK30" i="136"/>
  <c r="KK18" i="136"/>
  <c r="KK32" i="136"/>
  <c r="KK17" i="136"/>
  <c r="KK9" i="136"/>
  <c r="KK14" i="136"/>
  <c r="KK33" i="136"/>
  <c r="KM33" i="136" s="1"/>
  <c r="MM33" i="136" s="1"/>
  <c r="KK7" i="136"/>
  <c r="KL7" i="136" s="1"/>
  <c r="KK23" i="136"/>
  <c r="KK16" i="136"/>
  <c r="KM16" i="136" s="1"/>
  <c r="MM16" i="136" s="1"/>
  <c r="KK27" i="136"/>
  <c r="KK12" i="136"/>
  <c r="KK15" i="136"/>
  <c r="KK10" i="136"/>
  <c r="KK25" i="136"/>
  <c r="KK8" i="136"/>
  <c r="KL8" i="136" s="1"/>
  <c r="KK13" i="136"/>
  <c r="KK34" i="136"/>
  <c r="KK11" i="136"/>
  <c r="KL11" i="136" s="1"/>
  <c r="KK37" i="136"/>
  <c r="KK39" i="136" s="1"/>
  <c r="KM39" i="136" s="1"/>
  <c r="KK22" i="136"/>
  <c r="KK35" i="136"/>
  <c r="KK26" i="136"/>
  <c r="KK29" i="136"/>
  <c r="KK36" i="136"/>
  <c r="KK21" i="136"/>
  <c r="HT15" i="136"/>
  <c r="MF15" i="136" s="1"/>
  <c r="HW8" i="136"/>
  <c r="MG8" i="136" s="1"/>
  <c r="HW20" i="136"/>
  <c r="MG20" i="136" s="1"/>
  <c r="HW19" i="136"/>
  <c r="HW30" i="136"/>
  <c r="MG30" i="136" s="1"/>
  <c r="HW18" i="136"/>
  <c r="MG18" i="136" s="1"/>
  <c r="HW15" i="136"/>
  <c r="MG15" i="136" s="1"/>
  <c r="HW33" i="136"/>
  <c r="MG33" i="136" s="1"/>
  <c r="HW16" i="136"/>
  <c r="MG16" i="136" s="1"/>
  <c r="HW10" i="136"/>
  <c r="HW32" i="136"/>
  <c r="HW14" i="136"/>
  <c r="HW23" i="136"/>
  <c r="MG23" i="136" s="1"/>
  <c r="HW25" i="136"/>
  <c r="MG25" i="136" s="1"/>
  <c r="HW17" i="136"/>
  <c r="HW27" i="136"/>
  <c r="MG27" i="136" s="1"/>
  <c r="HW11" i="136"/>
  <c r="MG11" i="136" s="1"/>
  <c r="HW7" i="136"/>
  <c r="HW34" i="136"/>
  <c r="HW35" i="136"/>
  <c r="MG35" i="136" s="1"/>
  <c r="HW36" i="136"/>
  <c r="HW37" i="136"/>
  <c r="MG37" i="136" s="1"/>
  <c r="HW26" i="136"/>
  <c r="HW29" i="136"/>
  <c r="HW22" i="136"/>
  <c r="MG22" i="136" s="1"/>
  <c r="HW13" i="136"/>
  <c r="MG13" i="136" s="1"/>
  <c r="HW12" i="136"/>
  <c r="HW21" i="136"/>
  <c r="LC15" i="136"/>
  <c r="LE15" i="136" s="1"/>
  <c r="LC20" i="136"/>
  <c r="LE20" i="136" s="1"/>
  <c r="LC19" i="136"/>
  <c r="LC33" i="136"/>
  <c r="LE33" i="136" s="1"/>
  <c r="LC18" i="136"/>
  <c r="LE18" i="136" s="1"/>
  <c r="LC30" i="136"/>
  <c r="LE30" i="136" s="1"/>
  <c r="LC13" i="136"/>
  <c r="LE13" i="136" s="1"/>
  <c r="LC7" i="136"/>
  <c r="LC16" i="136"/>
  <c r="LE16" i="136" s="1"/>
  <c r="LC8" i="136"/>
  <c r="LE8" i="136" s="1"/>
  <c r="LC12" i="136"/>
  <c r="LC14" i="136"/>
  <c r="LC17" i="136"/>
  <c r="LC23" i="136"/>
  <c r="LE23" i="136" s="1"/>
  <c r="LC9" i="136"/>
  <c r="LC10" i="136"/>
  <c r="LE10" i="136" s="1"/>
  <c r="LC25" i="136"/>
  <c r="LE25" i="136" s="1"/>
  <c r="LC32" i="136"/>
  <c r="LC27" i="136"/>
  <c r="LE27" i="136" s="1"/>
  <c r="LC11" i="136"/>
  <c r="LE11" i="136" s="1"/>
  <c r="LC36" i="136"/>
  <c r="LC34" i="136"/>
  <c r="LC35" i="136"/>
  <c r="LE35" i="136" s="1"/>
  <c r="LC22" i="136"/>
  <c r="LE22" i="136" s="1"/>
  <c r="LC37" i="136"/>
  <c r="LE37" i="136" s="1"/>
  <c r="LC26" i="136"/>
  <c r="LC29" i="136"/>
  <c r="LC21" i="136"/>
  <c r="HQ51" i="109"/>
  <c r="HQ35" i="109"/>
  <c r="HR35" i="109" s="1"/>
  <c r="HQ53" i="109"/>
  <c r="HQ52" i="109"/>
  <c r="HQ7" i="109"/>
  <c r="HR7" i="109" s="1"/>
  <c r="KE7" i="109"/>
  <c r="KE52" i="109"/>
  <c r="KE51" i="109"/>
  <c r="KE53" i="109"/>
  <c r="KE35" i="109"/>
  <c r="BF44" i="109"/>
  <c r="BE40" i="109"/>
  <c r="CB40" i="109" s="1"/>
  <c r="BF41" i="109"/>
  <c r="BE24" i="109"/>
  <c r="CB24" i="109" s="1"/>
  <c r="BE12" i="109"/>
  <c r="CB12" i="109" s="1"/>
  <c r="BE25" i="109"/>
  <c r="CB25" i="109" s="1"/>
  <c r="BE16" i="109"/>
  <c r="CB16" i="109" s="1"/>
  <c r="BE51" i="109"/>
  <c r="CB51" i="109" s="1"/>
  <c r="BE39" i="109"/>
  <c r="CB39" i="109" s="1"/>
  <c r="BE18" i="109"/>
  <c r="CB18" i="109" s="1"/>
  <c r="BE32" i="109"/>
  <c r="CB32" i="109" s="1"/>
  <c r="BE23" i="109"/>
  <c r="CB23" i="109" s="1"/>
  <c r="BF15" i="109"/>
  <c r="BF47" i="109"/>
  <c r="BF8" i="109"/>
  <c r="BF38" i="109"/>
  <c r="BE44" i="109"/>
  <c r="CB44" i="109" s="1"/>
  <c r="CC44" i="109" s="1"/>
  <c r="BE53" i="109"/>
  <c r="CB53" i="109" s="1"/>
  <c r="BF37" i="109"/>
  <c r="BE14" i="109"/>
  <c r="CB14" i="109" s="1"/>
  <c r="BE42" i="109"/>
  <c r="CB42" i="109" s="1"/>
  <c r="BE10" i="109"/>
  <c r="CB10" i="109" s="1"/>
  <c r="BE28" i="109"/>
  <c r="CB28" i="109" s="1"/>
  <c r="BE36" i="109"/>
  <c r="CB36" i="109" s="1"/>
  <c r="BE52" i="109"/>
  <c r="CB52" i="109" s="1"/>
  <c r="BF13" i="109"/>
  <c r="BE27" i="109"/>
  <c r="CB27" i="109" s="1"/>
  <c r="BE15" i="109"/>
  <c r="CB15" i="109" s="1"/>
  <c r="CC15" i="109" s="1"/>
  <c r="BE17" i="109"/>
  <c r="CB17" i="109" s="1"/>
  <c r="BE8" i="109"/>
  <c r="CB8" i="109" s="1"/>
  <c r="CC8" i="109" s="1"/>
  <c r="BE45" i="109"/>
  <c r="CB45" i="109" s="1"/>
  <c r="BE13" i="109"/>
  <c r="CB13" i="109" s="1"/>
  <c r="CC13" i="109" s="1"/>
  <c r="BF25" i="109"/>
  <c r="BF53" i="109"/>
  <c r="BE22" i="109"/>
  <c r="CB22" i="109" s="1"/>
  <c r="BE43" i="109"/>
  <c r="CB43" i="109" s="1"/>
  <c r="BE47" i="109"/>
  <c r="CB47" i="109" s="1"/>
  <c r="BF26" i="109"/>
  <c r="BF29" i="109"/>
  <c r="BE26" i="109"/>
  <c r="CB26" i="109" s="1"/>
  <c r="BE41" i="109"/>
  <c r="CB41" i="109" s="1"/>
  <c r="CC41" i="109" s="1"/>
  <c r="BE37" i="109"/>
  <c r="CB37" i="109" s="1"/>
  <c r="BE9" i="109"/>
  <c r="CB9" i="109" s="1"/>
  <c r="BE30" i="109"/>
  <c r="CB30" i="109" s="1"/>
  <c r="BE31" i="109"/>
  <c r="CB31" i="109" s="1"/>
  <c r="BE29" i="109"/>
  <c r="CB29" i="109" s="1"/>
  <c r="BF12" i="109"/>
  <c r="BF51" i="109"/>
  <c r="BE46" i="109"/>
  <c r="CB46" i="109" s="1"/>
  <c r="BE38" i="109"/>
  <c r="CB38" i="109" s="1"/>
  <c r="CC38" i="109" s="1"/>
  <c r="BE11" i="109"/>
  <c r="CB11" i="109" s="1"/>
  <c r="BF43" i="109"/>
  <c r="BF19" i="109"/>
  <c r="BF30" i="109"/>
  <c r="BF32" i="109"/>
  <c r="CC32" i="109" s="1"/>
  <c r="BF7" i="109"/>
  <c r="BF16" i="109"/>
  <c r="CC16" i="109" s="1"/>
  <c r="BE7" i="109"/>
  <c r="CB7" i="109" s="1"/>
  <c r="BE35" i="109"/>
  <c r="CB35" i="109" s="1"/>
  <c r="BF17" i="109"/>
  <c r="BF40" i="109"/>
  <c r="BF28" i="109"/>
  <c r="BF27" i="109"/>
  <c r="BF42" i="109"/>
  <c r="BF35" i="109"/>
  <c r="BF31" i="109"/>
  <c r="BE33" i="109"/>
  <c r="CB33" i="109" s="1"/>
  <c r="BF21" i="109"/>
  <c r="BF22" i="109"/>
  <c r="CC22" i="109" s="1"/>
  <c r="BE19" i="109"/>
  <c r="CB19" i="109" s="1"/>
  <c r="BF10" i="109"/>
  <c r="BF36" i="109"/>
  <c r="BF39" i="109"/>
  <c r="BF18" i="109"/>
  <c r="BF14" i="109"/>
  <c r="BF48" i="109"/>
  <c r="BF24" i="109"/>
  <c r="BF46" i="109"/>
  <c r="BF11" i="109"/>
  <c r="BE48" i="109"/>
  <c r="CB48" i="109" s="1"/>
  <c r="BF9" i="109"/>
  <c r="CC9" i="109" s="1"/>
  <c r="BF45" i="109"/>
  <c r="BF52" i="109"/>
  <c r="CC52" i="109" s="1"/>
  <c r="BF23" i="109"/>
  <c r="BE21" i="109"/>
  <c r="CB21" i="109" s="1"/>
  <c r="CC21" i="109" s="1"/>
  <c r="BF33" i="109"/>
  <c r="BG43" i="109"/>
  <c r="BG40" i="109"/>
  <c r="BH37" i="109"/>
  <c r="BG44" i="109"/>
  <c r="BG12" i="109"/>
  <c r="BG31" i="109"/>
  <c r="BG46" i="109"/>
  <c r="BG52" i="109"/>
  <c r="BH28" i="109"/>
  <c r="BG37" i="109"/>
  <c r="BG36" i="109"/>
  <c r="BG25" i="109"/>
  <c r="BH47" i="109"/>
  <c r="BG28" i="109"/>
  <c r="BG53" i="109"/>
  <c r="BG8" i="109"/>
  <c r="BH18" i="109"/>
  <c r="BG29" i="109"/>
  <c r="BH53" i="109"/>
  <c r="BG13" i="109"/>
  <c r="BG9" i="109"/>
  <c r="BG23" i="109"/>
  <c r="BG16" i="109"/>
  <c r="BG22" i="109"/>
  <c r="BG14" i="109"/>
  <c r="BG27" i="109"/>
  <c r="BG30" i="109"/>
  <c r="BH31" i="109"/>
  <c r="BG41" i="109"/>
  <c r="BH15" i="109"/>
  <c r="BG10" i="109"/>
  <c r="BH23" i="109"/>
  <c r="BG42" i="109"/>
  <c r="BH45" i="109"/>
  <c r="BG24" i="109"/>
  <c r="BG38" i="109"/>
  <c r="BH40" i="109"/>
  <c r="BG47" i="109"/>
  <c r="BG11" i="109"/>
  <c r="BG26" i="109"/>
  <c r="BG32" i="109"/>
  <c r="BG45" i="109"/>
  <c r="BG39" i="109"/>
  <c r="BG18" i="109"/>
  <c r="BG51" i="109"/>
  <c r="BG15" i="109"/>
  <c r="BH29" i="109"/>
  <c r="BG17" i="109"/>
  <c r="BH36" i="109"/>
  <c r="BG21" i="109"/>
  <c r="BG33" i="109"/>
  <c r="BH52" i="109"/>
  <c r="BH21" i="109"/>
  <c r="BH43" i="109"/>
  <c r="BH8" i="109"/>
  <c r="BH38" i="109"/>
  <c r="BH19" i="109"/>
  <c r="BH17" i="109"/>
  <c r="BH14" i="109"/>
  <c r="BH42" i="109"/>
  <c r="BH39" i="109"/>
  <c r="BH44" i="109"/>
  <c r="BH46" i="109"/>
  <c r="BH9" i="109"/>
  <c r="BH30" i="109"/>
  <c r="BH32" i="109"/>
  <c r="BH35" i="109"/>
  <c r="BH24" i="109"/>
  <c r="BH26" i="109"/>
  <c r="BH12" i="109"/>
  <c r="BG35" i="109"/>
  <c r="BH7" i="109"/>
  <c r="BH11" i="109"/>
  <c r="BH41" i="109"/>
  <c r="BG19" i="109"/>
  <c r="BH27" i="109"/>
  <c r="BH22" i="109"/>
  <c r="BH48" i="109"/>
  <c r="BG7" i="109"/>
  <c r="BH51" i="109"/>
  <c r="BH10" i="109"/>
  <c r="BH16" i="109"/>
  <c r="BH33" i="109"/>
  <c r="BH25" i="109"/>
  <c r="BG48" i="109"/>
  <c r="BH13" i="109"/>
  <c r="HM7" i="109"/>
  <c r="HN7" i="109" s="1"/>
  <c r="HM51" i="109"/>
  <c r="HM52" i="109"/>
  <c r="HM35" i="109"/>
  <c r="HN35" i="109" s="1"/>
  <c r="HM53" i="109"/>
  <c r="KW35" i="109"/>
  <c r="KW53" i="109"/>
  <c r="KW7" i="109"/>
  <c r="KW52" i="109"/>
  <c r="KW51" i="109"/>
  <c r="BG14" i="15"/>
  <c r="BH14" i="15"/>
  <c r="BL14" i="15" s="1"/>
  <c r="BG20" i="1"/>
  <c r="BG21" i="1"/>
  <c r="BG22" i="1"/>
  <c r="BG12" i="10"/>
  <c r="BH22" i="1"/>
  <c r="BG15" i="10"/>
  <c r="BH20" i="1"/>
  <c r="BH21" i="1"/>
  <c r="BG10" i="15"/>
  <c r="BK10" i="15" s="1"/>
  <c r="BG16" i="10"/>
  <c r="BG14" i="10"/>
  <c r="BG13" i="10"/>
  <c r="BH15" i="10"/>
  <c r="BG11" i="10"/>
  <c r="BH16" i="10"/>
  <c r="BH14" i="10"/>
  <c r="BG9" i="10"/>
  <c r="BH12" i="10"/>
  <c r="BH10" i="15"/>
  <c r="BL10" i="15" s="1"/>
  <c r="BG10" i="10"/>
  <c r="BG13" i="15"/>
  <c r="BK13" i="15" s="1"/>
  <c r="BG9" i="15"/>
  <c r="BK9" i="15" s="1"/>
  <c r="BH13" i="10"/>
  <c r="BH9" i="15"/>
  <c r="BL9" i="15" s="1"/>
  <c r="BH10" i="10"/>
  <c r="BG8" i="10"/>
  <c r="BH9" i="10"/>
  <c r="BH11" i="10"/>
  <c r="BH13" i="15"/>
  <c r="BL13" i="15" s="1"/>
  <c r="BH8" i="10"/>
  <c r="CL29" i="16"/>
  <c r="CM29" i="16" s="1"/>
  <c r="CL40" i="16"/>
  <c r="CM40" i="16" s="1"/>
  <c r="HE22" i="1"/>
  <c r="HE21" i="1"/>
  <c r="HE20" i="1"/>
  <c r="HE19" i="1"/>
  <c r="HF19" i="1" s="1"/>
  <c r="HE18" i="1"/>
  <c r="HF18" i="1" s="1"/>
  <c r="CR40" i="16"/>
  <c r="CS40" i="16" s="1"/>
  <c r="CR29" i="16"/>
  <c r="CS29" i="16" s="1"/>
  <c r="HI21" i="1"/>
  <c r="HI22" i="1"/>
  <c r="HI20" i="1"/>
  <c r="HI19" i="1"/>
  <c r="HJ19" i="1" s="1"/>
  <c r="HI18" i="1"/>
  <c r="HJ18" i="1" s="1"/>
  <c r="CD40" i="16"/>
  <c r="CD29" i="16"/>
  <c r="CH40" i="16"/>
  <c r="CK40" i="16" s="1"/>
  <c r="CH29" i="16"/>
  <c r="CJ29" i="16" s="1"/>
  <c r="CI40" i="16"/>
  <c r="CI29" i="16"/>
  <c r="JW20" i="1"/>
  <c r="JY20" i="1" s="1"/>
  <c r="JW22" i="1"/>
  <c r="JY22" i="1" s="1"/>
  <c r="JW21" i="1"/>
  <c r="JY21" i="1" s="1"/>
  <c r="CX40" i="16"/>
  <c r="CY40" i="16" s="1"/>
  <c r="CX29" i="16"/>
  <c r="CY29" i="16" s="1"/>
  <c r="CW29" i="16"/>
  <c r="KI22" i="1"/>
  <c r="KK22" i="1" s="1"/>
  <c r="KI21" i="1"/>
  <c r="KK21" i="1" s="1"/>
  <c r="KI20" i="1"/>
  <c r="KK20" i="1" s="1"/>
  <c r="BU14" i="15"/>
  <c r="BS14" i="15" s="1"/>
  <c r="BW14" i="15" s="1"/>
  <c r="BT14" i="15"/>
  <c r="BR14" i="15" s="1"/>
  <c r="BT10" i="15"/>
  <c r="BR10" i="15" s="1"/>
  <c r="BV10" i="15" s="1"/>
  <c r="BT13" i="15"/>
  <c r="BR13" i="15" s="1"/>
  <c r="BU10" i="15"/>
  <c r="BS10" i="15" s="1"/>
  <c r="BW10" i="15" s="1"/>
  <c r="BT9" i="15"/>
  <c r="BR9" i="15" s="1"/>
  <c r="BV9" i="15" s="1"/>
  <c r="BU9" i="15"/>
  <c r="BS9" i="15" s="1"/>
  <c r="BW9" i="15" s="1"/>
  <c r="BU13" i="15"/>
  <c r="BS13" i="15" s="1"/>
  <c r="BW13" i="15" s="1"/>
  <c r="JX21" i="1"/>
  <c r="JX22" i="1"/>
  <c r="KL22" i="1" s="1"/>
  <c r="KJ22" i="1"/>
  <c r="KJ21" i="1"/>
  <c r="BE20" i="1"/>
  <c r="CB20" i="1" s="1"/>
  <c r="BF14" i="15"/>
  <c r="BE22" i="1"/>
  <c r="CB22" i="1" s="1"/>
  <c r="BE16" i="10"/>
  <c r="BE10" i="15"/>
  <c r="BF20" i="1"/>
  <c r="BE14" i="10"/>
  <c r="BF21" i="1"/>
  <c r="BE13" i="10"/>
  <c r="BF22" i="1"/>
  <c r="BE12" i="10"/>
  <c r="BE21" i="1"/>
  <c r="CB21" i="1" s="1"/>
  <c r="BE15" i="10"/>
  <c r="BE14" i="15"/>
  <c r="BE9" i="15"/>
  <c r="BF13" i="10"/>
  <c r="BF12" i="10"/>
  <c r="BE10" i="10"/>
  <c r="BF16" i="10"/>
  <c r="BF14" i="10"/>
  <c r="BF15" i="10"/>
  <c r="BF10" i="15"/>
  <c r="BE8" i="10"/>
  <c r="BF9" i="15"/>
  <c r="BE9" i="10"/>
  <c r="BE13" i="15"/>
  <c r="CD13" i="15" s="1"/>
  <c r="CE13" i="15" s="1"/>
  <c r="BF11" i="10"/>
  <c r="BF9" i="10"/>
  <c r="BF13" i="15"/>
  <c r="BE11" i="10"/>
  <c r="BF10" i="10"/>
  <c r="BF8" i="10"/>
  <c r="CX22" i="1"/>
  <c r="CX20" i="1"/>
  <c r="CX21" i="1"/>
  <c r="BE12" i="15"/>
  <c r="C63" i="7"/>
  <c r="BG19" i="1"/>
  <c r="BG18" i="1"/>
  <c r="BH19" i="1"/>
  <c r="BH18" i="1"/>
  <c r="BH17" i="1"/>
  <c r="BG17" i="1"/>
  <c r="BE19" i="1"/>
  <c r="BE18" i="1"/>
  <c r="BF19" i="1"/>
  <c r="BF18" i="1"/>
  <c r="BE17" i="1"/>
  <c r="BF17" i="1"/>
  <c r="BT12" i="15"/>
  <c r="BR12" i="15" s="1"/>
  <c r="BU12" i="15"/>
  <c r="BS12" i="15" s="1"/>
  <c r="BW12" i="15" s="1"/>
  <c r="C64" i="7"/>
  <c r="BG8" i="15"/>
  <c r="BK8" i="15" s="1"/>
  <c r="BE8" i="15"/>
  <c r="BG12" i="15"/>
  <c r="BH12" i="15"/>
  <c r="BL12" i="15" s="1"/>
  <c r="BF12" i="15"/>
  <c r="B113" i="7"/>
  <c r="C113" i="7" s="1"/>
  <c r="CX12" i="1"/>
  <c r="CY12" i="1" s="1"/>
  <c r="CX10" i="1"/>
  <c r="CY10" i="1" s="1"/>
  <c r="CX14" i="1"/>
  <c r="CX13" i="1"/>
  <c r="CY13" i="1" s="1"/>
  <c r="CX8" i="1"/>
  <c r="CY8" i="1" s="1"/>
  <c r="CX7" i="1"/>
  <c r="CY7" i="1" s="1"/>
  <c r="CX9" i="1"/>
  <c r="CY9" i="1" s="1"/>
  <c r="C72" i="7"/>
  <c r="HE13" i="1"/>
  <c r="HE14" i="1"/>
  <c r="HE7" i="1"/>
  <c r="HE8" i="1"/>
  <c r="HE9" i="1"/>
  <c r="HE12" i="1"/>
  <c r="HE10" i="1"/>
  <c r="HI7" i="1"/>
  <c r="HI13" i="1"/>
  <c r="HI10" i="1"/>
  <c r="HI14" i="1"/>
  <c r="HI9" i="1"/>
  <c r="HI12" i="1"/>
  <c r="HI8" i="1"/>
  <c r="B118" i="7"/>
  <c r="JW9" i="1"/>
  <c r="JY9" i="1" s="1"/>
  <c r="JW14" i="1"/>
  <c r="JY14" i="1" s="1"/>
  <c r="LQ14" i="1" s="1"/>
  <c r="JW12" i="1"/>
  <c r="JY12" i="1" s="1"/>
  <c r="JW7" i="1"/>
  <c r="JY7" i="1" s="1"/>
  <c r="JW10" i="1"/>
  <c r="JY10" i="1" s="1"/>
  <c r="JW8" i="1"/>
  <c r="JY8" i="1" s="1"/>
  <c r="JW13" i="1"/>
  <c r="KI12" i="1"/>
  <c r="KK12" i="1" s="1"/>
  <c r="KI13" i="1"/>
  <c r="KK13" i="1" s="1"/>
  <c r="KI10" i="1"/>
  <c r="KK10" i="1" s="1"/>
  <c r="KI14" i="1"/>
  <c r="KK14" i="1" s="1"/>
  <c r="KI9" i="1"/>
  <c r="KK9" i="1" s="1"/>
  <c r="KI7" i="1"/>
  <c r="KK7" i="1" s="1"/>
  <c r="KI8" i="1"/>
  <c r="KK8" i="1" s="1"/>
  <c r="B116" i="7"/>
  <c r="BT8" i="15"/>
  <c r="BR8" i="15" s="1"/>
  <c r="BB8" i="15"/>
  <c r="BP8" i="15" s="1"/>
  <c r="AX8" i="15"/>
  <c r="BN8" i="15" s="1"/>
  <c r="AZ8" i="15"/>
  <c r="BF8" i="15" s="1"/>
  <c r="AV8" i="15"/>
  <c r="BH8" i="15" s="1"/>
  <c r="BL8" i="15" s="1"/>
  <c r="B117" i="7"/>
  <c r="B114" i="7"/>
  <c r="B111" i="7"/>
  <c r="B109" i="7"/>
  <c r="C76" i="7"/>
  <c r="BX8" i="15"/>
  <c r="BX15" i="15" s="1"/>
  <c r="BZ8" i="15"/>
  <c r="BZ15" i="15" s="1"/>
  <c r="B110" i="7"/>
  <c r="CW40" i="16" l="1"/>
  <c r="HT16" i="136"/>
  <c r="MF16" i="136" s="1"/>
  <c r="ME36" i="136"/>
  <c r="LE7" i="136"/>
  <c r="MG29" i="136"/>
  <c r="MG31" i="136" s="1"/>
  <c r="MG14" i="136"/>
  <c r="MF29" i="136"/>
  <c r="KM34" i="136"/>
  <c r="KM14" i="136"/>
  <c r="ME26" i="136"/>
  <c r="ME28" i="136" s="1"/>
  <c r="ME14" i="136"/>
  <c r="ME34" i="136"/>
  <c r="LE19" i="136"/>
  <c r="KL30" i="136"/>
  <c r="MG7" i="136"/>
  <c r="MG26" i="136"/>
  <c r="MG28" i="136" s="1"/>
  <c r="MG32" i="136"/>
  <c r="MF7" i="136"/>
  <c r="KL13" i="136"/>
  <c r="KM9" i="136"/>
  <c r="MG36" i="136"/>
  <c r="KM29" i="136"/>
  <c r="KM12" i="136"/>
  <c r="KL19" i="136"/>
  <c r="ME9" i="136"/>
  <c r="KM26" i="136"/>
  <c r="KM27" i="136"/>
  <c r="MM27" i="136" s="1"/>
  <c r="KL20" i="136"/>
  <c r="ME17" i="136"/>
  <c r="ME7" i="136"/>
  <c r="MG10" i="136"/>
  <c r="LE14" i="136"/>
  <c r="MG21" i="136"/>
  <c r="MG24" i="136" s="1"/>
  <c r="MG19" i="136"/>
  <c r="KM35" i="136"/>
  <c r="MM35" i="136" s="1"/>
  <c r="ME21" i="136"/>
  <c r="ME24" i="136" s="1"/>
  <c r="LE32" i="136"/>
  <c r="LE21" i="136"/>
  <c r="KM21" i="136"/>
  <c r="LE29" i="136"/>
  <c r="ME32" i="136"/>
  <c r="LE12" i="136"/>
  <c r="MG12" i="136"/>
  <c r="MG17" i="136"/>
  <c r="KM22" i="136"/>
  <c r="MM22" i="136" s="1"/>
  <c r="KL23" i="136"/>
  <c r="KL25" i="136"/>
  <c r="KL10" i="136"/>
  <c r="LE9" i="136"/>
  <c r="KM36" i="136"/>
  <c r="LE17" i="136"/>
  <c r="LE34" i="136"/>
  <c r="KM37" i="136"/>
  <c r="MM37" i="136" s="1"/>
  <c r="KM7" i="136"/>
  <c r="KN7" i="136" s="1"/>
  <c r="ME12" i="136"/>
  <c r="KM17" i="136"/>
  <c r="KM32" i="136"/>
  <c r="KL18" i="136"/>
  <c r="MG34" i="136"/>
  <c r="KM15" i="136"/>
  <c r="MM15" i="136" s="1"/>
  <c r="LE26" i="136"/>
  <c r="LE36" i="136"/>
  <c r="ME29" i="136"/>
  <c r="ME31" i="136" s="1"/>
  <c r="ME19" i="136"/>
  <c r="KL37" i="136"/>
  <c r="HT13" i="136"/>
  <c r="MF13" i="136" s="1"/>
  <c r="KL22" i="136"/>
  <c r="KL35" i="136"/>
  <c r="HT12" i="136"/>
  <c r="KL12" i="136"/>
  <c r="KL26" i="136"/>
  <c r="LD8" i="136"/>
  <c r="LF8" i="136" s="1"/>
  <c r="HX25" i="136"/>
  <c r="MH25" i="136" s="1"/>
  <c r="HT27" i="136"/>
  <c r="MF27" i="136" s="1"/>
  <c r="KL33" i="136"/>
  <c r="KN33" i="136" s="1"/>
  <c r="MN33" i="136" s="1"/>
  <c r="HX14" i="136"/>
  <c r="HX16" i="136"/>
  <c r="MH16" i="136" s="1"/>
  <c r="LD29" i="136"/>
  <c r="LD12" i="136"/>
  <c r="LD30" i="136"/>
  <c r="LF30" i="136" s="1"/>
  <c r="HX12" i="136"/>
  <c r="HT17" i="136"/>
  <c r="KL29" i="136"/>
  <c r="HX15" i="136"/>
  <c r="MH15" i="136" s="1"/>
  <c r="HX17" i="136"/>
  <c r="HT23" i="136"/>
  <c r="MF23" i="136" s="1"/>
  <c r="HX18" i="136"/>
  <c r="MH18" i="136" s="1"/>
  <c r="HX29" i="136"/>
  <c r="KL15" i="136"/>
  <c r="HT10" i="136"/>
  <c r="MF10" i="136" s="1"/>
  <c r="HX37" i="136"/>
  <c r="MH37" i="136" s="1"/>
  <c r="HT34" i="136"/>
  <c r="HX22" i="136"/>
  <c r="MH22" i="136" s="1"/>
  <c r="KL9" i="136"/>
  <c r="LD16" i="136"/>
  <c r="LF16" i="136" s="1"/>
  <c r="HX26" i="136"/>
  <c r="LD36" i="136"/>
  <c r="HX35" i="136"/>
  <c r="MH35" i="136" s="1"/>
  <c r="HT8" i="136"/>
  <c r="MF8" i="136" s="1"/>
  <c r="LD11" i="136"/>
  <c r="LF11" i="136" s="1"/>
  <c r="HT14" i="136"/>
  <c r="HT37" i="136"/>
  <c r="MF37" i="136" s="1"/>
  <c r="LD7" i="136"/>
  <c r="HX33" i="136"/>
  <c r="MH33" i="136" s="1"/>
  <c r="KL14" i="136"/>
  <c r="LD19" i="136"/>
  <c r="LD25" i="136"/>
  <c r="LF25" i="136" s="1"/>
  <c r="LD18" i="136"/>
  <c r="LF18" i="136" s="1"/>
  <c r="LD27" i="136"/>
  <c r="LF27" i="136" s="1"/>
  <c r="HX27" i="136"/>
  <c r="MH27" i="136" s="1"/>
  <c r="HT30" i="136"/>
  <c r="MF30" i="136" s="1"/>
  <c r="LD22" i="136"/>
  <c r="LF22" i="136" s="1"/>
  <c r="LD15" i="136"/>
  <c r="LF15" i="136" s="1"/>
  <c r="LD37" i="136"/>
  <c r="LF37" i="136" s="1"/>
  <c r="HT35" i="136"/>
  <c r="MF35" i="136" s="1"/>
  <c r="KL17" i="136"/>
  <c r="HX30" i="136"/>
  <c r="MH30" i="136" s="1"/>
  <c r="LD14" i="136"/>
  <c r="LD20" i="136"/>
  <c r="LF20" i="136" s="1"/>
  <c r="LD33" i="136"/>
  <c r="LF33" i="136" s="1"/>
  <c r="LD10" i="136"/>
  <c r="LF10" i="136" s="1"/>
  <c r="KL36" i="136"/>
  <c r="HX11" i="136"/>
  <c r="MH11" i="136" s="1"/>
  <c r="HT36" i="136"/>
  <c r="HT26" i="136"/>
  <c r="HX32" i="136"/>
  <c r="KL16" i="136"/>
  <c r="KN16" i="136" s="1"/>
  <c r="MN16" i="136" s="1"/>
  <c r="CC45" i="109"/>
  <c r="LD13" i="136"/>
  <c r="LF13" i="136" s="1"/>
  <c r="HT33" i="136"/>
  <c r="MF33" i="136" s="1"/>
  <c r="LD35" i="136"/>
  <c r="LF35" i="136" s="1"/>
  <c r="KL21" i="136"/>
  <c r="CC26" i="109"/>
  <c r="LD34" i="136"/>
  <c r="HX34" i="136"/>
  <c r="CV40" i="16"/>
  <c r="CC19" i="109"/>
  <c r="LD23" i="136"/>
  <c r="LF23" i="136" s="1"/>
  <c r="JX20" i="1"/>
  <c r="LD9" i="136"/>
  <c r="HT11" i="136"/>
  <c r="MF11" i="136" s="1"/>
  <c r="HX10" i="136"/>
  <c r="HX13" i="136"/>
  <c r="MH13" i="136" s="1"/>
  <c r="HX7" i="136"/>
  <c r="HT25" i="136"/>
  <c r="MF25" i="136" s="1"/>
  <c r="HT9" i="136"/>
  <c r="HT32" i="136"/>
  <c r="HX20" i="136"/>
  <c r="MH20" i="136" s="1"/>
  <c r="HT19" i="136"/>
  <c r="HT20" i="136"/>
  <c r="MF20" i="136" s="1"/>
  <c r="HX19" i="136"/>
  <c r="LD21" i="136"/>
  <c r="KL34" i="136"/>
  <c r="HT21" i="136"/>
  <c r="KM19" i="136"/>
  <c r="CC35" i="109"/>
  <c r="HX23" i="136"/>
  <c r="MH23" i="136" s="1"/>
  <c r="KM11" i="136"/>
  <c r="MM11" i="136" s="1"/>
  <c r="DD30" i="136"/>
  <c r="DD25" i="136"/>
  <c r="DD9" i="136"/>
  <c r="DD20" i="136"/>
  <c r="DD8" i="136"/>
  <c r="DD19" i="136"/>
  <c r="DD18" i="136"/>
  <c r="DD27" i="136"/>
  <c r="DD10" i="136"/>
  <c r="DD17" i="136"/>
  <c r="DD23" i="136"/>
  <c r="DD13" i="136"/>
  <c r="DD7" i="136"/>
  <c r="DD12" i="136"/>
  <c r="DD16" i="136"/>
  <c r="DD11" i="136"/>
  <c r="DD26" i="136"/>
  <c r="DD29" i="136"/>
  <c r="DD22" i="136"/>
  <c r="KL32" i="136"/>
  <c r="HT18" i="136"/>
  <c r="MF18" i="136" s="1"/>
  <c r="KM13" i="136"/>
  <c r="MM13" i="136" s="1"/>
  <c r="KM20" i="136"/>
  <c r="MM20" i="136" s="1"/>
  <c r="DP20" i="136"/>
  <c r="DR20" i="136" s="1"/>
  <c r="MC20" i="136" s="1"/>
  <c r="DP19" i="136"/>
  <c r="DP17" i="136"/>
  <c r="DP23" i="136"/>
  <c r="DR23" i="136" s="1"/>
  <c r="MC23" i="136" s="1"/>
  <c r="DP16" i="136"/>
  <c r="DR16" i="136" s="1"/>
  <c r="MC16" i="136" s="1"/>
  <c r="DP7" i="136"/>
  <c r="DP30" i="136"/>
  <c r="DR30" i="136" s="1"/>
  <c r="MC30" i="136" s="1"/>
  <c r="DP25" i="136"/>
  <c r="DR25" i="136" s="1"/>
  <c r="MC25" i="136" s="1"/>
  <c r="DP12" i="136"/>
  <c r="DP10" i="136"/>
  <c r="DR10" i="136" s="1"/>
  <c r="MC10" i="136" s="1"/>
  <c r="DP18" i="136"/>
  <c r="DR18" i="136" s="1"/>
  <c r="MC18" i="136" s="1"/>
  <c r="DP9" i="136"/>
  <c r="DP27" i="136"/>
  <c r="DR27" i="136" s="1"/>
  <c r="MC27" i="136" s="1"/>
  <c r="DP8" i="136"/>
  <c r="DR8" i="136" s="1"/>
  <c r="DP13" i="136"/>
  <c r="DR13" i="136" s="1"/>
  <c r="MC13" i="136" s="1"/>
  <c r="DP11" i="136"/>
  <c r="DP37" i="136"/>
  <c r="DR37" i="136" s="1"/>
  <c r="MC37" i="136" s="1"/>
  <c r="DP36" i="136"/>
  <c r="CC37" i="109"/>
  <c r="CC53" i="109"/>
  <c r="CC51" i="109"/>
  <c r="LD17" i="136"/>
  <c r="HX36" i="136"/>
  <c r="KM8" i="136"/>
  <c r="KM23" i="136"/>
  <c r="MM23" i="136" s="1"/>
  <c r="KM18" i="136"/>
  <c r="MM18" i="136" s="1"/>
  <c r="CC46" i="109"/>
  <c r="LD26" i="136"/>
  <c r="HX21" i="136"/>
  <c r="KM25" i="136"/>
  <c r="MM25" i="136" s="1"/>
  <c r="KM30" i="136"/>
  <c r="MM30" i="136" s="1"/>
  <c r="LD32" i="136"/>
  <c r="KL27" i="136"/>
  <c r="HT22" i="136"/>
  <c r="MF22" i="136" s="1"/>
  <c r="KM10" i="136"/>
  <c r="MM10" i="136" s="1"/>
  <c r="CN29" i="16"/>
  <c r="HX8" i="136"/>
  <c r="MH8" i="136" s="1"/>
  <c r="DP14" i="136"/>
  <c r="DP15" i="136"/>
  <c r="DP33" i="136"/>
  <c r="DP29" i="136"/>
  <c r="DP32" i="136"/>
  <c r="DP34" i="136"/>
  <c r="DP22" i="136"/>
  <c r="DP21" i="136"/>
  <c r="DP35" i="136"/>
  <c r="DP26" i="136"/>
  <c r="CV29" i="16"/>
  <c r="MA53" i="109"/>
  <c r="HR53" i="109"/>
  <c r="MB53" i="109" s="1"/>
  <c r="KX51" i="109"/>
  <c r="KY51" i="109"/>
  <c r="CC17" i="109"/>
  <c r="CC10" i="109"/>
  <c r="CC25" i="109"/>
  <c r="KG53" i="109"/>
  <c r="KF53" i="109"/>
  <c r="KX52" i="109"/>
  <c r="KY52" i="109"/>
  <c r="CC33" i="109"/>
  <c r="CC23" i="109"/>
  <c r="CC12" i="109"/>
  <c r="KG51" i="109"/>
  <c r="KF51" i="109"/>
  <c r="HN52" i="109"/>
  <c r="LZ52" i="109" s="1"/>
  <c r="LY52" i="109"/>
  <c r="CC21" i="1"/>
  <c r="KJ20" i="1"/>
  <c r="CZ29" i="16"/>
  <c r="KY7" i="109"/>
  <c r="KX7" i="109"/>
  <c r="KX35" i="109"/>
  <c r="KY35" i="109"/>
  <c r="HN51" i="109"/>
  <c r="LZ51" i="109" s="1"/>
  <c r="LY51" i="109"/>
  <c r="CC47" i="109"/>
  <c r="CC42" i="109"/>
  <c r="CC39" i="109"/>
  <c r="CC24" i="109"/>
  <c r="KF52" i="109"/>
  <c r="KG52" i="109"/>
  <c r="KG35" i="109"/>
  <c r="KF35" i="109"/>
  <c r="KY53" i="109"/>
  <c r="KX53" i="109"/>
  <c r="HN53" i="109"/>
  <c r="LZ53" i="109" s="1"/>
  <c r="LY53" i="109"/>
  <c r="CC48" i="109"/>
  <c r="CC14" i="109"/>
  <c r="CC27" i="109"/>
  <c r="CC29" i="109"/>
  <c r="CC36" i="109"/>
  <c r="KG7" i="109"/>
  <c r="KF7" i="109"/>
  <c r="CC40" i="109"/>
  <c r="CC7" i="109"/>
  <c r="CC30" i="109"/>
  <c r="CC11" i="109"/>
  <c r="CC31" i="109"/>
  <c r="CC43" i="109"/>
  <c r="CC28" i="109"/>
  <c r="CC18" i="109"/>
  <c r="HR52" i="109"/>
  <c r="MB52" i="109" s="1"/>
  <c r="MA52" i="109"/>
  <c r="HR51" i="109"/>
  <c r="MB51" i="109" s="1"/>
  <c r="MA51" i="109"/>
  <c r="DJ53" i="109"/>
  <c r="DL53" i="109" s="1"/>
  <c r="DJ52" i="109"/>
  <c r="DL52" i="109" s="1"/>
  <c r="DJ51" i="109"/>
  <c r="DL51" i="109" s="1"/>
  <c r="DJ48" i="109"/>
  <c r="DL48" i="109" s="1"/>
  <c r="DJ47" i="109"/>
  <c r="DL47" i="109" s="1"/>
  <c r="DJ45" i="109"/>
  <c r="DL45" i="109" s="1"/>
  <c r="DJ46" i="109"/>
  <c r="DL46" i="109" s="1"/>
  <c r="DJ44" i="109"/>
  <c r="DL44" i="109" s="1"/>
  <c r="DJ40" i="109"/>
  <c r="DL40" i="109" s="1"/>
  <c r="DJ43" i="109"/>
  <c r="DL43" i="109" s="1"/>
  <c r="DJ39" i="109"/>
  <c r="DL39" i="109" s="1"/>
  <c r="DJ41" i="109"/>
  <c r="DL41" i="109" s="1"/>
  <c r="DJ36" i="109"/>
  <c r="DL36" i="109" s="1"/>
  <c r="DJ42" i="109"/>
  <c r="DL42" i="109" s="1"/>
  <c r="DJ35" i="109"/>
  <c r="DL35" i="109" s="1"/>
  <c r="DJ38" i="109"/>
  <c r="DL38" i="109" s="1"/>
  <c r="DJ37" i="109"/>
  <c r="DL37" i="109" s="1"/>
  <c r="DJ33" i="109"/>
  <c r="DL33" i="109" s="1"/>
  <c r="DJ29" i="109"/>
  <c r="DL29" i="109" s="1"/>
  <c r="DJ32" i="109"/>
  <c r="DL32" i="109" s="1"/>
  <c r="DJ31" i="109"/>
  <c r="DL31" i="109" s="1"/>
  <c r="DJ30" i="109"/>
  <c r="DL30" i="109" s="1"/>
  <c r="DJ25" i="109"/>
  <c r="DL25" i="109" s="1"/>
  <c r="DJ24" i="109"/>
  <c r="DL24" i="109" s="1"/>
  <c r="DJ27" i="109"/>
  <c r="DL27" i="109" s="1"/>
  <c r="DJ23" i="109"/>
  <c r="DL23" i="109" s="1"/>
  <c r="DJ28" i="109"/>
  <c r="DL28" i="109" s="1"/>
  <c r="DJ26" i="109"/>
  <c r="DL26" i="109" s="1"/>
  <c r="DJ19" i="109"/>
  <c r="DL19" i="109" s="1"/>
  <c r="DJ15" i="109"/>
  <c r="DL15" i="109" s="1"/>
  <c r="DJ11" i="109"/>
  <c r="DL11" i="109" s="1"/>
  <c r="DJ22" i="109"/>
  <c r="DL22" i="109" s="1"/>
  <c r="DJ18" i="109"/>
  <c r="DL18" i="109" s="1"/>
  <c r="DJ14" i="109"/>
  <c r="DL14" i="109" s="1"/>
  <c r="DJ10" i="109"/>
  <c r="DL10" i="109" s="1"/>
  <c r="DJ17" i="109"/>
  <c r="DL17" i="109" s="1"/>
  <c r="DJ13" i="109"/>
  <c r="DL13" i="109" s="1"/>
  <c r="DJ9" i="109"/>
  <c r="DL9" i="109" s="1"/>
  <c r="DJ21" i="109"/>
  <c r="DL21" i="109" s="1"/>
  <c r="DJ16" i="109"/>
  <c r="DL16" i="109" s="1"/>
  <c r="DJ12" i="109"/>
  <c r="DL12" i="109" s="1"/>
  <c r="DJ8" i="109"/>
  <c r="DL8" i="109" s="1"/>
  <c r="DJ7" i="109"/>
  <c r="DL7" i="109" s="1"/>
  <c r="BV14" i="15"/>
  <c r="CB14" i="15"/>
  <c r="CC14" i="15" s="1"/>
  <c r="CZ40" i="16"/>
  <c r="DA40" i="16" s="1"/>
  <c r="JZ21" i="1"/>
  <c r="LR21" i="1" s="1"/>
  <c r="LQ21" i="1"/>
  <c r="CE40" i="16"/>
  <c r="CF40" i="16"/>
  <c r="LO20" i="1"/>
  <c r="HJ20" i="1"/>
  <c r="LP20" i="1" s="1"/>
  <c r="CP40" i="16"/>
  <c r="CT40" i="16" s="1"/>
  <c r="HF20" i="1"/>
  <c r="LN20" i="1" s="1"/>
  <c r="LM20" i="1"/>
  <c r="CK29" i="16"/>
  <c r="DB21" i="1"/>
  <c r="CZ21" i="1"/>
  <c r="DA29" i="16"/>
  <c r="LQ22" i="1"/>
  <c r="JZ22" i="1"/>
  <c r="LR22" i="1" s="1"/>
  <c r="HJ22" i="1"/>
  <c r="LP22" i="1" s="1"/>
  <c r="LO22" i="1"/>
  <c r="CP29" i="16"/>
  <c r="CT29" i="16" s="1"/>
  <c r="LM21" i="1"/>
  <c r="HF21" i="1"/>
  <c r="LN21" i="1" s="1"/>
  <c r="CJ40" i="16"/>
  <c r="CN40" i="16" s="1"/>
  <c r="CO40" i="16" s="1"/>
  <c r="CZ20" i="1"/>
  <c r="DB20" i="1"/>
  <c r="CC22" i="1"/>
  <c r="CC20" i="1"/>
  <c r="BV13" i="15"/>
  <c r="CB13" i="15"/>
  <c r="CC13" i="15" s="1"/>
  <c r="KL20" i="1"/>
  <c r="LQ20" i="1"/>
  <c r="JZ20" i="1"/>
  <c r="LR20" i="1" s="1"/>
  <c r="LO21" i="1"/>
  <c r="HJ21" i="1"/>
  <c r="LP21" i="1" s="1"/>
  <c r="CQ29" i="16"/>
  <c r="LM22" i="1"/>
  <c r="HF22" i="1"/>
  <c r="LN22" i="1" s="1"/>
  <c r="CY21" i="1"/>
  <c r="DC21" i="1" s="1"/>
  <c r="CY22" i="1"/>
  <c r="CZ22" i="1"/>
  <c r="DB22" i="1"/>
  <c r="KL21" i="1"/>
  <c r="CE29" i="16"/>
  <c r="CF29" i="16"/>
  <c r="CQ40" i="16"/>
  <c r="CY20" i="1"/>
  <c r="BK14" i="15"/>
  <c r="CD14" i="15"/>
  <c r="CE14" i="15" s="1"/>
  <c r="DP20" i="1"/>
  <c r="DP22" i="1"/>
  <c r="DP21" i="1"/>
  <c r="BY15" i="15"/>
  <c r="C40" i="7" s="1"/>
  <c r="B40" i="7"/>
  <c r="B41" i="7"/>
  <c r="CA15" i="15"/>
  <c r="C41" i="7" s="1"/>
  <c r="CB19" i="1"/>
  <c r="CC19" i="1" s="1"/>
  <c r="C116" i="7"/>
  <c r="CB17" i="1"/>
  <c r="CC17" i="1" s="1"/>
  <c r="CB18" i="1"/>
  <c r="CC18" i="1" s="1"/>
  <c r="C117" i="7"/>
  <c r="LQ8" i="1"/>
  <c r="LO8" i="1"/>
  <c r="HJ8" i="1"/>
  <c r="LP8" i="1" s="1"/>
  <c r="LO10" i="1"/>
  <c r="HJ10" i="1"/>
  <c r="LP10" i="1" s="1"/>
  <c r="LM10" i="1"/>
  <c r="HF10" i="1"/>
  <c r="LN10" i="1" s="1"/>
  <c r="LM7" i="1"/>
  <c r="HF7" i="1"/>
  <c r="LN7" i="1" s="1"/>
  <c r="CZ13" i="1"/>
  <c r="DA13" i="1" s="1"/>
  <c r="DB13" i="1"/>
  <c r="DC13" i="1" s="1"/>
  <c r="KJ10" i="1"/>
  <c r="JX7" i="1"/>
  <c r="KL7" i="1" s="1"/>
  <c r="JX12" i="1"/>
  <c r="KL12" i="1" s="1"/>
  <c r="LQ10" i="1"/>
  <c r="LQ9" i="1"/>
  <c r="HJ12" i="1"/>
  <c r="LP12" i="1" s="1"/>
  <c r="LO12" i="1"/>
  <c r="HJ13" i="1"/>
  <c r="LP13" i="1" s="1"/>
  <c r="LO13" i="1"/>
  <c r="HF12" i="1"/>
  <c r="LN12" i="1" s="1"/>
  <c r="LM12" i="1"/>
  <c r="LM14" i="1"/>
  <c r="HF14" i="1"/>
  <c r="LN14" i="1" s="1"/>
  <c r="DB9" i="1"/>
  <c r="DC9" i="1" s="1"/>
  <c r="CZ9" i="1"/>
  <c r="CY14" i="1"/>
  <c r="CZ14" i="1"/>
  <c r="DB14" i="1"/>
  <c r="KJ8" i="1"/>
  <c r="KJ9" i="1"/>
  <c r="JX10" i="1"/>
  <c r="KL10" i="1" s="1"/>
  <c r="JX9" i="1"/>
  <c r="KL9" i="1" s="1"/>
  <c r="LQ7" i="1"/>
  <c r="HJ9" i="1"/>
  <c r="LP9" i="1" s="1"/>
  <c r="LO9" i="1"/>
  <c r="LO7" i="1"/>
  <c r="HJ7" i="1"/>
  <c r="LP7" i="1" s="1"/>
  <c r="LM9" i="1"/>
  <c r="HF9" i="1"/>
  <c r="LN9" i="1" s="1"/>
  <c r="LM13" i="1"/>
  <c r="HF13" i="1"/>
  <c r="LN13" i="1" s="1"/>
  <c r="DB7" i="1"/>
  <c r="DC7" i="1" s="1"/>
  <c r="CZ7" i="1"/>
  <c r="DB10" i="1"/>
  <c r="DC10" i="1" s="1"/>
  <c r="CZ10" i="1"/>
  <c r="KJ14" i="1"/>
  <c r="KJ12" i="1"/>
  <c r="JX8" i="1"/>
  <c r="KL8" i="1" s="1"/>
  <c r="JX13" i="1"/>
  <c r="KL13" i="1" s="1"/>
  <c r="JY13" i="1"/>
  <c r="LQ12" i="1"/>
  <c r="C118" i="7"/>
  <c r="LO14" i="1"/>
  <c r="HJ14" i="1"/>
  <c r="LP14" i="1" s="1"/>
  <c r="LM8" i="1"/>
  <c r="HF8" i="1"/>
  <c r="LN8" i="1" s="1"/>
  <c r="CZ8" i="1"/>
  <c r="DA8" i="1" s="1"/>
  <c r="DB8" i="1"/>
  <c r="DC8" i="1" s="1"/>
  <c r="DB12" i="1"/>
  <c r="DC12" i="1" s="1"/>
  <c r="CZ12" i="1"/>
  <c r="DA12" i="1" s="1"/>
  <c r="BK12" i="15"/>
  <c r="CD12" i="15"/>
  <c r="KJ13" i="1"/>
  <c r="KJ7" i="1"/>
  <c r="JX14" i="1"/>
  <c r="JZ14" i="1" s="1"/>
  <c r="LR14" i="1" s="1"/>
  <c r="CB12" i="15"/>
  <c r="BV12" i="15"/>
  <c r="BV8" i="15"/>
  <c r="BY8" i="15"/>
  <c r="CA8" i="15"/>
  <c r="DP7" i="1"/>
  <c r="DP12" i="1"/>
  <c r="DP13" i="1"/>
  <c r="DP8" i="1"/>
  <c r="DP10" i="1"/>
  <c r="DP14" i="1"/>
  <c r="DP9" i="1"/>
  <c r="BU8" i="15"/>
  <c r="BS8" i="15" s="1"/>
  <c r="C111" i="7"/>
  <c r="C110" i="7"/>
  <c r="C109" i="7"/>
  <c r="C114" i="7"/>
  <c r="CO29" i="16" l="1"/>
  <c r="MF31" i="136"/>
  <c r="KN35" i="136"/>
  <c r="MN35" i="136" s="1"/>
  <c r="KN15" i="136"/>
  <c r="MN15" i="136" s="1"/>
  <c r="KN37" i="136"/>
  <c r="MN37" i="136" s="1"/>
  <c r="DX25" i="136"/>
  <c r="KN22" i="136"/>
  <c r="MN22" i="136" s="1"/>
  <c r="DX13" i="136"/>
  <c r="LF29" i="136"/>
  <c r="MH21" i="136"/>
  <c r="MH24" i="136" s="1"/>
  <c r="DX26" i="136"/>
  <c r="LF21" i="136"/>
  <c r="LF9" i="136"/>
  <c r="KN29" i="136"/>
  <c r="KN26" i="136"/>
  <c r="MN7" i="136"/>
  <c r="MM21" i="136"/>
  <c r="MM24" i="136" s="1"/>
  <c r="LF26" i="136"/>
  <c r="DX11" i="136"/>
  <c r="DX20" i="136"/>
  <c r="MH19" i="136"/>
  <c r="LF14" i="136"/>
  <c r="LF19" i="136"/>
  <c r="KN9" i="136"/>
  <c r="MF17" i="136"/>
  <c r="KN12" i="136"/>
  <c r="MM32" i="136"/>
  <c r="MM34" i="136"/>
  <c r="MF9" i="136"/>
  <c r="MH34" i="136"/>
  <c r="MF26" i="136"/>
  <c r="MF28" i="136" s="1"/>
  <c r="MF14" i="136"/>
  <c r="MM29" i="136"/>
  <c r="MM31" i="136" s="1"/>
  <c r="DX16" i="136"/>
  <c r="MH12" i="136"/>
  <c r="DX12" i="136"/>
  <c r="KN17" i="136"/>
  <c r="MM17" i="136"/>
  <c r="MM36" i="136"/>
  <c r="DX23" i="136"/>
  <c r="LF17" i="136"/>
  <c r="DX17" i="136"/>
  <c r="LF34" i="136"/>
  <c r="MF36" i="136"/>
  <c r="MH29" i="136"/>
  <c r="MH31" i="136" s="1"/>
  <c r="MH14" i="136"/>
  <c r="MM26" i="136"/>
  <c r="MM28" i="136" s="1"/>
  <c r="KN14" i="136"/>
  <c r="MM12" i="136"/>
  <c r="MH32" i="136"/>
  <c r="KN27" i="136"/>
  <c r="MN27" i="136" s="1"/>
  <c r="DX10" i="136"/>
  <c r="MM19" i="136"/>
  <c r="MH7" i="136"/>
  <c r="MF34" i="136"/>
  <c r="DX30" i="136"/>
  <c r="LF12" i="136"/>
  <c r="MF32" i="136"/>
  <c r="LF32" i="136"/>
  <c r="KN32" i="136"/>
  <c r="DX27" i="136"/>
  <c r="KN36" i="136"/>
  <c r="DX9" i="136"/>
  <c r="MF12" i="136"/>
  <c r="LF7" i="136"/>
  <c r="DF22" i="136"/>
  <c r="DH22" i="136" s="1"/>
  <c r="DX22" i="136"/>
  <c r="DX18" i="136"/>
  <c r="MF21" i="136"/>
  <c r="MF24" i="136" s="1"/>
  <c r="MH10" i="136"/>
  <c r="KN21" i="136"/>
  <c r="LF36" i="136"/>
  <c r="MH17" i="136"/>
  <c r="MM14" i="136"/>
  <c r="MF19" i="136"/>
  <c r="MH36" i="136"/>
  <c r="DX29" i="136"/>
  <c r="DX19" i="136"/>
  <c r="KN34" i="136"/>
  <c r="MH26" i="136"/>
  <c r="MH28" i="136" s="1"/>
  <c r="MM9" i="136"/>
  <c r="DF26" i="136"/>
  <c r="DH26" i="136" s="1"/>
  <c r="DR36" i="136"/>
  <c r="DR17" i="136"/>
  <c r="DR19" i="136"/>
  <c r="DR12" i="136"/>
  <c r="DF29" i="136"/>
  <c r="DH29" i="136" s="1"/>
  <c r="MM8" i="136"/>
  <c r="KN8" i="136"/>
  <c r="MN8" i="136" s="1"/>
  <c r="DT18" i="136"/>
  <c r="DF12" i="136"/>
  <c r="DF18" i="136"/>
  <c r="BT8" i="136"/>
  <c r="BS8" i="136"/>
  <c r="DE20" i="136"/>
  <c r="DE19" i="136"/>
  <c r="DE9" i="136"/>
  <c r="DE30" i="136"/>
  <c r="DE7" i="136"/>
  <c r="DE10" i="136"/>
  <c r="DE18" i="136"/>
  <c r="DE27" i="136"/>
  <c r="DE17" i="136"/>
  <c r="DE8" i="136"/>
  <c r="DE25" i="136"/>
  <c r="DE13" i="136"/>
  <c r="DE23" i="136"/>
  <c r="DE12" i="136"/>
  <c r="DE16" i="136"/>
  <c r="DE11" i="136"/>
  <c r="DE26" i="136"/>
  <c r="DE29" i="136"/>
  <c r="DE22" i="136"/>
  <c r="DT37" i="136"/>
  <c r="DT10" i="136"/>
  <c r="DX7" i="136"/>
  <c r="DF7" i="136"/>
  <c r="DF19" i="136"/>
  <c r="DF25" i="136"/>
  <c r="KN19" i="136"/>
  <c r="DT20" i="136"/>
  <c r="KN20" i="136"/>
  <c r="MN20" i="136" s="1"/>
  <c r="DF13" i="136"/>
  <c r="DF30" i="136"/>
  <c r="KN10" i="136"/>
  <c r="MN10" i="136" s="1"/>
  <c r="DQ11" i="136"/>
  <c r="DR11" i="136"/>
  <c r="MC11" i="136" s="1"/>
  <c r="DT25" i="136"/>
  <c r="DQ19" i="136"/>
  <c r="DQ20" i="136"/>
  <c r="DS20" i="136" s="1"/>
  <c r="MD20" i="136" s="1"/>
  <c r="DQ18" i="136"/>
  <c r="DS18" i="136" s="1"/>
  <c r="MD18" i="136" s="1"/>
  <c r="DQ23" i="136"/>
  <c r="DS23" i="136" s="1"/>
  <c r="MD23" i="136" s="1"/>
  <c r="MD24" i="136" s="1"/>
  <c r="DQ30" i="136"/>
  <c r="DS30" i="136" s="1"/>
  <c r="MD30" i="136" s="1"/>
  <c r="MD31" i="136" s="1"/>
  <c r="DQ10" i="136"/>
  <c r="DS10" i="136" s="1"/>
  <c r="MD10" i="136" s="1"/>
  <c r="DQ8" i="136"/>
  <c r="DS8" i="136" s="1"/>
  <c r="DQ12" i="136"/>
  <c r="DQ25" i="136"/>
  <c r="DS25" i="136" s="1"/>
  <c r="MD25" i="136" s="1"/>
  <c r="DQ13" i="136"/>
  <c r="DS13" i="136" s="1"/>
  <c r="MD13" i="136" s="1"/>
  <c r="DQ17" i="136"/>
  <c r="DQ16" i="136"/>
  <c r="DS16" i="136" s="1"/>
  <c r="MD16" i="136" s="1"/>
  <c r="DQ27" i="136"/>
  <c r="DS27" i="136" s="1"/>
  <c r="MD27" i="136" s="1"/>
  <c r="MD28" i="136" s="1"/>
  <c r="DQ37" i="136"/>
  <c r="DS37" i="136" s="1"/>
  <c r="MD37" i="136" s="1"/>
  <c r="DQ36" i="136"/>
  <c r="KN30" i="136"/>
  <c r="MN30" i="136" s="1"/>
  <c r="KN18" i="136"/>
  <c r="MN18" i="136" s="1"/>
  <c r="DT13" i="136"/>
  <c r="DT30" i="136"/>
  <c r="DF23" i="136"/>
  <c r="DX8" i="136"/>
  <c r="DF8" i="136"/>
  <c r="KN11" i="136"/>
  <c r="MN11" i="136" s="1"/>
  <c r="DT8" i="136"/>
  <c r="MC8" i="136"/>
  <c r="DQ7" i="136"/>
  <c r="DR7" i="136"/>
  <c r="DF17" i="136"/>
  <c r="DF20" i="136"/>
  <c r="BO8" i="136"/>
  <c r="BP8" i="136"/>
  <c r="KZ53" i="109"/>
  <c r="KN25" i="136"/>
  <c r="MN25" i="136" s="1"/>
  <c r="DT27" i="136"/>
  <c r="DT16" i="136"/>
  <c r="DF11" i="136"/>
  <c r="DF10" i="136"/>
  <c r="KN23" i="136"/>
  <c r="MN23" i="136" s="1"/>
  <c r="DQ9" i="136"/>
  <c r="DR9" i="136"/>
  <c r="DT23" i="136"/>
  <c r="KN13" i="136"/>
  <c r="MN13" i="136" s="1"/>
  <c r="DF16" i="136"/>
  <c r="DF27" i="136"/>
  <c r="DF9" i="136"/>
  <c r="DQ32" i="136"/>
  <c r="DR32" i="136"/>
  <c r="MC32" i="136" s="1"/>
  <c r="DR29" i="136"/>
  <c r="MC29" i="136" s="1"/>
  <c r="MC31" i="136" s="1"/>
  <c r="DQ29" i="136"/>
  <c r="DR26" i="136"/>
  <c r="MC26" i="136" s="1"/>
  <c r="MC28" i="136" s="1"/>
  <c r="DQ26" i="136"/>
  <c r="DR33" i="136"/>
  <c r="MC33" i="136" s="1"/>
  <c r="DQ33" i="136"/>
  <c r="DR34" i="136"/>
  <c r="MC34" i="136" s="1"/>
  <c r="DQ34" i="136"/>
  <c r="DQ14" i="136"/>
  <c r="DR14" i="136"/>
  <c r="MC14" i="136" s="1"/>
  <c r="DR35" i="136"/>
  <c r="MC35" i="136" s="1"/>
  <c r="DQ35" i="136"/>
  <c r="DQ21" i="136"/>
  <c r="DR21" i="136"/>
  <c r="MC21" i="136" s="1"/>
  <c r="CC15" i="15"/>
  <c r="KZ35" i="109"/>
  <c r="DR22" i="136"/>
  <c r="MC22" i="136" s="1"/>
  <c r="DQ22" i="136"/>
  <c r="DR15" i="136"/>
  <c r="MC15" i="136" s="1"/>
  <c r="DQ15" i="136"/>
  <c r="MG52" i="109"/>
  <c r="KH52" i="109"/>
  <c r="MH52" i="109" s="1"/>
  <c r="KZ7" i="109"/>
  <c r="KH51" i="109"/>
  <c r="MH51" i="109" s="1"/>
  <c r="MG51" i="109"/>
  <c r="KZ51" i="109"/>
  <c r="CG40" i="16"/>
  <c r="KZ52" i="109"/>
  <c r="CE15" i="15"/>
  <c r="CD15" i="15"/>
  <c r="KH7" i="109"/>
  <c r="KH35" i="109"/>
  <c r="MG53" i="109"/>
  <c r="KH53" i="109"/>
  <c r="MH53" i="109" s="1"/>
  <c r="LW21" i="109"/>
  <c r="DN21" i="109"/>
  <c r="LW28" i="109"/>
  <c r="DN28" i="109"/>
  <c r="LW46" i="109"/>
  <c r="DN46" i="109"/>
  <c r="BN53" i="109"/>
  <c r="BM53" i="109"/>
  <c r="BM51" i="109"/>
  <c r="BN48" i="109"/>
  <c r="BM48" i="109"/>
  <c r="BN52" i="109"/>
  <c r="BM52" i="109"/>
  <c r="BN47" i="109"/>
  <c r="BM47" i="109"/>
  <c r="BN46" i="109"/>
  <c r="BN51" i="109"/>
  <c r="BM45" i="109"/>
  <c r="BM44" i="109"/>
  <c r="BN43" i="109"/>
  <c r="BM40" i="109"/>
  <c r="BM46" i="109"/>
  <c r="BM43" i="109"/>
  <c r="BN42" i="109"/>
  <c r="BN45" i="109"/>
  <c r="BN44" i="109"/>
  <c r="BN40" i="109"/>
  <c r="BN39" i="109"/>
  <c r="BM36" i="109"/>
  <c r="BN41" i="109"/>
  <c r="BM39" i="109"/>
  <c r="BN38" i="109"/>
  <c r="BM41" i="109"/>
  <c r="BM38" i="109"/>
  <c r="BN37" i="109"/>
  <c r="BM42" i="109"/>
  <c r="BM37" i="109"/>
  <c r="BN36" i="109"/>
  <c r="BN35" i="109"/>
  <c r="BM33" i="109"/>
  <c r="BN32" i="109"/>
  <c r="BM29" i="109"/>
  <c r="BM35" i="109"/>
  <c r="BM32" i="109"/>
  <c r="BN31" i="109"/>
  <c r="BM31" i="109"/>
  <c r="BN30" i="109"/>
  <c r="BN33" i="109"/>
  <c r="BM30" i="109"/>
  <c r="BN29" i="109"/>
  <c r="BN28" i="109"/>
  <c r="BM25" i="109"/>
  <c r="BN24" i="109"/>
  <c r="BM28" i="109"/>
  <c r="BN27" i="109"/>
  <c r="BM24" i="109"/>
  <c r="BN23" i="109"/>
  <c r="BM27" i="109"/>
  <c r="BN26" i="109"/>
  <c r="BM23" i="109"/>
  <c r="BN22" i="109"/>
  <c r="BM26" i="109"/>
  <c r="BN25" i="109"/>
  <c r="BM19" i="109"/>
  <c r="BN18" i="109"/>
  <c r="BM15" i="109"/>
  <c r="BN14" i="109"/>
  <c r="BM11" i="109"/>
  <c r="BN10" i="109"/>
  <c r="BM18" i="109"/>
  <c r="BN17" i="109"/>
  <c r="BM14" i="109"/>
  <c r="BN13" i="109"/>
  <c r="BM10" i="109"/>
  <c r="BN9" i="109"/>
  <c r="BM22" i="109"/>
  <c r="BN21" i="109"/>
  <c r="BM17" i="109"/>
  <c r="BN16" i="109"/>
  <c r="BM13" i="109"/>
  <c r="BN12" i="109"/>
  <c r="BM9" i="109"/>
  <c r="BM21" i="109"/>
  <c r="BN19" i="109"/>
  <c r="BM16" i="109"/>
  <c r="BN15" i="109"/>
  <c r="BM12" i="109"/>
  <c r="BN11" i="109"/>
  <c r="BM8" i="109"/>
  <c r="BN7" i="109"/>
  <c r="BN8" i="109"/>
  <c r="BM7" i="109"/>
  <c r="DA20" i="1"/>
  <c r="LW16" i="109"/>
  <c r="DN16" i="109"/>
  <c r="DN17" i="109"/>
  <c r="LW17" i="109"/>
  <c r="LW22" i="109"/>
  <c r="DN22" i="109"/>
  <c r="LW26" i="109"/>
  <c r="DN26" i="109"/>
  <c r="DN24" i="109"/>
  <c r="LW24" i="109"/>
  <c r="DN32" i="109"/>
  <c r="LW32" i="109"/>
  <c r="DN38" i="109"/>
  <c r="LW38" i="109"/>
  <c r="LW41" i="109"/>
  <c r="DN41" i="109"/>
  <c r="DN44" i="109"/>
  <c r="LW44" i="109"/>
  <c r="DN48" i="109"/>
  <c r="LW48" i="109"/>
  <c r="DN10" i="109"/>
  <c r="LW10" i="109"/>
  <c r="DN25" i="109"/>
  <c r="LW25" i="109"/>
  <c r="DN29" i="109"/>
  <c r="LW29" i="109"/>
  <c r="DN35" i="109"/>
  <c r="LW35" i="109"/>
  <c r="LW51" i="109"/>
  <c r="DN51" i="109"/>
  <c r="DK53" i="109"/>
  <c r="DK48" i="109"/>
  <c r="DM48" i="109" s="1"/>
  <c r="DK52" i="109"/>
  <c r="DK47" i="109"/>
  <c r="DM47" i="109" s="1"/>
  <c r="DK46" i="109"/>
  <c r="DM46" i="109" s="1"/>
  <c r="DK43" i="109"/>
  <c r="DM43" i="109" s="1"/>
  <c r="DK39" i="109"/>
  <c r="DM39" i="109" s="1"/>
  <c r="DK51" i="109"/>
  <c r="DM51" i="109" s="1"/>
  <c r="DK45" i="109"/>
  <c r="DM45" i="109" s="1"/>
  <c r="DK42" i="109"/>
  <c r="DM42" i="109" s="1"/>
  <c r="DK44" i="109"/>
  <c r="DM44" i="109" s="1"/>
  <c r="DK38" i="109"/>
  <c r="DM38" i="109" s="1"/>
  <c r="DK40" i="109"/>
  <c r="DK37" i="109"/>
  <c r="DM37" i="109" s="1"/>
  <c r="DK41" i="109"/>
  <c r="DM41" i="109" s="1"/>
  <c r="DK36" i="109"/>
  <c r="DM36" i="109" s="1"/>
  <c r="DK32" i="109"/>
  <c r="DM32" i="109" s="1"/>
  <c r="DK35" i="109"/>
  <c r="DM35" i="109" s="1"/>
  <c r="DK31" i="109"/>
  <c r="DM31" i="109" s="1"/>
  <c r="DK30" i="109"/>
  <c r="DM30" i="109" s="1"/>
  <c r="DK33" i="109"/>
  <c r="DM33" i="109" s="1"/>
  <c r="DK29" i="109"/>
  <c r="DM29" i="109" s="1"/>
  <c r="DK24" i="109"/>
  <c r="DM24" i="109" s="1"/>
  <c r="DK27" i="109"/>
  <c r="DK23" i="109"/>
  <c r="DK28" i="109"/>
  <c r="DM28" i="109" s="1"/>
  <c r="DK26" i="109"/>
  <c r="DM26" i="109" s="1"/>
  <c r="DK22" i="109"/>
  <c r="DM22" i="109" s="1"/>
  <c r="DK25" i="109"/>
  <c r="DM25" i="109" s="1"/>
  <c r="DK18" i="109"/>
  <c r="DM18" i="109" s="1"/>
  <c r="DK14" i="109"/>
  <c r="DM14" i="109" s="1"/>
  <c r="DK10" i="109"/>
  <c r="DM10" i="109" s="1"/>
  <c r="DK17" i="109"/>
  <c r="DM17" i="109" s="1"/>
  <c r="DK13" i="109"/>
  <c r="DM13" i="109" s="1"/>
  <c r="DK9" i="109"/>
  <c r="DM9" i="109" s="1"/>
  <c r="DK21" i="109"/>
  <c r="DM21" i="109" s="1"/>
  <c r="DK16" i="109"/>
  <c r="DM16" i="109" s="1"/>
  <c r="DK12" i="109"/>
  <c r="DM12" i="109" s="1"/>
  <c r="DK8" i="109"/>
  <c r="DM8" i="109" s="1"/>
  <c r="DK19" i="109"/>
  <c r="DM19" i="109" s="1"/>
  <c r="DK15" i="109"/>
  <c r="DM15" i="109" s="1"/>
  <c r="DK11" i="109"/>
  <c r="DK7" i="109"/>
  <c r="DM7" i="109" s="1"/>
  <c r="LW8" i="109"/>
  <c r="DN8" i="109"/>
  <c r="DN9" i="109"/>
  <c r="LW9" i="109"/>
  <c r="DN14" i="109"/>
  <c r="LW14" i="109"/>
  <c r="DN15" i="109"/>
  <c r="LW15" i="109"/>
  <c r="DN23" i="109"/>
  <c r="LW23" i="109"/>
  <c r="DM23" i="109"/>
  <c r="LW30" i="109"/>
  <c r="DN30" i="109"/>
  <c r="DN33" i="109"/>
  <c r="LW33" i="109"/>
  <c r="LW42" i="109"/>
  <c r="DN42" i="109"/>
  <c r="DN43" i="109"/>
  <c r="LW43" i="109"/>
  <c r="LW45" i="109"/>
  <c r="DN45" i="109"/>
  <c r="DN52" i="109"/>
  <c r="DM52" i="109"/>
  <c r="LW52" i="109"/>
  <c r="LW7" i="109"/>
  <c r="DN7" i="109"/>
  <c r="DN11" i="109"/>
  <c r="LW11" i="109"/>
  <c r="DM11" i="109"/>
  <c r="DN39" i="109"/>
  <c r="LW39" i="109"/>
  <c r="CG29" i="16"/>
  <c r="LW12" i="109"/>
  <c r="DN12" i="109"/>
  <c r="DN13" i="109"/>
  <c r="LW13" i="109"/>
  <c r="DN18" i="109"/>
  <c r="LW18" i="109"/>
  <c r="DN19" i="109"/>
  <c r="LW19" i="109"/>
  <c r="DN27" i="109"/>
  <c r="LW27" i="109"/>
  <c r="DM27" i="109"/>
  <c r="DN31" i="109"/>
  <c r="LW31" i="109"/>
  <c r="LW37" i="109"/>
  <c r="DN37" i="109"/>
  <c r="DN36" i="109"/>
  <c r="LW36" i="109"/>
  <c r="DN40" i="109"/>
  <c r="LW40" i="109"/>
  <c r="DM40" i="109"/>
  <c r="DN47" i="109"/>
  <c r="LW47" i="109"/>
  <c r="LW53" i="109"/>
  <c r="DN53" i="109"/>
  <c r="DM53" i="109"/>
  <c r="DA22" i="1"/>
  <c r="DC20" i="1"/>
  <c r="DA21" i="1"/>
  <c r="CU40" i="16"/>
  <c r="DC22" i="1"/>
  <c r="CU29" i="16"/>
  <c r="BM21" i="1"/>
  <c r="BM22" i="1"/>
  <c r="BN21" i="1"/>
  <c r="BM20" i="1"/>
  <c r="BN20" i="1"/>
  <c r="BN22" i="1"/>
  <c r="DQ22" i="1"/>
  <c r="DR22" i="1"/>
  <c r="DR21" i="1"/>
  <c r="DQ21" i="1"/>
  <c r="DQ20" i="1"/>
  <c r="DR20" i="1"/>
  <c r="CB15" i="15"/>
  <c r="B42" i="7" s="1"/>
  <c r="C42" i="7"/>
  <c r="C43" i="7"/>
  <c r="B43" i="7"/>
  <c r="BM13" i="10"/>
  <c r="BM12" i="10"/>
  <c r="BM16" i="10"/>
  <c r="BM14" i="10"/>
  <c r="BM15" i="10"/>
  <c r="BN13" i="10"/>
  <c r="BN14" i="10"/>
  <c r="BN15" i="10"/>
  <c r="BN16" i="10"/>
  <c r="BN12" i="10"/>
  <c r="BN19" i="1"/>
  <c r="BM17" i="1"/>
  <c r="BM18" i="1"/>
  <c r="BM19" i="1"/>
  <c r="BN17" i="1"/>
  <c r="BN18" i="1"/>
  <c r="BM9" i="10"/>
  <c r="BM11" i="10"/>
  <c r="BN9" i="10"/>
  <c r="BN10" i="10"/>
  <c r="BM10" i="10"/>
  <c r="BN11" i="10"/>
  <c r="BN8" i="10"/>
  <c r="BM8" i="10"/>
  <c r="CC12" i="15"/>
  <c r="CE12" i="15"/>
  <c r="BM14" i="1"/>
  <c r="BM8" i="1"/>
  <c r="BM13" i="1"/>
  <c r="BM10" i="1"/>
  <c r="BM9" i="1"/>
  <c r="BM7" i="1"/>
  <c r="BM12" i="1"/>
  <c r="BN10" i="1"/>
  <c r="BN8" i="1"/>
  <c r="BN7" i="1"/>
  <c r="BN9" i="1"/>
  <c r="BN13" i="1"/>
  <c r="BN14" i="1"/>
  <c r="BN12" i="1"/>
  <c r="JZ12" i="1"/>
  <c r="LR12" i="1" s="1"/>
  <c r="JZ9" i="1"/>
  <c r="LR9" i="1" s="1"/>
  <c r="DC14" i="1"/>
  <c r="KL14" i="1"/>
  <c r="JZ7" i="1"/>
  <c r="LR7" i="1" s="1"/>
  <c r="LQ13" i="1"/>
  <c r="JZ13" i="1"/>
  <c r="LR13" i="1" s="1"/>
  <c r="DA10" i="1"/>
  <c r="JZ8" i="1"/>
  <c r="LR8" i="1" s="1"/>
  <c r="DA14" i="1"/>
  <c r="JZ10" i="1"/>
  <c r="LR10" i="1" s="1"/>
  <c r="DA7" i="1"/>
  <c r="DA9" i="1"/>
  <c r="BW8" i="15"/>
  <c r="DR8" i="1"/>
  <c r="DQ8" i="1"/>
  <c r="DQ9" i="1"/>
  <c r="DR9" i="1"/>
  <c r="DR14" i="1"/>
  <c r="DQ14" i="1"/>
  <c r="DR12" i="1"/>
  <c r="DQ12" i="1"/>
  <c r="DR13" i="1"/>
  <c r="DQ13" i="1"/>
  <c r="DQ10" i="1"/>
  <c r="DR10" i="1"/>
  <c r="DQ7" i="1"/>
  <c r="DR7" i="1"/>
  <c r="MC24" i="136" l="1"/>
  <c r="DG29" i="136"/>
  <c r="LZ29" i="136" s="1"/>
  <c r="DY22" i="136"/>
  <c r="DY18" i="136"/>
  <c r="DY19" i="136"/>
  <c r="EB20" i="136"/>
  <c r="LY20" i="136"/>
  <c r="EB17" i="136"/>
  <c r="LY17" i="136"/>
  <c r="DY12" i="136"/>
  <c r="MN19" i="136"/>
  <c r="MC12" i="136"/>
  <c r="MN21" i="136"/>
  <c r="MN24" i="136" s="1"/>
  <c r="MN32" i="136"/>
  <c r="DY26" i="136"/>
  <c r="EB23" i="136"/>
  <c r="LY23" i="136"/>
  <c r="DY9" i="136"/>
  <c r="MN12" i="136"/>
  <c r="EB10" i="136"/>
  <c r="LY10" i="136"/>
  <c r="DY11" i="136"/>
  <c r="EB25" i="136"/>
  <c r="LY25" i="136"/>
  <c r="MN17" i="136"/>
  <c r="DY10" i="136"/>
  <c r="MC9" i="136"/>
  <c r="EB19" i="136"/>
  <c r="LY19" i="136"/>
  <c r="MN14" i="136"/>
  <c r="DY20" i="136"/>
  <c r="MC17" i="136"/>
  <c r="DY13" i="136"/>
  <c r="LY11" i="136"/>
  <c r="EB11" i="136"/>
  <c r="MC36" i="136"/>
  <c r="EB30" i="136"/>
  <c r="LY30" i="136"/>
  <c r="DG22" i="136"/>
  <c r="LZ22" i="136" s="1"/>
  <c r="EB18" i="136"/>
  <c r="LY18" i="136"/>
  <c r="MN36" i="136"/>
  <c r="DY30" i="136"/>
  <c r="EB9" i="136"/>
  <c r="LY9" i="136"/>
  <c r="EB13" i="136"/>
  <c r="LY13" i="136"/>
  <c r="EB12" i="136"/>
  <c r="LY12" i="136"/>
  <c r="EB29" i="136"/>
  <c r="LY29" i="136"/>
  <c r="EB26" i="136"/>
  <c r="LY26" i="136"/>
  <c r="EB22" i="136"/>
  <c r="LY22" i="136"/>
  <c r="DY27" i="136"/>
  <c r="DY23" i="136"/>
  <c r="MN9" i="136"/>
  <c r="DY25" i="136"/>
  <c r="MC19" i="136"/>
  <c r="EB27" i="136"/>
  <c r="LY27" i="136"/>
  <c r="DT17" i="136"/>
  <c r="DY29" i="136"/>
  <c r="EW8" i="136"/>
  <c r="EX8" i="136" s="1"/>
  <c r="MN26" i="136"/>
  <c r="MN28" i="136" s="1"/>
  <c r="MN34" i="136"/>
  <c r="DY17" i="136"/>
  <c r="MN29" i="136"/>
  <c r="MN31" i="136" s="1"/>
  <c r="LY16" i="136"/>
  <c r="EB16" i="136"/>
  <c r="DY16" i="136"/>
  <c r="DS36" i="136"/>
  <c r="DU36" i="136" s="1"/>
  <c r="DS19" i="136"/>
  <c r="DT12" i="136"/>
  <c r="DS17" i="136"/>
  <c r="MD17" i="136" s="1"/>
  <c r="DG26" i="136"/>
  <c r="DS12" i="136"/>
  <c r="DT19" i="136"/>
  <c r="DT36" i="136"/>
  <c r="OK8" i="136"/>
  <c r="OL8" i="136" s="1"/>
  <c r="OK7" i="136"/>
  <c r="OL7" i="136" s="1"/>
  <c r="CN29" i="136"/>
  <c r="NS29" i="136" s="1"/>
  <c r="CN26" i="136"/>
  <c r="NS26" i="136" s="1"/>
  <c r="CN22" i="136"/>
  <c r="NS22" i="136" s="1"/>
  <c r="DY8" i="136"/>
  <c r="DU13" i="136"/>
  <c r="DU37" i="136"/>
  <c r="DU27" i="136"/>
  <c r="DU10" i="136"/>
  <c r="DH19" i="136"/>
  <c r="DG19" i="136"/>
  <c r="CN16" i="136"/>
  <c r="NS16" i="136" s="1"/>
  <c r="CN9" i="136"/>
  <c r="NS9" i="136" s="1"/>
  <c r="CN25" i="136"/>
  <c r="NS25" i="136" s="1"/>
  <c r="DG30" i="136"/>
  <c r="CJ20" i="136"/>
  <c r="CJ19" i="136"/>
  <c r="CJ25" i="136"/>
  <c r="CJ18" i="136"/>
  <c r="CJ9" i="136"/>
  <c r="CJ30" i="136"/>
  <c r="BU8" i="136"/>
  <c r="BZ8" i="136" s="1"/>
  <c r="CJ8" i="136" s="1"/>
  <c r="CJ17" i="136"/>
  <c r="CJ27" i="136"/>
  <c r="BV7" i="136"/>
  <c r="CJ11" i="136"/>
  <c r="CJ10" i="136"/>
  <c r="CJ12" i="136"/>
  <c r="BV8" i="136"/>
  <c r="CA8" i="136" s="1"/>
  <c r="BY8" i="136" s="1"/>
  <c r="CC8" i="136" s="1"/>
  <c r="CJ29" i="136"/>
  <c r="CJ26" i="136"/>
  <c r="DH16" i="136"/>
  <c r="DG16" i="136"/>
  <c r="LZ16" i="136" s="1"/>
  <c r="DT9" i="136"/>
  <c r="DS9" i="136"/>
  <c r="CN8" i="136"/>
  <c r="CN17" i="136"/>
  <c r="NS17" i="136" s="1"/>
  <c r="DG17" i="136"/>
  <c r="LZ17" i="136" s="1"/>
  <c r="DH17" i="136"/>
  <c r="DU8" i="136"/>
  <c r="MD8" i="136"/>
  <c r="DH13" i="136"/>
  <c r="DG13" i="136"/>
  <c r="LZ13" i="136" s="1"/>
  <c r="DG8" i="136"/>
  <c r="DH18" i="136"/>
  <c r="DG18" i="136"/>
  <c r="LZ18" i="136" s="1"/>
  <c r="CN30" i="136"/>
  <c r="NS30" i="136" s="1"/>
  <c r="DH9" i="136"/>
  <c r="DG9" i="136"/>
  <c r="LZ9" i="136" s="1"/>
  <c r="DU16" i="136"/>
  <c r="CN19" i="136"/>
  <c r="NS19" i="136" s="1"/>
  <c r="LY8" i="136"/>
  <c r="EB8" i="136"/>
  <c r="DH8" i="136"/>
  <c r="DU30" i="136"/>
  <c r="DH12" i="136"/>
  <c r="DG12" i="136"/>
  <c r="LZ12" i="136" s="1"/>
  <c r="DH10" i="136"/>
  <c r="DG10" i="136"/>
  <c r="LZ10" i="136" s="1"/>
  <c r="CN13" i="136"/>
  <c r="NS13" i="136" s="1"/>
  <c r="CN27" i="136"/>
  <c r="NS27" i="136" s="1"/>
  <c r="DS7" i="136"/>
  <c r="MC7" i="136"/>
  <c r="DT7" i="136"/>
  <c r="DU23" i="136"/>
  <c r="DS11" i="136"/>
  <c r="MD11" i="136" s="1"/>
  <c r="DT11" i="136"/>
  <c r="DH30" i="136"/>
  <c r="LY7" i="136"/>
  <c r="DH7" i="136"/>
  <c r="DG7" i="136"/>
  <c r="EB7" i="136"/>
  <c r="CN12" i="136"/>
  <c r="NS12" i="136" s="1"/>
  <c r="CN23" i="136"/>
  <c r="NS23" i="136" s="1"/>
  <c r="CN10" i="136"/>
  <c r="NS10" i="136" s="1"/>
  <c r="CN18" i="136"/>
  <c r="NS18" i="136" s="1"/>
  <c r="DU18" i="136"/>
  <c r="DY7" i="136"/>
  <c r="CN20" i="136"/>
  <c r="NS20" i="136" s="1"/>
  <c r="DG27" i="136"/>
  <c r="LZ27" i="136" s="1"/>
  <c r="DH27" i="136"/>
  <c r="DH11" i="136"/>
  <c r="DG11" i="136"/>
  <c r="LZ11" i="136" s="1"/>
  <c r="CN7" i="136"/>
  <c r="NS7" i="136" s="1"/>
  <c r="EW7" i="136"/>
  <c r="DH20" i="136"/>
  <c r="DG20" i="136"/>
  <c r="LZ20" i="136" s="1"/>
  <c r="DG23" i="136"/>
  <c r="LZ23" i="136" s="1"/>
  <c r="DH23" i="136"/>
  <c r="DU25" i="136"/>
  <c r="DH25" i="136"/>
  <c r="DG25" i="136"/>
  <c r="LZ25" i="136" s="1"/>
  <c r="DU20" i="136"/>
  <c r="DT14" i="136"/>
  <c r="DS14" i="136"/>
  <c r="MD14" i="136" s="1"/>
  <c r="DT32" i="136"/>
  <c r="DS32" i="136"/>
  <c r="MD32" i="136" s="1"/>
  <c r="DT29" i="136"/>
  <c r="DS29" i="136"/>
  <c r="CL36" i="136"/>
  <c r="CJ21" i="136"/>
  <c r="DT22" i="136"/>
  <c r="DS22" i="136"/>
  <c r="DT26" i="136"/>
  <c r="DS26" i="136"/>
  <c r="DT35" i="136"/>
  <c r="DS35" i="136"/>
  <c r="MD35" i="136" s="1"/>
  <c r="DS34" i="136"/>
  <c r="MD34" i="136" s="1"/>
  <c r="DT34" i="136"/>
  <c r="DT33" i="136"/>
  <c r="DS33" i="136"/>
  <c r="MD33" i="136" s="1"/>
  <c r="DT15" i="136"/>
  <c r="DS15" i="136"/>
  <c r="MD15" i="136" s="1"/>
  <c r="DS21" i="136"/>
  <c r="DT21" i="136"/>
  <c r="DO16" i="109"/>
  <c r="LX16" i="109"/>
  <c r="DO17" i="109"/>
  <c r="LX17" i="109"/>
  <c r="DO32" i="109"/>
  <c r="LX32" i="109"/>
  <c r="DO46" i="109"/>
  <c r="LX46" i="109"/>
  <c r="LX51" i="109"/>
  <c r="DO51" i="109"/>
  <c r="DO38" i="109"/>
  <c r="LX38" i="109"/>
  <c r="LX7" i="109"/>
  <c r="DO7" i="109"/>
  <c r="DO8" i="109"/>
  <c r="LX8" i="109"/>
  <c r="DO9" i="109"/>
  <c r="LX9" i="109"/>
  <c r="DO14" i="109"/>
  <c r="LX14" i="109"/>
  <c r="DO26" i="109"/>
  <c r="LX26" i="109"/>
  <c r="DO24" i="109"/>
  <c r="LX24" i="109"/>
  <c r="DO31" i="109"/>
  <c r="LX31" i="109"/>
  <c r="LX41" i="109"/>
  <c r="DO41" i="109"/>
  <c r="LX44" i="109"/>
  <c r="DO44" i="109"/>
  <c r="DO39" i="109"/>
  <c r="LX39" i="109"/>
  <c r="DO10" i="109"/>
  <c r="LX10" i="109"/>
  <c r="LX29" i="109"/>
  <c r="DO29" i="109"/>
  <c r="LX35" i="109"/>
  <c r="DO35" i="109"/>
  <c r="DO48" i="109"/>
  <c r="LX48" i="109"/>
  <c r="BP53" i="109"/>
  <c r="BU53" i="109" s="1"/>
  <c r="BP52" i="109"/>
  <c r="BO52" i="109"/>
  <c r="BP51" i="109"/>
  <c r="BU51" i="109" s="1"/>
  <c r="BO53" i="109"/>
  <c r="BT53" i="109" s="1"/>
  <c r="CD53" i="109" s="1"/>
  <c r="BO51" i="109"/>
  <c r="BP48" i="109"/>
  <c r="BU48" i="109" s="1"/>
  <c r="BO46" i="109"/>
  <c r="BT46" i="109" s="1"/>
  <c r="CD46" i="109" s="1"/>
  <c r="BP45" i="109"/>
  <c r="BU45" i="109" s="1"/>
  <c r="BO48" i="109"/>
  <c r="BT48" i="109" s="1"/>
  <c r="CD48" i="109" s="1"/>
  <c r="BO47" i="109"/>
  <c r="BT47" i="109" s="1"/>
  <c r="CD47" i="109" s="1"/>
  <c r="BP46" i="109"/>
  <c r="BU46" i="109" s="1"/>
  <c r="BO42" i="109"/>
  <c r="BT42" i="109" s="1"/>
  <c r="CD42" i="109" s="1"/>
  <c r="BP41" i="109"/>
  <c r="BP44" i="109"/>
  <c r="BO41" i="109"/>
  <c r="BT41" i="109" s="1"/>
  <c r="CD41" i="109" s="1"/>
  <c r="BP40" i="109"/>
  <c r="BU40" i="109" s="1"/>
  <c r="BP47" i="109"/>
  <c r="BO45" i="109"/>
  <c r="BO44" i="109"/>
  <c r="BT44" i="109" s="1"/>
  <c r="CD44" i="109" s="1"/>
  <c r="BP43" i="109"/>
  <c r="BO38" i="109"/>
  <c r="BT38" i="109" s="1"/>
  <c r="CD38" i="109" s="1"/>
  <c r="BP37" i="109"/>
  <c r="BU37" i="109" s="1"/>
  <c r="BO43" i="109"/>
  <c r="BT43" i="109" s="1"/>
  <c r="CD43" i="109" s="1"/>
  <c r="BO37" i="109"/>
  <c r="BT37" i="109" s="1"/>
  <c r="CD37" i="109" s="1"/>
  <c r="BP36" i="109"/>
  <c r="BU36" i="109" s="1"/>
  <c r="BP42" i="109"/>
  <c r="BU42" i="109" s="1"/>
  <c r="BP39" i="109"/>
  <c r="BU39" i="109" s="1"/>
  <c r="BO36" i="109"/>
  <c r="BO40" i="109"/>
  <c r="BO39" i="109"/>
  <c r="BP38" i="109"/>
  <c r="BO31" i="109"/>
  <c r="BT31" i="109" s="1"/>
  <c r="CD31" i="109" s="1"/>
  <c r="BP30" i="109"/>
  <c r="BU30" i="109" s="1"/>
  <c r="BP33" i="109"/>
  <c r="BU33" i="109" s="1"/>
  <c r="BO30" i="109"/>
  <c r="BT30" i="109" s="1"/>
  <c r="CD30" i="109" s="1"/>
  <c r="BP29" i="109"/>
  <c r="BU29" i="109" s="1"/>
  <c r="BP35" i="109"/>
  <c r="BO33" i="109"/>
  <c r="BT33" i="109" s="1"/>
  <c r="CD33" i="109" s="1"/>
  <c r="BP32" i="109"/>
  <c r="BU32" i="109" s="1"/>
  <c r="BO29" i="109"/>
  <c r="BT29" i="109" s="1"/>
  <c r="CD29" i="109" s="1"/>
  <c r="BO35" i="109"/>
  <c r="BO32" i="109"/>
  <c r="BP31" i="109"/>
  <c r="BU31" i="109" s="1"/>
  <c r="BO27" i="109"/>
  <c r="BP26" i="109"/>
  <c r="BU26" i="109" s="1"/>
  <c r="BO23" i="109"/>
  <c r="BP22" i="109"/>
  <c r="BO26" i="109"/>
  <c r="BT26" i="109" s="1"/>
  <c r="CD26" i="109" s="1"/>
  <c r="BP25" i="109"/>
  <c r="BO22" i="109"/>
  <c r="BP28" i="109"/>
  <c r="BU28" i="109" s="1"/>
  <c r="BO25" i="109"/>
  <c r="BT25" i="109" s="1"/>
  <c r="CD25" i="109" s="1"/>
  <c r="BP24" i="109"/>
  <c r="BO28" i="109"/>
  <c r="BT28" i="109" s="1"/>
  <c r="CD28" i="109" s="1"/>
  <c r="BP27" i="109"/>
  <c r="BU27" i="109" s="1"/>
  <c r="BO24" i="109"/>
  <c r="BP23" i="109"/>
  <c r="BU23" i="109" s="1"/>
  <c r="BP21" i="109"/>
  <c r="BU21" i="109" s="1"/>
  <c r="BO17" i="109"/>
  <c r="BT17" i="109" s="1"/>
  <c r="CD17" i="109" s="1"/>
  <c r="BP16" i="109"/>
  <c r="BU16" i="109" s="1"/>
  <c r="BO13" i="109"/>
  <c r="BP12" i="109"/>
  <c r="BU12" i="109" s="1"/>
  <c r="BO9" i="109"/>
  <c r="BT9" i="109" s="1"/>
  <c r="CD9" i="109" s="1"/>
  <c r="BP8" i="109"/>
  <c r="BU8" i="109" s="1"/>
  <c r="BO21" i="109"/>
  <c r="BP19" i="109"/>
  <c r="BU19" i="109" s="1"/>
  <c r="BO16" i="109"/>
  <c r="BT16" i="109" s="1"/>
  <c r="CD16" i="109" s="1"/>
  <c r="BP15" i="109"/>
  <c r="BU15" i="109" s="1"/>
  <c r="BO12" i="109"/>
  <c r="BT12" i="109" s="1"/>
  <c r="CD12" i="109" s="1"/>
  <c r="BP11" i="109"/>
  <c r="BO8" i="109"/>
  <c r="BT8" i="109" s="1"/>
  <c r="CD8" i="109" s="1"/>
  <c r="BO19" i="109"/>
  <c r="BT19" i="109" s="1"/>
  <c r="CD19" i="109" s="1"/>
  <c r="BP18" i="109"/>
  <c r="BU18" i="109" s="1"/>
  <c r="BO15" i="109"/>
  <c r="BP14" i="109"/>
  <c r="BU14" i="109" s="1"/>
  <c r="BO11" i="109"/>
  <c r="BP10" i="109"/>
  <c r="BO18" i="109"/>
  <c r="BT18" i="109" s="1"/>
  <c r="CD18" i="109" s="1"/>
  <c r="BP17" i="109"/>
  <c r="BU17" i="109" s="1"/>
  <c r="BO14" i="109"/>
  <c r="BT14" i="109" s="1"/>
  <c r="CD14" i="109" s="1"/>
  <c r="BP13" i="109"/>
  <c r="BO10" i="109"/>
  <c r="BT10" i="109" s="1"/>
  <c r="CD10" i="109" s="1"/>
  <c r="BP9" i="109"/>
  <c r="BU9" i="109" s="1"/>
  <c r="BP7" i="109"/>
  <c r="BU7" i="109" s="1"/>
  <c r="BO7" i="109"/>
  <c r="BT7" i="109" s="1"/>
  <c r="CD7" i="109" s="1"/>
  <c r="LX53" i="109"/>
  <c r="DO53" i="109"/>
  <c r="DO18" i="109"/>
  <c r="LX18" i="109"/>
  <c r="DO42" i="109"/>
  <c r="LX42" i="109"/>
  <c r="BT21" i="109"/>
  <c r="CD21" i="109" s="1"/>
  <c r="BU25" i="109"/>
  <c r="BT35" i="109"/>
  <c r="CD35" i="109" s="1"/>
  <c r="BU35" i="109"/>
  <c r="LX36" i="109"/>
  <c r="DO36" i="109"/>
  <c r="DO37" i="109"/>
  <c r="LX37" i="109"/>
  <c r="LX19" i="109"/>
  <c r="DO19" i="109"/>
  <c r="LX11" i="109"/>
  <c r="DO11" i="109"/>
  <c r="LX45" i="109"/>
  <c r="DO45" i="109"/>
  <c r="LX33" i="109"/>
  <c r="DO33" i="109"/>
  <c r="DO30" i="109"/>
  <c r="LX30" i="109"/>
  <c r="BT27" i="109"/>
  <c r="CD27" i="109" s="1"/>
  <c r="BU41" i="109"/>
  <c r="BU44" i="109"/>
  <c r="BU47" i="109"/>
  <c r="LX40" i="109"/>
  <c r="DO40" i="109"/>
  <c r="DO27" i="109"/>
  <c r="LX27" i="109"/>
  <c r="LX52" i="109"/>
  <c r="DO52" i="109"/>
  <c r="LX15" i="109"/>
  <c r="DO15" i="109"/>
  <c r="LX25" i="109"/>
  <c r="DO25" i="109"/>
  <c r="DO22" i="109"/>
  <c r="LX22" i="109"/>
  <c r="BU13" i="109"/>
  <c r="BU10" i="109"/>
  <c r="BU22" i="109"/>
  <c r="BU24" i="109"/>
  <c r="BT36" i="109"/>
  <c r="CD36" i="109" s="1"/>
  <c r="BT40" i="109"/>
  <c r="CD40" i="109" s="1"/>
  <c r="BT52" i="109"/>
  <c r="CD52" i="109" s="1"/>
  <c r="BT51" i="109"/>
  <c r="CD51" i="109" s="1"/>
  <c r="LX28" i="109"/>
  <c r="DO28" i="109"/>
  <c r="LX21" i="109"/>
  <c r="DO21" i="109"/>
  <c r="BL53" i="109"/>
  <c r="BJ53" i="109" s="1"/>
  <c r="BK53" i="109"/>
  <c r="BL52" i="109"/>
  <c r="BJ52" i="109" s="1"/>
  <c r="BK52" i="109"/>
  <c r="BL51" i="109"/>
  <c r="BJ51" i="109" s="1"/>
  <c r="BK51" i="109"/>
  <c r="BL48" i="109"/>
  <c r="BJ48" i="109" s="1"/>
  <c r="BK46" i="109"/>
  <c r="BL45" i="109"/>
  <c r="BJ45" i="109" s="1"/>
  <c r="BK47" i="109"/>
  <c r="BL46" i="109"/>
  <c r="BJ46" i="109" s="1"/>
  <c r="BK45" i="109"/>
  <c r="BK42" i="109"/>
  <c r="BL41" i="109"/>
  <c r="BJ41" i="109" s="1"/>
  <c r="BL44" i="109"/>
  <c r="BJ44" i="109" s="1"/>
  <c r="BK41" i="109"/>
  <c r="BL40" i="109"/>
  <c r="BJ40" i="109" s="1"/>
  <c r="BK44" i="109"/>
  <c r="BL43" i="109"/>
  <c r="BJ43" i="109" s="1"/>
  <c r="BK48" i="109"/>
  <c r="BL47" i="109"/>
  <c r="BJ47" i="109" s="1"/>
  <c r="BL42" i="109"/>
  <c r="BJ42" i="109" s="1"/>
  <c r="BK38" i="109"/>
  <c r="BL37" i="109"/>
  <c r="BJ37" i="109" s="1"/>
  <c r="BK40" i="109"/>
  <c r="BK37" i="109"/>
  <c r="BL36" i="109"/>
  <c r="BJ36" i="109" s="1"/>
  <c r="BK43" i="109"/>
  <c r="BL39" i="109"/>
  <c r="BJ39" i="109" s="1"/>
  <c r="BK36" i="109"/>
  <c r="BK39" i="109"/>
  <c r="BL38" i="109"/>
  <c r="BJ38" i="109" s="1"/>
  <c r="BK31" i="109"/>
  <c r="BL30" i="109"/>
  <c r="BJ30" i="109" s="1"/>
  <c r="BL33" i="109"/>
  <c r="BJ33" i="109" s="1"/>
  <c r="BK30" i="109"/>
  <c r="BL29" i="109"/>
  <c r="BJ29" i="109" s="1"/>
  <c r="BL35" i="109"/>
  <c r="BJ35" i="109" s="1"/>
  <c r="BK33" i="109"/>
  <c r="BL32" i="109"/>
  <c r="BJ32" i="109" s="1"/>
  <c r="BK29" i="109"/>
  <c r="BK35" i="109"/>
  <c r="BK32" i="109"/>
  <c r="BL31" i="109"/>
  <c r="BJ31" i="109" s="1"/>
  <c r="BK27" i="109"/>
  <c r="BL26" i="109"/>
  <c r="BJ26" i="109" s="1"/>
  <c r="BK23" i="109"/>
  <c r="BL22" i="109"/>
  <c r="BJ22" i="109" s="1"/>
  <c r="BK26" i="109"/>
  <c r="BL25" i="109"/>
  <c r="BJ25" i="109" s="1"/>
  <c r="BK22" i="109"/>
  <c r="BL28" i="109"/>
  <c r="BJ28" i="109" s="1"/>
  <c r="BK25" i="109"/>
  <c r="BL24" i="109"/>
  <c r="BJ24" i="109" s="1"/>
  <c r="BK28" i="109"/>
  <c r="BL27" i="109"/>
  <c r="BJ27" i="109" s="1"/>
  <c r="BK24" i="109"/>
  <c r="BL23" i="109"/>
  <c r="BJ23" i="109" s="1"/>
  <c r="BL21" i="109"/>
  <c r="BJ21" i="109" s="1"/>
  <c r="BK17" i="109"/>
  <c r="BL16" i="109"/>
  <c r="BJ16" i="109" s="1"/>
  <c r="BK13" i="109"/>
  <c r="BL12" i="109"/>
  <c r="BJ12" i="109" s="1"/>
  <c r="BK9" i="109"/>
  <c r="BL8" i="109"/>
  <c r="BJ8" i="109" s="1"/>
  <c r="BK21" i="109"/>
  <c r="BL19" i="109"/>
  <c r="BJ19" i="109" s="1"/>
  <c r="BK16" i="109"/>
  <c r="BL15" i="109"/>
  <c r="BJ15" i="109" s="1"/>
  <c r="BK12" i="109"/>
  <c r="BL11" i="109"/>
  <c r="BJ11" i="109" s="1"/>
  <c r="BK8" i="109"/>
  <c r="BK19" i="109"/>
  <c r="BL18" i="109"/>
  <c r="BJ18" i="109" s="1"/>
  <c r="BK15" i="109"/>
  <c r="BL14" i="109"/>
  <c r="BJ14" i="109" s="1"/>
  <c r="BK11" i="109"/>
  <c r="BL10" i="109"/>
  <c r="BJ10" i="109" s="1"/>
  <c r="BK18" i="109"/>
  <c r="BL17" i="109"/>
  <c r="BJ17" i="109" s="1"/>
  <c r="BK14" i="109"/>
  <c r="BL13" i="109"/>
  <c r="BJ13" i="109" s="1"/>
  <c r="BK10" i="109"/>
  <c r="BL9" i="109"/>
  <c r="BJ9" i="109" s="1"/>
  <c r="BL7" i="109"/>
  <c r="BJ7" i="109" s="1"/>
  <c r="BK7" i="109"/>
  <c r="DO47" i="109"/>
  <c r="LX47" i="109"/>
  <c r="DO13" i="109"/>
  <c r="LX13" i="109"/>
  <c r="DO12" i="109"/>
  <c r="LX12" i="109"/>
  <c r="DO43" i="109"/>
  <c r="LX43" i="109"/>
  <c r="DO23" i="109"/>
  <c r="LX23" i="109"/>
  <c r="BT13" i="109"/>
  <c r="CD13" i="109" s="1"/>
  <c r="BT11" i="109"/>
  <c r="CD11" i="109" s="1"/>
  <c r="BT24" i="109"/>
  <c r="CD24" i="109" s="1"/>
  <c r="BU38" i="109"/>
  <c r="BU43" i="109"/>
  <c r="BU52" i="109"/>
  <c r="BP21" i="1"/>
  <c r="BU21" i="1" s="1"/>
  <c r="BS21" i="1" s="1"/>
  <c r="BP22" i="1"/>
  <c r="BU22" i="1" s="1"/>
  <c r="BO20" i="1"/>
  <c r="BT20" i="1" s="1"/>
  <c r="CD20" i="1" s="1"/>
  <c r="BP20" i="1"/>
  <c r="BU20" i="1" s="1"/>
  <c r="BS20" i="1" s="1"/>
  <c r="BO21" i="1"/>
  <c r="BO22" i="1"/>
  <c r="BT22" i="1" s="1"/>
  <c r="CD22" i="1" s="1"/>
  <c r="LK21" i="1"/>
  <c r="DT21" i="1"/>
  <c r="DS21" i="1"/>
  <c r="BK20" i="1"/>
  <c r="BK22" i="1"/>
  <c r="BL20" i="1"/>
  <c r="BJ20" i="1" s="1"/>
  <c r="BL21" i="1"/>
  <c r="BJ21" i="1" s="1"/>
  <c r="BK21" i="1"/>
  <c r="BL22" i="1"/>
  <c r="BJ22" i="1" s="1"/>
  <c r="LK22" i="1"/>
  <c r="DS22" i="1"/>
  <c r="DT22" i="1"/>
  <c r="LK20" i="1"/>
  <c r="DS20" i="1"/>
  <c r="DT20" i="1"/>
  <c r="BK8" i="10"/>
  <c r="BK16" i="10"/>
  <c r="BK15" i="10"/>
  <c r="BK12" i="10"/>
  <c r="BK13" i="10"/>
  <c r="BK14" i="10"/>
  <c r="BL12" i="10"/>
  <c r="BJ12" i="10" s="1"/>
  <c r="BL16" i="10"/>
  <c r="BJ16" i="10" s="1"/>
  <c r="BL15" i="10"/>
  <c r="BJ15" i="10" s="1"/>
  <c r="BL14" i="10"/>
  <c r="BJ14" i="10" s="1"/>
  <c r="BL13" i="10"/>
  <c r="BJ13" i="10" s="1"/>
  <c r="BO8" i="10"/>
  <c r="BO13" i="10"/>
  <c r="BT13" i="10" s="1"/>
  <c r="BZ13" i="10" s="1"/>
  <c r="BO12" i="10"/>
  <c r="BT12" i="10" s="1"/>
  <c r="BO15" i="10"/>
  <c r="BT15" i="10" s="1"/>
  <c r="BZ15" i="10" s="1"/>
  <c r="BO14" i="10"/>
  <c r="BO16" i="10"/>
  <c r="BT16" i="10" s="1"/>
  <c r="BP16" i="10"/>
  <c r="BU16" i="10" s="1"/>
  <c r="BS16" i="10" s="1"/>
  <c r="BP14" i="10"/>
  <c r="BU14" i="10" s="1"/>
  <c r="BS14" i="10" s="1"/>
  <c r="BP13" i="10"/>
  <c r="BU13" i="10" s="1"/>
  <c r="BS13" i="10" s="1"/>
  <c r="BP15" i="10"/>
  <c r="BU15" i="10" s="1"/>
  <c r="BS15" i="10" s="1"/>
  <c r="BP12" i="10"/>
  <c r="BU12" i="10" s="1"/>
  <c r="BO11" i="10"/>
  <c r="BT11" i="10" s="1"/>
  <c r="BO10" i="10"/>
  <c r="BT10" i="10" s="1"/>
  <c r="BP11" i="10"/>
  <c r="BU11" i="10" s="1"/>
  <c r="BS11" i="10" s="1"/>
  <c r="BP9" i="10"/>
  <c r="BU9" i="10" s="1"/>
  <c r="BS9" i="10" s="1"/>
  <c r="BP10" i="10"/>
  <c r="BU10" i="10" s="1"/>
  <c r="BS10" i="10" s="1"/>
  <c r="BO9" i="10"/>
  <c r="BP8" i="10"/>
  <c r="BU8" i="10" s="1"/>
  <c r="BS8" i="10" s="1"/>
  <c r="BK10" i="10"/>
  <c r="BK11" i="10"/>
  <c r="BL9" i="10"/>
  <c r="BJ9" i="10" s="1"/>
  <c r="BL10" i="10"/>
  <c r="BJ10" i="10" s="1"/>
  <c r="BK9" i="10"/>
  <c r="BL11" i="10"/>
  <c r="BJ11" i="10" s="1"/>
  <c r="BL8" i="10"/>
  <c r="BJ8" i="10" s="1"/>
  <c r="BO12" i="1"/>
  <c r="BR12" i="1" s="1"/>
  <c r="BZ12" i="1" s="1"/>
  <c r="BO8" i="1"/>
  <c r="BR8" i="1" s="1"/>
  <c r="BZ8" i="1" s="1"/>
  <c r="BO10" i="1"/>
  <c r="BR10" i="1" s="1"/>
  <c r="BZ10" i="1" s="1"/>
  <c r="BO7" i="1"/>
  <c r="BR7" i="1" s="1"/>
  <c r="BZ7" i="1" s="1"/>
  <c r="BO13" i="1"/>
  <c r="BR13" i="1" s="1"/>
  <c r="BZ13" i="1" s="1"/>
  <c r="BP7" i="1"/>
  <c r="BS7" i="1" s="1"/>
  <c r="BP9" i="1"/>
  <c r="BS9" i="1" s="1"/>
  <c r="BO9" i="1"/>
  <c r="BR9" i="1" s="1"/>
  <c r="BZ9" i="1" s="1"/>
  <c r="BP13" i="1"/>
  <c r="BS13" i="1" s="1"/>
  <c r="BP14" i="1"/>
  <c r="BS14" i="1" s="1"/>
  <c r="BP10" i="1"/>
  <c r="BS10" i="1" s="1"/>
  <c r="BP12" i="1"/>
  <c r="BS12" i="1" s="1"/>
  <c r="BO14" i="1"/>
  <c r="BR14" i="1" s="1"/>
  <c r="BZ14" i="1" s="1"/>
  <c r="BP8" i="1"/>
  <c r="BS8" i="1" s="1"/>
  <c r="BP17" i="1"/>
  <c r="BU17" i="1" s="1"/>
  <c r="BS17" i="1" s="1"/>
  <c r="BP19" i="1"/>
  <c r="BU19" i="1" s="1"/>
  <c r="BS19" i="1" s="1"/>
  <c r="BO18" i="1"/>
  <c r="BT18" i="1" s="1"/>
  <c r="CD18" i="1" s="1"/>
  <c r="BP18" i="1"/>
  <c r="BU18" i="1" s="1"/>
  <c r="BO19" i="1"/>
  <c r="BT19" i="1" s="1"/>
  <c r="CD19" i="1" s="1"/>
  <c r="BO17" i="1"/>
  <c r="BT17" i="1" s="1"/>
  <c r="CD17" i="1" s="1"/>
  <c r="KY17" i="1" s="1"/>
  <c r="BK12" i="1"/>
  <c r="BK8" i="1"/>
  <c r="BK13" i="1"/>
  <c r="BK10" i="1"/>
  <c r="BK7" i="1"/>
  <c r="BL14" i="1"/>
  <c r="BJ14" i="1" s="1"/>
  <c r="BL12" i="1"/>
  <c r="BJ12" i="1" s="1"/>
  <c r="BL7" i="1"/>
  <c r="BJ7" i="1" s="1"/>
  <c r="BK9" i="1"/>
  <c r="BL9" i="1"/>
  <c r="BJ9" i="1" s="1"/>
  <c r="BL8" i="1"/>
  <c r="BJ8" i="1" s="1"/>
  <c r="BL13" i="1"/>
  <c r="BJ13" i="1" s="1"/>
  <c r="BL10" i="1"/>
  <c r="BJ10" i="1" s="1"/>
  <c r="BK14" i="1"/>
  <c r="BL19" i="1"/>
  <c r="BJ19" i="1" s="1"/>
  <c r="BL17" i="1"/>
  <c r="BJ17" i="1" s="1"/>
  <c r="BL18" i="1"/>
  <c r="BJ18" i="1" s="1"/>
  <c r="BK17" i="1"/>
  <c r="BK18" i="1"/>
  <c r="BK19" i="1"/>
  <c r="DS10" i="1"/>
  <c r="DT10" i="1"/>
  <c r="LK10" i="1"/>
  <c r="LK12" i="1"/>
  <c r="DS12" i="1"/>
  <c r="DT12" i="1"/>
  <c r="LK9" i="1"/>
  <c r="DT9" i="1"/>
  <c r="DS9" i="1"/>
  <c r="DS14" i="1"/>
  <c r="DT7" i="1"/>
  <c r="DS7" i="1"/>
  <c r="LK7" i="1"/>
  <c r="LK14" i="1"/>
  <c r="DT14" i="1"/>
  <c r="DT13" i="1"/>
  <c r="LK13" i="1"/>
  <c r="DS13" i="1"/>
  <c r="DS8" i="1"/>
  <c r="LK8" i="1"/>
  <c r="DT8" i="1"/>
  <c r="NM36" i="136" l="1"/>
  <c r="NO8" i="136"/>
  <c r="NS8" i="136"/>
  <c r="LY28" i="136"/>
  <c r="LY31" i="136"/>
  <c r="DI29" i="136"/>
  <c r="EC9" i="136"/>
  <c r="EC18" i="136"/>
  <c r="DI22" i="136"/>
  <c r="EC23" i="136"/>
  <c r="EH20" i="136"/>
  <c r="NO20" i="136"/>
  <c r="EC11" i="136"/>
  <c r="EC27" i="136"/>
  <c r="EC22" i="136"/>
  <c r="EC13" i="136"/>
  <c r="EH17" i="136"/>
  <c r="NO17" i="136"/>
  <c r="LZ26" i="136"/>
  <c r="LZ28" i="136" s="1"/>
  <c r="EH9" i="136"/>
  <c r="NO9" i="136"/>
  <c r="EC29" i="136"/>
  <c r="EC17" i="136"/>
  <c r="LZ30" i="136"/>
  <c r="LZ31" i="136" s="1"/>
  <c r="MD19" i="136"/>
  <c r="EC26" i="136"/>
  <c r="EH25" i="136"/>
  <c r="NO25" i="136"/>
  <c r="EH18" i="136"/>
  <c r="NO18" i="136"/>
  <c r="NO16" i="136"/>
  <c r="EH16" i="136"/>
  <c r="EH22" i="136"/>
  <c r="NO22" i="136"/>
  <c r="MD36" i="136"/>
  <c r="EC30" i="136"/>
  <c r="EH30" i="136"/>
  <c r="NO30" i="136"/>
  <c r="EH10" i="136"/>
  <c r="NO10" i="136"/>
  <c r="NO11" i="136"/>
  <c r="EH11" i="136"/>
  <c r="EH26" i="136"/>
  <c r="NO26" i="136"/>
  <c r="MD12" i="136"/>
  <c r="EC19" i="136"/>
  <c r="EH23" i="136"/>
  <c r="NO23" i="136"/>
  <c r="BZ7" i="136"/>
  <c r="CJ7" i="136" s="1"/>
  <c r="DJ7" i="136" s="1"/>
  <c r="LZ19" i="136"/>
  <c r="EH29" i="136"/>
  <c r="NO29" i="136"/>
  <c r="EC12" i="136"/>
  <c r="CA7" i="136"/>
  <c r="EC25" i="136"/>
  <c r="MD9" i="136"/>
  <c r="EH12" i="136"/>
  <c r="NO12" i="136"/>
  <c r="EH27" i="136"/>
  <c r="NO27" i="136"/>
  <c r="EH19" i="136"/>
  <c r="NO19" i="136"/>
  <c r="EC16" i="136"/>
  <c r="EC10" i="136"/>
  <c r="EH13" i="136"/>
  <c r="NO13" i="136"/>
  <c r="EC20" i="136"/>
  <c r="EX7" i="136"/>
  <c r="DU19" i="136"/>
  <c r="DU17" i="136"/>
  <c r="DU12" i="136"/>
  <c r="CO29" i="136"/>
  <c r="NT29" i="136" s="1"/>
  <c r="DI17" i="136"/>
  <c r="NO7" i="136"/>
  <c r="DI26" i="136"/>
  <c r="CO22" i="136"/>
  <c r="NT22" i="136" s="1"/>
  <c r="CO9" i="136"/>
  <c r="NT9" i="136" s="1"/>
  <c r="CO26" i="136"/>
  <c r="NT26" i="136" s="1"/>
  <c r="CJ34" i="136"/>
  <c r="EC8" i="136"/>
  <c r="CJ32" i="136"/>
  <c r="CK30" i="136"/>
  <c r="CK17" i="136"/>
  <c r="CJ33" i="136"/>
  <c r="CK19" i="136"/>
  <c r="CJ15" i="136"/>
  <c r="CP15" i="136" s="1"/>
  <c r="CK9" i="136"/>
  <c r="CK27" i="136"/>
  <c r="CJ14" i="136"/>
  <c r="DJ19" i="136"/>
  <c r="CP19" i="136"/>
  <c r="CP10" i="136"/>
  <c r="CK10" i="136"/>
  <c r="DJ10" i="136"/>
  <c r="DV10" i="136" s="1"/>
  <c r="DI20" i="136"/>
  <c r="CR18" i="136"/>
  <c r="CO18" i="136"/>
  <c r="NT18" i="136" s="1"/>
  <c r="CP25" i="136"/>
  <c r="DJ25" i="136"/>
  <c r="DJ30" i="136"/>
  <c r="CP30" i="136"/>
  <c r="CR27" i="136"/>
  <c r="CO27" i="136"/>
  <c r="NT27" i="136" s="1"/>
  <c r="DI10" i="136"/>
  <c r="DI18" i="136"/>
  <c r="DI13" i="136"/>
  <c r="EH8" i="136"/>
  <c r="CO8" i="136"/>
  <c r="NT8" i="136" s="1"/>
  <c r="CR8" i="136"/>
  <c r="CO11" i="136"/>
  <c r="NT11" i="136" s="1"/>
  <c r="CO19" i="136"/>
  <c r="NT19" i="136" s="1"/>
  <c r="CR19" i="136"/>
  <c r="CJ35" i="136"/>
  <c r="DJ11" i="136"/>
  <c r="CP11" i="136"/>
  <c r="CK11" i="136"/>
  <c r="CK25" i="136"/>
  <c r="CK18" i="136"/>
  <c r="DI16" i="136"/>
  <c r="CR9" i="136"/>
  <c r="CO16" i="136"/>
  <c r="NT16" i="136" s="1"/>
  <c r="CR16" i="136"/>
  <c r="CR10" i="136"/>
  <c r="CO10" i="136"/>
  <c r="NT10" i="136" s="1"/>
  <c r="CR13" i="136"/>
  <c r="CO13" i="136"/>
  <c r="NT13" i="136" s="1"/>
  <c r="DI19" i="136"/>
  <c r="DI23" i="136"/>
  <c r="DI11" i="136"/>
  <c r="CO20" i="136"/>
  <c r="NT20" i="136" s="1"/>
  <c r="CR20" i="136"/>
  <c r="CO12" i="136"/>
  <c r="NT12" i="136" s="1"/>
  <c r="CR12" i="136"/>
  <c r="EC7" i="136"/>
  <c r="DI9" i="136"/>
  <c r="CR17" i="136"/>
  <c r="CO17" i="136"/>
  <c r="NT17" i="136" s="1"/>
  <c r="CJ16" i="136"/>
  <c r="DI30" i="136"/>
  <c r="DI7" i="136"/>
  <c r="LZ7" i="136"/>
  <c r="CP9" i="136"/>
  <c r="DJ9" i="136"/>
  <c r="DV9" i="136" s="1"/>
  <c r="CR30" i="136"/>
  <c r="CO30" i="136"/>
  <c r="NT30" i="136" s="1"/>
  <c r="CP20" i="136"/>
  <c r="DJ20" i="136"/>
  <c r="DI8" i="136"/>
  <c r="LZ8" i="136"/>
  <c r="CJ23" i="136"/>
  <c r="BX8" i="136"/>
  <c r="CO25" i="136"/>
  <c r="NT25" i="136" s="1"/>
  <c r="CR25" i="136"/>
  <c r="CP12" i="136"/>
  <c r="CK12" i="136"/>
  <c r="DJ12" i="136"/>
  <c r="CP8" i="136"/>
  <c r="CK8" i="136"/>
  <c r="DJ8" i="136"/>
  <c r="CA8" i="1"/>
  <c r="DI25" i="136"/>
  <c r="CR7" i="136"/>
  <c r="CO7" i="136"/>
  <c r="NT7" i="136" s="1"/>
  <c r="EH7" i="136"/>
  <c r="DI27" i="136"/>
  <c r="DU11" i="136"/>
  <c r="CP17" i="136"/>
  <c r="DJ17" i="136"/>
  <c r="CP18" i="136"/>
  <c r="DJ18" i="136"/>
  <c r="DU9" i="136"/>
  <c r="CK20" i="136"/>
  <c r="CO23" i="136"/>
  <c r="NT23" i="136" s="1"/>
  <c r="CR23" i="136"/>
  <c r="CJ13" i="136"/>
  <c r="DU7" i="136"/>
  <c r="MD7" i="136"/>
  <c r="DI12" i="136"/>
  <c r="CP27" i="136"/>
  <c r="DJ27" i="136"/>
  <c r="DD36" i="136"/>
  <c r="CM36" i="136"/>
  <c r="NN36" i="136" s="1"/>
  <c r="CK21" i="136"/>
  <c r="CP21" i="136"/>
  <c r="DJ21" i="136"/>
  <c r="CL35" i="136"/>
  <c r="CN36" i="136"/>
  <c r="NS36" i="136" s="1"/>
  <c r="CL14" i="136"/>
  <c r="DU29" i="136"/>
  <c r="CJ22" i="136"/>
  <c r="CK26" i="136"/>
  <c r="CP26" i="136"/>
  <c r="DJ26" i="136"/>
  <c r="DU35" i="136"/>
  <c r="CL37" i="136"/>
  <c r="DU15" i="136"/>
  <c r="DU33" i="136"/>
  <c r="CL33" i="136"/>
  <c r="CA10" i="1"/>
  <c r="DU21" i="136"/>
  <c r="CP29" i="136"/>
  <c r="CK29" i="136"/>
  <c r="DJ29" i="136"/>
  <c r="DU26" i="136"/>
  <c r="DU22" i="136"/>
  <c r="EP36" i="136"/>
  <c r="DU14" i="136"/>
  <c r="CJ36" i="136"/>
  <c r="DU34" i="136"/>
  <c r="CL34" i="136"/>
  <c r="DU32" i="136"/>
  <c r="CL21" i="136"/>
  <c r="CL15" i="136"/>
  <c r="CL32" i="136"/>
  <c r="CJ37" i="136"/>
  <c r="CJ18" i="109"/>
  <c r="CE18" i="109"/>
  <c r="DD18" i="109"/>
  <c r="CJ28" i="109"/>
  <c r="CE28" i="109"/>
  <c r="DD28" i="109"/>
  <c r="CJ33" i="109"/>
  <c r="CE33" i="109"/>
  <c r="DD33" i="109"/>
  <c r="CJ47" i="109"/>
  <c r="CE47" i="109"/>
  <c r="DD47" i="109"/>
  <c r="CE42" i="109"/>
  <c r="CJ42" i="109"/>
  <c r="DD42" i="109"/>
  <c r="CF18" i="109"/>
  <c r="BI18" i="109"/>
  <c r="EQ18" i="109" s="1"/>
  <c r="ER18" i="109" s="1"/>
  <c r="CF28" i="109"/>
  <c r="BI28" i="109"/>
  <c r="CF32" i="109"/>
  <c r="BI32" i="109"/>
  <c r="CF38" i="109"/>
  <c r="BI38" i="109"/>
  <c r="EQ38" i="109" s="1"/>
  <c r="ER38" i="109" s="1"/>
  <c r="CJ52" i="109"/>
  <c r="CE52" i="109"/>
  <c r="DD52" i="109"/>
  <c r="CJ10" i="109"/>
  <c r="CE10" i="109"/>
  <c r="DD10" i="109"/>
  <c r="BR10" i="109"/>
  <c r="EM10" i="109" s="1"/>
  <c r="BS19" i="109"/>
  <c r="BW19" i="109" s="1"/>
  <c r="CJ19" i="109"/>
  <c r="CE19" i="109"/>
  <c r="DD19" i="109"/>
  <c r="CJ13" i="109"/>
  <c r="CE13" i="109"/>
  <c r="DD13" i="109"/>
  <c r="CF8" i="109"/>
  <c r="BI8" i="109"/>
  <c r="EQ8" i="109" s="1"/>
  <c r="ER8" i="109" s="1"/>
  <c r="CF16" i="109"/>
  <c r="BI16" i="109"/>
  <c r="EQ16" i="109" s="1"/>
  <c r="ER16" i="109" s="1"/>
  <c r="CF9" i="109"/>
  <c r="BI9" i="109"/>
  <c r="EQ9" i="109" s="1"/>
  <c r="ER9" i="109" s="1"/>
  <c r="CF17" i="109"/>
  <c r="BI17" i="109"/>
  <c r="EQ17" i="109" s="1"/>
  <c r="ER17" i="109" s="1"/>
  <c r="CF30" i="109"/>
  <c r="BI30" i="109"/>
  <c r="EQ30" i="109" s="1"/>
  <c r="ER30" i="109" s="1"/>
  <c r="CF43" i="109"/>
  <c r="BI43" i="109"/>
  <c r="EQ43" i="109" s="1"/>
  <c r="ER43" i="109" s="1"/>
  <c r="CF48" i="109"/>
  <c r="BI48" i="109"/>
  <c r="CF41" i="109"/>
  <c r="BI41" i="109"/>
  <c r="EQ41" i="109" s="1"/>
  <c r="ER41" i="109" s="1"/>
  <c r="CF45" i="109"/>
  <c r="BI45" i="109"/>
  <c r="EQ45" i="109" s="1"/>
  <c r="ER45" i="109" s="1"/>
  <c r="CF46" i="109"/>
  <c r="BI46" i="109"/>
  <c r="CF52" i="109"/>
  <c r="BI52" i="109"/>
  <c r="CJ51" i="109"/>
  <c r="CE51" i="109"/>
  <c r="DD51" i="109"/>
  <c r="CE8" i="109"/>
  <c r="CJ8" i="109"/>
  <c r="DD8" i="109"/>
  <c r="CE46" i="109"/>
  <c r="CJ46" i="109"/>
  <c r="DD46" i="109"/>
  <c r="BT39" i="109"/>
  <c r="CD39" i="109" s="1"/>
  <c r="BS9" i="109"/>
  <c r="BW9" i="109" s="1"/>
  <c r="BS17" i="109"/>
  <c r="BW17" i="109" s="1"/>
  <c r="BS14" i="109"/>
  <c r="BW14" i="109" s="1"/>
  <c r="BR8" i="109"/>
  <c r="EM8" i="109" s="1"/>
  <c r="BR16" i="109"/>
  <c r="BR9" i="109"/>
  <c r="BR17" i="109"/>
  <c r="EM17" i="109" s="1"/>
  <c r="BS27" i="109"/>
  <c r="BW27" i="109" s="1"/>
  <c r="BS28" i="109"/>
  <c r="BW28" i="109" s="1"/>
  <c r="BS22" i="109"/>
  <c r="BW22" i="109" s="1"/>
  <c r="BS31" i="109"/>
  <c r="BW31" i="109" s="1"/>
  <c r="BS32" i="109"/>
  <c r="BW32" i="109" s="1"/>
  <c r="BR30" i="109"/>
  <c r="EM30" i="109" s="1"/>
  <c r="BS38" i="109"/>
  <c r="BW38" i="109" s="1"/>
  <c r="BS39" i="109"/>
  <c r="BW39" i="109" s="1"/>
  <c r="BR43" i="109"/>
  <c r="BR44" i="109"/>
  <c r="BR41" i="109"/>
  <c r="BS46" i="109"/>
  <c r="BW46" i="109" s="1"/>
  <c r="BR46" i="109"/>
  <c r="BS51" i="109"/>
  <c r="CJ25" i="109"/>
  <c r="CE25" i="109"/>
  <c r="DD25" i="109"/>
  <c r="CF23" i="109"/>
  <c r="BI23" i="109"/>
  <c r="CF33" i="109"/>
  <c r="BI33" i="109"/>
  <c r="EQ33" i="109" s="1"/>
  <c r="ER33" i="109" s="1"/>
  <c r="CJ36" i="109"/>
  <c r="CE36" i="109"/>
  <c r="DD36" i="109"/>
  <c r="CJ29" i="109"/>
  <c r="CE29" i="109"/>
  <c r="DD29" i="109"/>
  <c r="CJ44" i="109"/>
  <c r="CE44" i="109"/>
  <c r="DD44" i="109"/>
  <c r="BS21" i="109"/>
  <c r="BW21" i="109" s="1"/>
  <c r="BS33" i="109"/>
  <c r="BW33" i="109" s="1"/>
  <c r="BS37" i="109"/>
  <c r="BW37" i="109" s="1"/>
  <c r="BR47" i="109"/>
  <c r="EM47" i="109" s="1"/>
  <c r="BR52" i="109"/>
  <c r="CJ53" i="109"/>
  <c r="CE53" i="109"/>
  <c r="DD53" i="109"/>
  <c r="CJ24" i="109"/>
  <c r="CE24" i="109"/>
  <c r="DD24" i="109"/>
  <c r="CJ14" i="109"/>
  <c r="CE14" i="109"/>
  <c r="DD14" i="109"/>
  <c r="BU11" i="109"/>
  <c r="BS11" i="109" s="1"/>
  <c r="BW11" i="109" s="1"/>
  <c r="CF7" i="109"/>
  <c r="BI7" i="109"/>
  <c r="EQ7" i="109" s="1"/>
  <c r="ER7" i="109" s="1"/>
  <c r="CF12" i="109"/>
  <c r="BI12" i="109"/>
  <c r="EQ12" i="109" s="1"/>
  <c r="ER12" i="109" s="1"/>
  <c r="CF21" i="109"/>
  <c r="BI21" i="109"/>
  <c r="EQ21" i="109" s="1"/>
  <c r="ER21" i="109" s="1"/>
  <c r="CF13" i="109"/>
  <c r="BI13" i="109"/>
  <c r="EQ13" i="109" s="1"/>
  <c r="ER13" i="109" s="1"/>
  <c r="CF35" i="109"/>
  <c r="BI35" i="109"/>
  <c r="EQ35" i="109" s="1"/>
  <c r="ER35" i="109" s="1"/>
  <c r="CF36" i="109"/>
  <c r="BI36" i="109"/>
  <c r="EQ36" i="109" s="1"/>
  <c r="ER36" i="109" s="1"/>
  <c r="CF37" i="109"/>
  <c r="BI37" i="109"/>
  <c r="EQ37" i="109" s="1"/>
  <c r="ER37" i="109" s="1"/>
  <c r="CF44" i="109"/>
  <c r="EM44" i="109"/>
  <c r="BI44" i="109"/>
  <c r="EQ44" i="109" s="1"/>
  <c r="ER44" i="109" s="1"/>
  <c r="CF47" i="109"/>
  <c r="BI47" i="109"/>
  <c r="EQ47" i="109" s="1"/>
  <c r="ER47" i="109" s="1"/>
  <c r="CF51" i="109"/>
  <c r="BI51" i="109"/>
  <c r="EQ51" i="109" s="1"/>
  <c r="ER51" i="109" s="1"/>
  <c r="CF53" i="109"/>
  <c r="BI53" i="109"/>
  <c r="EQ53" i="109" s="1"/>
  <c r="ER53" i="109" s="1"/>
  <c r="CE41" i="109"/>
  <c r="CJ41" i="109"/>
  <c r="DD41" i="109"/>
  <c r="CE30" i="109"/>
  <c r="CJ30" i="109"/>
  <c r="DD30" i="109"/>
  <c r="CJ31" i="109"/>
  <c r="CE31" i="109"/>
  <c r="DD31" i="109"/>
  <c r="CE26" i="109"/>
  <c r="CJ26" i="109"/>
  <c r="DD26" i="109"/>
  <c r="CJ17" i="109"/>
  <c r="CE17" i="109"/>
  <c r="DD17" i="109"/>
  <c r="CJ43" i="109"/>
  <c r="CE43" i="109"/>
  <c r="DD43" i="109"/>
  <c r="CE12" i="109"/>
  <c r="CJ12" i="109"/>
  <c r="DD12" i="109"/>
  <c r="BR7" i="109"/>
  <c r="BS13" i="109"/>
  <c r="BW13" i="109" s="1"/>
  <c r="BS10" i="109"/>
  <c r="BW10" i="109" s="1"/>
  <c r="BS18" i="109"/>
  <c r="BW18" i="109" s="1"/>
  <c r="BR12" i="109"/>
  <c r="BR21" i="109"/>
  <c r="EM21" i="109" s="1"/>
  <c r="BR13" i="109"/>
  <c r="EM13" i="109" s="1"/>
  <c r="BS23" i="109"/>
  <c r="BW23" i="109" s="1"/>
  <c r="BS24" i="109"/>
  <c r="BW24" i="109" s="1"/>
  <c r="BS25" i="109"/>
  <c r="BW25" i="109" s="1"/>
  <c r="BS26" i="109"/>
  <c r="BW26" i="109" s="1"/>
  <c r="BR35" i="109"/>
  <c r="EM35" i="109" s="1"/>
  <c r="BS35" i="109"/>
  <c r="BW35" i="109" s="1"/>
  <c r="BS30" i="109"/>
  <c r="BW30" i="109" s="1"/>
  <c r="BR40" i="109"/>
  <c r="EM40" i="109" s="1"/>
  <c r="BS36" i="109"/>
  <c r="BW36" i="109" s="1"/>
  <c r="BR38" i="109"/>
  <c r="BS47" i="109"/>
  <c r="BW47" i="109" s="1"/>
  <c r="BS41" i="109"/>
  <c r="BW41" i="109" s="1"/>
  <c r="BR48" i="109"/>
  <c r="BR51" i="109"/>
  <c r="BS52" i="109"/>
  <c r="BW52" i="109" s="1"/>
  <c r="CJ11" i="109"/>
  <c r="CE11" i="109"/>
  <c r="DD11" i="109"/>
  <c r="CF10" i="109"/>
  <c r="BI10" i="109"/>
  <c r="EQ10" i="109" s="1"/>
  <c r="ER10" i="109" s="1"/>
  <c r="CF15" i="109"/>
  <c r="BI15" i="109"/>
  <c r="EQ15" i="109" s="1"/>
  <c r="ER15" i="109" s="1"/>
  <c r="CF22" i="109"/>
  <c r="BI22" i="109"/>
  <c r="CF39" i="109"/>
  <c r="BI39" i="109"/>
  <c r="EQ39" i="109" s="1"/>
  <c r="ER39" i="109" s="1"/>
  <c r="CJ27" i="109"/>
  <c r="CE27" i="109"/>
  <c r="DD27" i="109"/>
  <c r="CE21" i="109"/>
  <c r="CJ21" i="109"/>
  <c r="DD21" i="109"/>
  <c r="BR18" i="109"/>
  <c r="BS12" i="109"/>
  <c r="BW12" i="109" s="1"/>
  <c r="BR28" i="109"/>
  <c r="BR33" i="109"/>
  <c r="BS42" i="109"/>
  <c r="BW42" i="109" s="1"/>
  <c r="BS44" i="109"/>
  <c r="BW44" i="109" s="1"/>
  <c r="BS48" i="109"/>
  <c r="BW48" i="109" s="1"/>
  <c r="BT32" i="109"/>
  <c r="CD32" i="109" s="1"/>
  <c r="BT23" i="109"/>
  <c r="CD23" i="109" s="1"/>
  <c r="BT22" i="109"/>
  <c r="CD22" i="109" s="1"/>
  <c r="CE7" i="109"/>
  <c r="CJ7" i="109"/>
  <c r="DD7" i="109"/>
  <c r="CF14" i="109"/>
  <c r="BI14" i="109"/>
  <c r="EQ14" i="109" s="1"/>
  <c r="ER14" i="109" s="1"/>
  <c r="CF11" i="109"/>
  <c r="BI11" i="109"/>
  <c r="EQ11" i="109" s="1"/>
  <c r="ER11" i="109" s="1"/>
  <c r="CF19" i="109"/>
  <c r="BI19" i="109"/>
  <c r="EQ19" i="109" s="1"/>
  <c r="ER19" i="109" s="1"/>
  <c r="CF24" i="109"/>
  <c r="BI24" i="109"/>
  <c r="CF25" i="109"/>
  <c r="BI25" i="109"/>
  <c r="EQ25" i="109" s="1"/>
  <c r="ER25" i="109" s="1"/>
  <c r="CF26" i="109"/>
  <c r="BI26" i="109"/>
  <c r="CF27" i="109"/>
  <c r="BI27" i="109"/>
  <c r="CF29" i="109"/>
  <c r="BI29" i="109"/>
  <c r="EQ29" i="109" s="1"/>
  <c r="ER29" i="109" s="1"/>
  <c r="CF31" i="109"/>
  <c r="BI31" i="109"/>
  <c r="EQ31" i="109" s="1"/>
  <c r="ER31" i="109" s="1"/>
  <c r="CF40" i="109"/>
  <c r="BI40" i="109"/>
  <c r="CF42" i="109"/>
  <c r="BI42" i="109"/>
  <c r="BW51" i="109"/>
  <c r="CJ40" i="109"/>
  <c r="CE40" i="109"/>
  <c r="DD40" i="109"/>
  <c r="CE37" i="109"/>
  <c r="CJ37" i="109"/>
  <c r="DD37" i="109"/>
  <c r="CE16" i="109"/>
  <c r="CJ16" i="109"/>
  <c r="DD16" i="109"/>
  <c r="BT45" i="109"/>
  <c r="CD45" i="109" s="1"/>
  <c r="CJ38" i="109"/>
  <c r="CE38" i="109"/>
  <c r="DD38" i="109"/>
  <c r="BT15" i="109"/>
  <c r="CD15" i="109" s="1"/>
  <c r="CJ9" i="109"/>
  <c r="CE9" i="109"/>
  <c r="DD9" i="109"/>
  <c r="CJ48" i="109"/>
  <c r="CE48" i="109"/>
  <c r="DD48" i="109"/>
  <c r="CJ35" i="109"/>
  <c r="CE35" i="109"/>
  <c r="DD35" i="109"/>
  <c r="BS7" i="109"/>
  <c r="BW7" i="109" s="1"/>
  <c r="BR14" i="109"/>
  <c r="BR11" i="109"/>
  <c r="EM11" i="109" s="1"/>
  <c r="BR19" i="109"/>
  <c r="EM19" i="109" s="1"/>
  <c r="BS15" i="109"/>
  <c r="BW15" i="109" s="1"/>
  <c r="BS8" i="109"/>
  <c r="BW8" i="109" s="1"/>
  <c r="BS16" i="109"/>
  <c r="BW16" i="109" s="1"/>
  <c r="BR24" i="109"/>
  <c r="BR25" i="109"/>
  <c r="BR26" i="109"/>
  <c r="EM26" i="109" s="1"/>
  <c r="BR27" i="109"/>
  <c r="EM27" i="109" s="1"/>
  <c r="BR29" i="109"/>
  <c r="EM29" i="109" s="1"/>
  <c r="BS29" i="109"/>
  <c r="BW29" i="109" s="1"/>
  <c r="BR31" i="109"/>
  <c r="BR36" i="109"/>
  <c r="EM36" i="109" s="1"/>
  <c r="BR37" i="109"/>
  <c r="BS43" i="109"/>
  <c r="BW43" i="109" s="1"/>
  <c r="BS40" i="109"/>
  <c r="BW40" i="109" s="1"/>
  <c r="BR42" i="109"/>
  <c r="EM42" i="109" s="1"/>
  <c r="BS45" i="109"/>
  <c r="BW45" i="109" s="1"/>
  <c r="BR53" i="109"/>
  <c r="BS53" i="109"/>
  <c r="BW53" i="109" s="1"/>
  <c r="BW20" i="1"/>
  <c r="BW21" i="1"/>
  <c r="CE22" i="1"/>
  <c r="BW13" i="10"/>
  <c r="CF22" i="1"/>
  <c r="BI22" i="1"/>
  <c r="DU20" i="1"/>
  <c r="LL20" i="1"/>
  <c r="KY20" i="1"/>
  <c r="GQ20" i="1"/>
  <c r="CJ20" i="1"/>
  <c r="GY20" i="1"/>
  <c r="CE20" i="1"/>
  <c r="DJ20" i="1"/>
  <c r="CF20" i="1"/>
  <c r="BI20" i="1"/>
  <c r="CJ22" i="1"/>
  <c r="KY22" i="1"/>
  <c r="GQ22" i="1"/>
  <c r="GY22" i="1"/>
  <c r="DJ22" i="1"/>
  <c r="BR22" i="1"/>
  <c r="BZ22" i="1" s="1"/>
  <c r="BS22" i="1"/>
  <c r="BW22" i="1" s="1"/>
  <c r="DU21" i="1"/>
  <c r="LL21" i="1"/>
  <c r="CF21" i="1"/>
  <c r="BI21" i="1"/>
  <c r="BR20" i="1"/>
  <c r="BZ20" i="1" s="1"/>
  <c r="CA20" i="1" s="1"/>
  <c r="DU22" i="1"/>
  <c r="LL22" i="1"/>
  <c r="BT21" i="1"/>
  <c r="CD21" i="1" s="1"/>
  <c r="GY18" i="1"/>
  <c r="GQ18" i="1"/>
  <c r="LU18" i="1" s="1"/>
  <c r="GQ19" i="1"/>
  <c r="LU19" i="1" s="1"/>
  <c r="GY19" i="1"/>
  <c r="BW14" i="10"/>
  <c r="BW16" i="10"/>
  <c r="CM15" i="10"/>
  <c r="DI15" i="10" s="1"/>
  <c r="CA15" i="10"/>
  <c r="CB12" i="10"/>
  <c r="BI12" i="10"/>
  <c r="BT14" i="10"/>
  <c r="BZ14" i="10" s="1"/>
  <c r="BR15" i="10"/>
  <c r="BI15" i="10"/>
  <c r="CB15" i="10"/>
  <c r="BR12" i="10"/>
  <c r="BZ12" i="10"/>
  <c r="BS12" i="10"/>
  <c r="BW12" i="10" s="1"/>
  <c r="BI14" i="10"/>
  <c r="CB14" i="10"/>
  <c r="BI16" i="10"/>
  <c r="CB16" i="10"/>
  <c r="BZ16" i="10"/>
  <c r="CM13" i="10"/>
  <c r="CA13" i="10"/>
  <c r="BR16" i="10"/>
  <c r="BR13" i="10"/>
  <c r="BW15" i="10"/>
  <c r="BI13" i="10"/>
  <c r="CB13" i="10"/>
  <c r="CA13" i="1"/>
  <c r="BU13" i="1"/>
  <c r="BW9" i="1"/>
  <c r="BT10" i="1"/>
  <c r="CD10" i="1" s="1"/>
  <c r="GQ10" i="1" s="1"/>
  <c r="BR18" i="1"/>
  <c r="BZ18" i="1" s="1"/>
  <c r="BW17" i="1"/>
  <c r="BW10" i="1"/>
  <c r="KY18" i="1"/>
  <c r="MG18" i="1" s="1"/>
  <c r="CA9" i="1"/>
  <c r="GQ17" i="1"/>
  <c r="LU17" i="1" s="1"/>
  <c r="BR19" i="1"/>
  <c r="BZ19" i="1" s="1"/>
  <c r="CA19" i="1" s="1"/>
  <c r="BW7" i="1"/>
  <c r="CE18" i="1"/>
  <c r="CJ19" i="1"/>
  <c r="BW14" i="1"/>
  <c r="BZ11" i="10"/>
  <c r="CM11" i="10" s="1"/>
  <c r="CJ17" i="1"/>
  <c r="GU17" i="1" s="1"/>
  <c r="BT13" i="1"/>
  <c r="CD13" i="1" s="1"/>
  <c r="CJ13" i="1" s="1"/>
  <c r="BW8" i="10"/>
  <c r="CE17" i="1"/>
  <c r="BR17" i="1"/>
  <c r="BZ17" i="1" s="1"/>
  <c r="CA17" i="1" s="1"/>
  <c r="BW13" i="1"/>
  <c r="BT12" i="1"/>
  <c r="CD12" i="1" s="1"/>
  <c r="KY12" i="1" s="1"/>
  <c r="GY17" i="1"/>
  <c r="MA17" i="1" s="1"/>
  <c r="CE19" i="1"/>
  <c r="BU9" i="1"/>
  <c r="BU10" i="1"/>
  <c r="BW11" i="10"/>
  <c r="BT9" i="1"/>
  <c r="CD9" i="1" s="1"/>
  <c r="CJ9" i="1" s="1"/>
  <c r="CJ18" i="1"/>
  <c r="BW8" i="1"/>
  <c r="BW12" i="1"/>
  <c r="BW9" i="10"/>
  <c r="BI9" i="10"/>
  <c r="CB9" i="10"/>
  <c r="BI11" i="10"/>
  <c r="CB11" i="10"/>
  <c r="CA7" i="1"/>
  <c r="BR10" i="10"/>
  <c r="BZ10" i="10"/>
  <c r="BW10" i="10"/>
  <c r="CB10" i="10"/>
  <c r="BI10" i="10"/>
  <c r="BT9" i="10"/>
  <c r="BZ9" i="10" s="1"/>
  <c r="CM9" i="10" s="1"/>
  <c r="BS18" i="1"/>
  <c r="BW18" i="1" s="1"/>
  <c r="CA14" i="1"/>
  <c r="CA12" i="1"/>
  <c r="CB8" i="10"/>
  <c r="BI8" i="10"/>
  <c r="BT8" i="10"/>
  <c r="BR11" i="10"/>
  <c r="BI17" i="1"/>
  <c r="EF17" i="1" s="1"/>
  <c r="CF17" i="1"/>
  <c r="CG17" i="1" s="1"/>
  <c r="CF13" i="1"/>
  <c r="BI13" i="1"/>
  <c r="BT7" i="1"/>
  <c r="CD7" i="1" s="1"/>
  <c r="CF19" i="1"/>
  <c r="CG19" i="1" s="1"/>
  <c r="BI19" i="1"/>
  <c r="EF19" i="1" s="1"/>
  <c r="BI18" i="1"/>
  <c r="EF18" i="1" s="1"/>
  <c r="CF18" i="1"/>
  <c r="CG18" i="1" s="1"/>
  <c r="CF14" i="1"/>
  <c r="BI14" i="1"/>
  <c r="CF8" i="1"/>
  <c r="BI8" i="1"/>
  <c r="BU8" i="1"/>
  <c r="BU7" i="1"/>
  <c r="CF9" i="1"/>
  <c r="BI9" i="1"/>
  <c r="CF7" i="1"/>
  <c r="BI7" i="1"/>
  <c r="CF12" i="1"/>
  <c r="BI12" i="1"/>
  <c r="BU14" i="1"/>
  <c r="BU12" i="1"/>
  <c r="CF10" i="1"/>
  <c r="BI10" i="1"/>
  <c r="BW19" i="1"/>
  <c r="BT14" i="1"/>
  <c r="CD14" i="1" s="1"/>
  <c r="BT8" i="1"/>
  <c r="CD8" i="1" s="1"/>
  <c r="MG17" i="1"/>
  <c r="DU7" i="1"/>
  <c r="LL7" i="1"/>
  <c r="DU14" i="1"/>
  <c r="LL14" i="1"/>
  <c r="DU9" i="1"/>
  <c r="LL9" i="1"/>
  <c r="DU10" i="1"/>
  <c r="LL10" i="1"/>
  <c r="LL8" i="1"/>
  <c r="DU8" i="1"/>
  <c r="DU12" i="1"/>
  <c r="LL12" i="1"/>
  <c r="LL13" i="1"/>
  <c r="DU13" i="1"/>
  <c r="NP8" i="136" l="1"/>
  <c r="NM15" i="136"/>
  <c r="NM21" i="136"/>
  <c r="NM24" i="136" s="1"/>
  <c r="NM14" i="136"/>
  <c r="NM35" i="136"/>
  <c r="NM33" i="136"/>
  <c r="NM37" i="136"/>
  <c r="NM32" i="136"/>
  <c r="NM34" i="136"/>
  <c r="BX7" i="136"/>
  <c r="OA7" i="136" s="1"/>
  <c r="NP18" i="136"/>
  <c r="NP30" i="136"/>
  <c r="EI19" i="136"/>
  <c r="EI30" i="136"/>
  <c r="EI18" i="136"/>
  <c r="NP25" i="136"/>
  <c r="EI29" i="136"/>
  <c r="EI12" i="136"/>
  <c r="NP22" i="136"/>
  <c r="EI17" i="136"/>
  <c r="EI22" i="136"/>
  <c r="ED30" i="136"/>
  <c r="EI27" i="136"/>
  <c r="NP11" i="136"/>
  <c r="NP27" i="136"/>
  <c r="ED20" i="136"/>
  <c r="BY7" i="136"/>
  <c r="CC7" i="136" s="1"/>
  <c r="ED18" i="136"/>
  <c r="ED27" i="136"/>
  <c r="EY8" i="136"/>
  <c r="EZ8" i="136" s="1"/>
  <c r="ES8" i="136"/>
  <c r="ET8" i="136" s="1"/>
  <c r="EU8" i="136"/>
  <c r="EV8" i="136" s="1"/>
  <c r="DV29" i="136"/>
  <c r="ED25" i="136"/>
  <c r="HC25" i="136"/>
  <c r="HE25" i="136" s="1"/>
  <c r="NE25" i="136" s="1"/>
  <c r="HK25" i="136"/>
  <c r="HM25" i="136" s="1"/>
  <c r="KQ25" i="136"/>
  <c r="HK15" i="136"/>
  <c r="KQ15" i="136"/>
  <c r="HC15" i="136"/>
  <c r="EH36" i="136"/>
  <c r="NO36" i="136"/>
  <c r="NP19" i="136"/>
  <c r="EI16" i="136"/>
  <c r="NP17" i="136"/>
  <c r="HC26" i="136"/>
  <c r="HE26" i="136" s="1"/>
  <c r="KQ26" i="136"/>
  <c r="HK26" i="136"/>
  <c r="NP12" i="136"/>
  <c r="DV20" i="136"/>
  <c r="ED17" i="136"/>
  <c r="CK7" i="136"/>
  <c r="KQ10" i="136"/>
  <c r="HK10" i="136"/>
  <c r="HC10" i="136"/>
  <c r="EI26" i="136"/>
  <c r="EI25" i="136"/>
  <c r="NP9" i="136"/>
  <c r="HK21" i="136"/>
  <c r="HM21" i="136" s="1"/>
  <c r="KQ21" i="136"/>
  <c r="HC21" i="136"/>
  <c r="HK29" i="136"/>
  <c r="KQ29" i="136"/>
  <c r="HC29" i="136"/>
  <c r="DV11" i="136"/>
  <c r="NC11" i="136" s="1"/>
  <c r="NP26" i="136"/>
  <c r="NO28" i="136"/>
  <c r="DX36" i="136"/>
  <c r="DV18" i="136"/>
  <c r="KQ20" i="136"/>
  <c r="HK20" i="136"/>
  <c r="HC20" i="136"/>
  <c r="ED10" i="136"/>
  <c r="HC19" i="136"/>
  <c r="HK19" i="136"/>
  <c r="KQ19" i="136"/>
  <c r="EI11" i="136"/>
  <c r="EI9" i="136"/>
  <c r="HC18" i="136"/>
  <c r="HK18" i="136"/>
  <c r="HM18" i="136" s="1"/>
  <c r="KQ18" i="136"/>
  <c r="DV19" i="136"/>
  <c r="NP23" i="136"/>
  <c r="DV26" i="136"/>
  <c r="DV27" i="136"/>
  <c r="DV17" i="136"/>
  <c r="DV12" i="136"/>
  <c r="ED12" i="136"/>
  <c r="NP16" i="136"/>
  <c r="ED19" i="136"/>
  <c r="HK30" i="136"/>
  <c r="HC30" i="136"/>
  <c r="KQ30" i="136"/>
  <c r="NP13" i="136"/>
  <c r="EI23" i="136"/>
  <c r="NP10" i="136"/>
  <c r="NO31" i="136"/>
  <c r="NP29" i="136"/>
  <c r="HC27" i="136"/>
  <c r="HE27" i="136" s="1"/>
  <c r="NE27" i="136" s="1"/>
  <c r="KQ27" i="136"/>
  <c r="HK27" i="136"/>
  <c r="HC17" i="136"/>
  <c r="HK17" i="136"/>
  <c r="KQ17" i="136"/>
  <c r="ED9" i="136"/>
  <c r="DV30" i="136"/>
  <c r="EI13" i="136"/>
  <c r="EI10" i="136"/>
  <c r="NP20" i="136"/>
  <c r="HK12" i="136"/>
  <c r="HM12" i="136" s="1"/>
  <c r="KQ12" i="136"/>
  <c r="HC12" i="136"/>
  <c r="HE12" i="136" s="1"/>
  <c r="HC9" i="136"/>
  <c r="KQ9" i="136"/>
  <c r="HK9" i="136"/>
  <c r="ED11" i="136"/>
  <c r="DV25" i="136"/>
  <c r="EI20" i="136"/>
  <c r="KQ11" i="136"/>
  <c r="HK11" i="136"/>
  <c r="HC11" i="136"/>
  <c r="NP7" i="136"/>
  <c r="CP7" i="136"/>
  <c r="CP32" i="136"/>
  <c r="CP14" i="136"/>
  <c r="CK32" i="136"/>
  <c r="DJ14" i="136"/>
  <c r="DJ34" i="136"/>
  <c r="CK34" i="136"/>
  <c r="CK15" i="136"/>
  <c r="CQ15" i="136" s="1"/>
  <c r="CP34" i="136"/>
  <c r="OM8" i="136"/>
  <c r="ON8" i="136" s="1"/>
  <c r="OO8" i="136"/>
  <c r="OP8" i="136" s="1"/>
  <c r="OA8" i="136"/>
  <c r="OB8" i="136" s="1"/>
  <c r="CK14" i="136"/>
  <c r="DJ32" i="136"/>
  <c r="CN21" i="136"/>
  <c r="NS21" i="136" s="1"/>
  <c r="CK35" i="136"/>
  <c r="DJ33" i="136"/>
  <c r="DJ36" i="136"/>
  <c r="CK23" i="136"/>
  <c r="CK13" i="136"/>
  <c r="DJ37" i="136"/>
  <c r="OM7" i="136"/>
  <c r="ON7" i="136" s="1"/>
  <c r="DJ15" i="136"/>
  <c r="DK19" i="136"/>
  <c r="CQ17" i="136"/>
  <c r="CP33" i="136"/>
  <c r="CK33" i="136"/>
  <c r="DJ35" i="136"/>
  <c r="CP35" i="136"/>
  <c r="EN17" i="109"/>
  <c r="CK30" i="109"/>
  <c r="EU7" i="136"/>
  <c r="EY7" i="136"/>
  <c r="DL8" i="136"/>
  <c r="DK8" i="136"/>
  <c r="DV8" i="136"/>
  <c r="CP23" i="136"/>
  <c r="DJ23" i="136"/>
  <c r="CQ20" i="136"/>
  <c r="CF27" i="136"/>
  <c r="DK11" i="136"/>
  <c r="CQ30" i="136"/>
  <c r="CS7" i="136"/>
  <c r="ED7" i="136"/>
  <c r="CQ8" i="136"/>
  <c r="CS25" i="136"/>
  <c r="CQ18" i="136"/>
  <c r="CQ11" i="136"/>
  <c r="CS11" i="136"/>
  <c r="CF11" i="136"/>
  <c r="DL30" i="136"/>
  <c r="KQ8" i="136"/>
  <c r="HC8" i="136"/>
  <c r="HK8" i="136"/>
  <c r="CS20" i="136"/>
  <c r="ED8" i="136"/>
  <c r="CS8" i="136"/>
  <c r="CS30" i="136"/>
  <c r="CF18" i="136"/>
  <c r="CS17" i="136"/>
  <c r="CS16" i="136"/>
  <c r="CQ25" i="136"/>
  <c r="DL10" i="136"/>
  <c r="DK10" i="136"/>
  <c r="CF12" i="136"/>
  <c r="CF19" i="136"/>
  <c r="DL11" i="136"/>
  <c r="DL25" i="136"/>
  <c r="DK25" i="136"/>
  <c r="DL18" i="136"/>
  <c r="DK18" i="136"/>
  <c r="CF17" i="136"/>
  <c r="CF25" i="136"/>
  <c r="CS19" i="136"/>
  <c r="EI8" i="136"/>
  <c r="CQ10" i="136"/>
  <c r="DL27" i="136"/>
  <c r="DK27" i="136"/>
  <c r="CP13" i="136"/>
  <c r="DJ13" i="136"/>
  <c r="CF30" i="136"/>
  <c r="DL12" i="136"/>
  <c r="DK12" i="136"/>
  <c r="CS10" i="136"/>
  <c r="CF9" i="136"/>
  <c r="DK30" i="136"/>
  <c r="CQ27" i="136"/>
  <c r="CS23" i="136"/>
  <c r="CB8" i="136"/>
  <c r="CF8" i="136"/>
  <c r="DL9" i="136"/>
  <c r="DK9" i="136"/>
  <c r="DW9" i="136" s="1"/>
  <c r="CS13" i="136"/>
  <c r="CS9" i="136"/>
  <c r="CS18" i="136"/>
  <c r="CQ19" i="136"/>
  <c r="EN42" i="109"/>
  <c r="CF20" i="136"/>
  <c r="CF10" i="136"/>
  <c r="DL17" i="136"/>
  <c r="DK17" i="136"/>
  <c r="EI7" i="136"/>
  <c r="CQ12" i="136"/>
  <c r="DL20" i="136"/>
  <c r="DK20" i="136"/>
  <c r="CQ9" i="136"/>
  <c r="CP16" i="136"/>
  <c r="DJ16" i="136"/>
  <c r="DV16" i="136" s="1"/>
  <c r="CS12" i="136"/>
  <c r="DL7" i="136"/>
  <c r="DV7" i="136"/>
  <c r="CS27" i="136"/>
  <c r="CK16" i="136"/>
  <c r="DL19" i="136"/>
  <c r="DD37" i="136"/>
  <c r="EP37" i="136"/>
  <c r="DE36" i="136"/>
  <c r="DF36" i="136"/>
  <c r="CO36" i="136"/>
  <c r="NT36" i="136" s="1"/>
  <c r="CP37" i="136"/>
  <c r="CK37" i="136"/>
  <c r="CN15" i="136"/>
  <c r="NS15" i="136" s="1"/>
  <c r="CQ29" i="136"/>
  <c r="CF35" i="136"/>
  <c r="EN27" i="109"/>
  <c r="CM32" i="136"/>
  <c r="NN32" i="136" s="1"/>
  <c r="EP32" i="136"/>
  <c r="DD32" i="136"/>
  <c r="CN34" i="136"/>
  <c r="NS34" i="136" s="1"/>
  <c r="CM33" i="136"/>
  <c r="EP33" i="136"/>
  <c r="DD33" i="136"/>
  <c r="EP29" i="136"/>
  <c r="CK22" i="136"/>
  <c r="CP22" i="136"/>
  <c r="DJ22" i="136"/>
  <c r="CF15" i="136"/>
  <c r="EP35" i="136"/>
  <c r="CM35" i="136"/>
  <c r="DD35" i="136"/>
  <c r="CF26" i="136"/>
  <c r="CF14" i="136"/>
  <c r="CN14" i="136"/>
  <c r="NS14" i="136" s="1"/>
  <c r="EN26" i="109"/>
  <c r="CK9" i="109"/>
  <c r="EP15" i="136"/>
  <c r="CM15" i="136"/>
  <c r="NN15" i="136" s="1"/>
  <c r="DD15" i="136"/>
  <c r="EP21" i="136"/>
  <c r="CM21" i="136"/>
  <c r="DD21" i="136"/>
  <c r="EP34" i="136"/>
  <c r="CM34" i="136"/>
  <c r="DD34" i="136"/>
  <c r="EP22" i="136"/>
  <c r="DL26" i="136"/>
  <c r="DK26" i="136"/>
  <c r="CF21" i="136"/>
  <c r="CK42" i="109"/>
  <c r="CF33" i="136"/>
  <c r="CP36" i="136"/>
  <c r="HC36" i="136" s="1"/>
  <c r="CK36" i="136"/>
  <c r="EP26" i="136"/>
  <c r="DL29" i="136"/>
  <c r="DK29" i="136"/>
  <c r="CN37" i="136"/>
  <c r="NS37" i="136" s="1"/>
  <c r="CQ26" i="136"/>
  <c r="CM14" i="136"/>
  <c r="EP14" i="136"/>
  <c r="DD14" i="136"/>
  <c r="CN35" i="136"/>
  <c r="NS35" i="136" s="1"/>
  <c r="DL21" i="136"/>
  <c r="MA21" i="136" s="1"/>
  <c r="DK21" i="136"/>
  <c r="CN32" i="136"/>
  <c r="NS32" i="136" s="1"/>
  <c r="CF32" i="136"/>
  <c r="CF34" i="136"/>
  <c r="CN33" i="136"/>
  <c r="NS33" i="136" s="1"/>
  <c r="CM37" i="136"/>
  <c r="NN37" i="136" s="1"/>
  <c r="CF29" i="136"/>
  <c r="CQ21" i="136"/>
  <c r="EN35" i="109"/>
  <c r="EN29" i="109"/>
  <c r="CK38" i="109"/>
  <c r="CK37" i="109"/>
  <c r="CK17" i="109"/>
  <c r="KZ20" i="1"/>
  <c r="MH20" i="1" s="1"/>
  <c r="CK40" i="109"/>
  <c r="CK27" i="109"/>
  <c r="EN13" i="109"/>
  <c r="EN47" i="109"/>
  <c r="CK36" i="109"/>
  <c r="EN10" i="109"/>
  <c r="CK33" i="109"/>
  <c r="EN19" i="109"/>
  <c r="CK21" i="109"/>
  <c r="BR32" i="109"/>
  <c r="EO32" i="109" s="1"/>
  <c r="EP32" i="109" s="1"/>
  <c r="EN8" i="109"/>
  <c r="CK10" i="109"/>
  <c r="CK12" i="109"/>
  <c r="EN21" i="109"/>
  <c r="CK26" i="109"/>
  <c r="EN30" i="109"/>
  <c r="BZ31" i="109"/>
  <c r="CA31" i="109" s="1"/>
  <c r="ES31" i="109"/>
  <c r="ET31" i="109" s="1"/>
  <c r="ES26" i="109"/>
  <c r="ET26" i="109" s="1"/>
  <c r="BZ26" i="109"/>
  <c r="CA26" i="109" s="1"/>
  <c r="ES14" i="109"/>
  <c r="ET14" i="109" s="1"/>
  <c r="BZ14" i="109"/>
  <c r="CA14" i="109" s="1"/>
  <c r="GW35" i="109"/>
  <c r="KK35" i="109"/>
  <c r="HE35" i="109"/>
  <c r="HG35" i="109" s="1"/>
  <c r="CK35" i="109"/>
  <c r="DF9" i="109"/>
  <c r="DE9" i="109"/>
  <c r="DF38" i="109"/>
  <c r="DE38" i="109"/>
  <c r="DF16" i="109"/>
  <c r="DE16" i="109"/>
  <c r="CH42" i="109"/>
  <c r="EO42" i="109"/>
  <c r="EP42" i="109" s="1"/>
  <c r="BV42" i="109"/>
  <c r="DZ42" i="109" s="1"/>
  <c r="EN40" i="109"/>
  <c r="EJ31" i="109"/>
  <c r="CG31" i="109"/>
  <c r="CX31" i="109"/>
  <c r="BV29" i="109"/>
  <c r="DZ29" i="109" s="1"/>
  <c r="EO29" i="109"/>
  <c r="EP29" i="109" s="1"/>
  <c r="CH29" i="109"/>
  <c r="CH27" i="109"/>
  <c r="BV27" i="109"/>
  <c r="DZ27" i="109" s="1"/>
  <c r="EO27" i="109"/>
  <c r="EP27" i="109" s="1"/>
  <c r="EO26" i="109"/>
  <c r="EP26" i="109" s="1"/>
  <c r="CH26" i="109"/>
  <c r="BV26" i="109"/>
  <c r="DZ26" i="109" s="1"/>
  <c r="BV25" i="109"/>
  <c r="DZ25" i="109" s="1"/>
  <c r="EO25" i="109"/>
  <c r="EP25" i="109" s="1"/>
  <c r="CH25" i="109"/>
  <c r="BV24" i="109"/>
  <c r="DZ24" i="109" s="1"/>
  <c r="EO24" i="109"/>
  <c r="EP24" i="109" s="1"/>
  <c r="CH24" i="109"/>
  <c r="EN11" i="109"/>
  <c r="CG14" i="109"/>
  <c r="EJ14" i="109"/>
  <c r="CX14" i="109"/>
  <c r="DF7" i="109"/>
  <c r="DE7" i="109"/>
  <c r="CJ23" i="109"/>
  <c r="CE23" i="109"/>
  <c r="DD23" i="109"/>
  <c r="ES28" i="109"/>
  <c r="ET28" i="109" s="1"/>
  <c r="BZ28" i="109"/>
  <c r="CA28" i="109" s="1"/>
  <c r="CG39" i="109"/>
  <c r="EJ39" i="109"/>
  <c r="CX39" i="109"/>
  <c r="CH22" i="109"/>
  <c r="BZ53" i="109"/>
  <c r="CA53" i="109" s="1"/>
  <c r="ES53" i="109"/>
  <c r="ET53" i="109" s="1"/>
  <c r="ES25" i="109"/>
  <c r="ET25" i="109" s="1"/>
  <c r="BZ25" i="109"/>
  <c r="CA25" i="109" s="1"/>
  <c r="DF48" i="109"/>
  <c r="DE48" i="109"/>
  <c r="CK16" i="109"/>
  <c r="EJ42" i="109"/>
  <c r="CG42" i="109"/>
  <c r="CX42" i="109"/>
  <c r="CG40" i="109"/>
  <c r="EJ40" i="109"/>
  <c r="CX40" i="109"/>
  <c r="EM31" i="109"/>
  <c r="EN31" i="109" s="1"/>
  <c r="EJ27" i="109"/>
  <c r="CG27" i="109"/>
  <c r="CX27" i="109"/>
  <c r="EJ26" i="109"/>
  <c r="CG26" i="109"/>
  <c r="CX26" i="109"/>
  <c r="EM25" i="109"/>
  <c r="EN25" i="109" s="1"/>
  <c r="CG24" i="109"/>
  <c r="EJ24" i="109"/>
  <c r="CX24" i="109"/>
  <c r="EM14" i="109"/>
  <c r="EN14" i="109" s="1"/>
  <c r="KK7" i="109"/>
  <c r="HE7" i="109"/>
  <c r="GW7" i="109"/>
  <c r="GY7" i="109" s="1"/>
  <c r="CK7" i="109"/>
  <c r="CJ32" i="109"/>
  <c r="CE32" i="109"/>
  <c r="DD32" i="109"/>
  <c r="EJ22" i="109"/>
  <c r="CG22" i="109"/>
  <c r="CX22" i="109"/>
  <c r="CH15" i="109"/>
  <c r="BV10" i="109"/>
  <c r="DZ10" i="109" s="1"/>
  <c r="EO10" i="109"/>
  <c r="EP10" i="109" s="1"/>
  <c r="CH10" i="109"/>
  <c r="DF11" i="109"/>
  <c r="DE11" i="109"/>
  <c r="ES51" i="109"/>
  <c r="ET51" i="109" s="1"/>
  <c r="BZ51" i="109"/>
  <c r="CA51" i="109" s="1"/>
  <c r="BZ38" i="109"/>
  <c r="CA38" i="109" s="1"/>
  <c r="ES38" i="109"/>
  <c r="ET38" i="109" s="1"/>
  <c r="ES12" i="109"/>
  <c r="ET12" i="109" s="1"/>
  <c r="BZ12" i="109"/>
  <c r="CA12" i="109" s="1"/>
  <c r="ES7" i="109"/>
  <c r="ET7" i="109" s="1"/>
  <c r="BZ7" i="109"/>
  <c r="CA7" i="109" s="1"/>
  <c r="DF43" i="109"/>
  <c r="DE43" i="109"/>
  <c r="DF30" i="109"/>
  <c r="DE30" i="109"/>
  <c r="CK41" i="109"/>
  <c r="EM53" i="109"/>
  <c r="EN53" i="109" s="1"/>
  <c r="EM51" i="109"/>
  <c r="EN51" i="109" s="1"/>
  <c r="EN44" i="109"/>
  <c r="EO37" i="109"/>
  <c r="EP37" i="109" s="1"/>
  <c r="CH37" i="109"/>
  <c r="BV37" i="109"/>
  <c r="DZ37" i="109" s="1"/>
  <c r="BV36" i="109"/>
  <c r="DZ36" i="109" s="1"/>
  <c r="EO36" i="109"/>
  <c r="EP36" i="109" s="1"/>
  <c r="CH36" i="109"/>
  <c r="EM12" i="109"/>
  <c r="EN12" i="109" s="1"/>
  <c r="CK14" i="109"/>
  <c r="DF53" i="109"/>
  <c r="NC53" i="109"/>
  <c r="DE53" i="109"/>
  <c r="ES52" i="109"/>
  <c r="ET52" i="109" s="1"/>
  <c r="BZ52" i="109"/>
  <c r="CA52" i="109" s="1"/>
  <c r="DF29" i="109"/>
  <c r="DE29" i="109"/>
  <c r="BV33" i="109"/>
  <c r="DZ33" i="109" s="1"/>
  <c r="EO33" i="109"/>
  <c r="EP33" i="109" s="1"/>
  <c r="CH33" i="109"/>
  <c r="CH23" i="109"/>
  <c r="CK25" i="109"/>
  <c r="ES41" i="109"/>
  <c r="ET41" i="109" s="1"/>
  <c r="BZ41" i="109"/>
  <c r="CA41" i="109" s="1"/>
  <c r="BZ9" i="109"/>
  <c r="CA9" i="109" s="1"/>
  <c r="ES9" i="109"/>
  <c r="ET9" i="109" s="1"/>
  <c r="CK46" i="109"/>
  <c r="BV52" i="109"/>
  <c r="DZ52" i="109" s="1"/>
  <c r="EO52" i="109"/>
  <c r="EP52" i="109" s="1"/>
  <c r="CH52" i="109"/>
  <c r="CH46" i="109"/>
  <c r="EO46" i="109"/>
  <c r="EP46" i="109" s="1"/>
  <c r="BV46" i="109"/>
  <c r="DZ46" i="109" s="1"/>
  <c r="CH45" i="109"/>
  <c r="EO41" i="109"/>
  <c r="EP41" i="109" s="1"/>
  <c r="CH41" i="109"/>
  <c r="BV41" i="109"/>
  <c r="DZ41" i="109" s="1"/>
  <c r="BV48" i="109"/>
  <c r="DZ48" i="109" s="1"/>
  <c r="EO48" i="109"/>
  <c r="EP48" i="109" s="1"/>
  <c r="CH48" i="109"/>
  <c r="EJ17" i="109"/>
  <c r="CG17" i="109"/>
  <c r="CX17" i="109"/>
  <c r="EJ9" i="109"/>
  <c r="CG9" i="109"/>
  <c r="CX9" i="109"/>
  <c r="EJ16" i="109"/>
  <c r="CG16" i="109"/>
  <c r="CX16" i="109"/>
  <c r="EJ8" i="109"/>
  <c r="CG8" i="109"/>
  <c r="CX8" i="109"/>
  <c r="CK13" i="109"/>
  <c r="BR39" i="109"/>
  <c r="EO39" i="109" s="1"/>
  <c r="EP39" i="109" s="1"/>
  <c r="DF10" i="109"/>
  <c r="DE10" i="109"/>
  <c r="EJ38" i="109"/>
  <c r="CG38" i="109"/>
  <c r="CX38" i="109"/>
  <c r="CH32" i="109"/>
  <c r="EO28" i="109"/>
  <c r="EP28" i="109" s="1"/>
  <c r="CH28" i="109"/>
  <c r="BV28" i="109"/>
  <c r="DZ28" i="109" s="1"/>
  <c r="DF47" i="109"/>
  <c r="DE47" i="109"/>
  <c r="CK28" i="109"/>
  <c r="EJ23" i="109"/>
  <c r="CG23" i="109"/>
  <c r="CX23" i="109"/>
  <c r="ES44" i="109"/>
  <c r="ET44" i="109" s="1"/>
  <c r="BZ44" i="109"/>
  <c r="CA44" i="109" s="1"/>
  <c r="ES30" i="109"/>
  <c r="ET30" i="109" s="1"/>
  <c r="BZ30" i="109"/>
  <c r="CA30" i="109" s="1"/>
  <c r="ES16" i="109"/>
  <c r="ET16" i="109" s="1"/>
  <c r="BZ16" i="109"/>
  <c r="CA16" i="109" s="1"/>
  <c r="DF51" i="109"/>
  <c r="NC51" i="109"/>
  <c r="DE51" i="109"/>
  <c r="EM52" i="109"/>
  <c r="EN52" i="109" s="1"/>
  <c r="EJ46" i="109"/>
  <c r="CG46" i="109"/>
  <c r="CX46" i="109"/>
  <c r="CG48" i="109"/>
  <c r="CX48" i="109"/>
  <c r="BV43" i="109"/>
  <c r="DZ43" i="109" s="1"/>
  <c r="EO43" i="109"/>
  <c r="EP43" i="109" s="1"/>
  <c r="CH43" i="109"/>
  <c r="EM9" i="109"/>
  <c r="EN9" i="109" s="1"/>
  <c r="EM16" i="109"/>
  <c r="EN16" i="109" s="1"/>
  <c r="DF19" i="109"/>
  <c r="DE19" i="109"/>
  <c r="GW52" i="109"/>
  <c r="HE52" i="109"/>
  <c r="KK52" i="109"/>
  <c r="CK52" i="109"/>
  <c r="EM38" i="109"/>
  <c r="EN38" i="109" s="1"/>
  <c r="CG32" i="109"/>
  <c r="EJ32" i="109"/>
  <c r="CX32" i="109"/>
  <c r="EJ28" i="109"/>
  <c r="CG28" i="109"/>
  <c r="CX28" i="109"/>
  <c r="BV18" i="109"/>
  <c r="DZ18" i="109" s="1"/>
  <c r="EO18" i="109"/>
  <c r="EP18" i="109" s="1"/>
  <c r="CH18" i="109"/>
  <c r="DF42" i="109"/>
  <c r="DE42" i="109"/>
  <c r="DF18" i="109"/>
  <c r="DE18" i="109"/>
  <c r="ES37" i="109"/>
  <c r="ET37" i="109" s="1"/>
  <c r="BZ37" i="109"/>
  <c r="CA37" i="109" s="1"/>
  <c r="ES29" i="109"/>
  <c r="ET29" i="109" s="1"/>
  <c r="BZ29" i="109"/>
  <c r="CA29" i="109" s="1"/>
  <c r="ES24" i="109"/>
  <c r="ET24" i="109" s="1"/>
  <c r="BZ24" i="109"/>
  <c r="CA24" i="109" s="1"/>
  <c r="ES19" i="109"/>
  <c r="ET19" i="109" s="1"/>
  <c r="BZ19" i="109"/>
  <c r="CA19" i="109" s="1"/>
  <c r="GY35" i="109"/>
  <c r="DF35" i="109"/>
  <c r="DE35" i="109"/>
  <c r="DF40" i="109"/>
  <c r="DE40" i="109"/>
  <c r="BV40" i="109"/>
  <c r="DZ40" i="109" s="1"/>
  <c r="EO40" i="109"/>
  <c r="EP40" i="109" s="1"/>
  <c r="CH40" i="109"/>
  <c r="EM24" i="109"/>
  <c r="EN24" i="109" s="1"/>
  <c r="CG19" i="109"/>
  <c r="CX19" i="109"/>
  <c r="EJ11" i="109"/>
  <c r="CG11" i="109"/>
  <c r="CX11" i="109"/>
  <c r="ES33" i="109"/>
  <c r="ET33" i="109" s="1"/>
  <c r="BZ33" i="109"/>
  <c r="CA33" i="109" s="1"/>
  <c r="ES18" i="109"/>
  <c r="ET18" i="109" s="1"/>
  <c r="BZ18" i="109"/>
  <c r="CA18" i="109" s="1"/>
  <c r="DF27" i="109"/>
  <c r="DE27" i="109"/>
  <c r="CG10" i="109"/>
  <c r="EJ10" i="109"/>
  <c r="CX10" i="109"/>
  <c r="ES48" i="109"/>
  <c r="ET48" i="109" s="1"/>
  <c r="BZ48" i="109"/>
  <c r="CA48" i="109" s="1"/>
  <c r="ES35" i="109"/>
  <c r="ET35" i="109" s="1"/>
  <c r="BZ35" i="109"/>
  <c r="CA35" i="109" s="1"/>
  <c r="DF12" i="109"/>
  <c r="DE12" i="109"/>
  <c r="DF31" i="109"/>
  <c r="DE31" i="109"/>
  <c r="EJ37" i="109"/>
  <c r="CG37" i="109"/>
  <c r="CX37" i="109"/>
  <c r="EN36" i="109"/>
  <c r="EO7" i="109"/>
  <c r="EP7" i="109" s="1"/>
  <c r="CH7" i="109"/>
  <c r="BV7" i="109"/>
  <c r="DZ7" i="109" s="1"/>
  <c r="DF24" i="109"/>
  <c r="DE24" i="109"/>
  <c r="ES47" i="109"/>
  <c r="ET47" i="109" s="1"/>
  <c r="BZ47" i="109"/>
  <c r="CA47" i="109" s="1"/>
  <c r="DF44" i="109"/>
  <c r="DE44" i="109"/>
  <c r="EM33" i="109"/>
  <c r="EN33" i="109" s="1"/>
  <c r="BZ42" i="109"/>
  <c r="CA42" i="109" s="1"/>
  <c r="ES42" i="109"/>
  <c r="ET42" i="109" s="1"/>
  <c r="ES36" i="109"/>
  <c r="ET36" i="109" s="1"/>
  <c r="BZ36" i="109"/>
  <c r="CA36" i="109" s="1"/>
  <c r="BZ27" i="109"/>
  <c r="CA27" i="109" s="1"/>
  <c r="ES27" i="109"/>
  <c r="ET27" i="109" s="1"/>
  <c r="ES11" i="109"/>
  <c r="ET11" i="109" s="1"/>
  <c r="BZ11" i="109"/>
  <c r="CA11" i="109" s="1"/>
  <c r="CK48" i="109"/>
  <c r="CJ15" i="109"/>
  <c r="CE15" i="109"/>
  <c r="DD15" i="109"/>
  <c r="CE45" i="109"/>
  <c r="CJ45" i="109"/>
  <c r="DD45" i="109"/>
  <c r="DF37" i="109"/>
  <c r="DE37" i="109"/>
  <c r="EQ42" i="109"/>
  <c r="ER42" i="109" s="1"/>
  <c r="EQ40" i="109"/>
  <c r="ER40" i="109" s="1"/>
  <c r="CH31" i="109"/>
  <c r="BV31" i="109"/>
  <c r="DZ31" i="109" s="1"/>
  <c r="EO31" i="109"/>
  <c r="EP31" i="109" s="1"/>
  <c r="EJ29" i="109"/>
  <c r="CG29" i="109"/>
  <c r="CX29" i="109"/>
  <c r="EQ27" i="109"/>
  <c r="ER27" i="109" s="1"/>
  <c r="EQ26" i="109"/>
  <c r="ER26" i="109" s="1"/>
  <c r="EJ25" i="109"/>
  <c r="CG25" i="109"/>
  <c r="CX25" i="109"/>
  <c r="EQ24" i="109"/>
  <c r="ER24" i="109" s="1"/>
  <c r="BV19" i="109"/>
  <c r="DZ19" i="109" s="1"/>
  <c r="ED19" i="109" s="1"/>
  <c r="EO19" i="109"/>
  <c r="EP19" i="109" s="1"/>
  <c r="CH19" i="109"/>
  <c r="BV11" i="109"/>
  <c r="DZ11" i="109" s="1"/>
  <c r="EO11" i="109"/>
  <c r="EP11" i="109" s="1"/>
  <c r="CH11" i="109"/>
  <c r="BV14" i="109"/>
  <c r="DZ14" i="109" s="1"/>
  <c r="EO14" i="109"/>
  <c r="EP14" i="109" s="1"/>
  <c r="CH14" i="109"/>
  <c r="CE22" i="109"/>
  <c r="CJ22" i="109"/>
  <c r="DD22" i="109"/>
  <c r="BR23" i="109"/>
  <c r="EO23" i="109" s="1"/>
  <c r="EP23" i="109" s="1"/>
  <c r="DF21" i="109"/>
  <c r="DE21" i="109"/>
  <c r="CH39" i="109"/>
  <c r="EQ22" i="109"/>
  <c r="ER22" i="109" s="1"/>
  <c r="CK11" i="109"/>
  <c r="ES40" i="109"/>
  <c r="ET40" i="109" s="1"/>
  <c r="BZ40" i="109"/>
  <c r="CA40" i="109" s="1"/>
  <c r="BZ13" i="109"/>
  <c r="CA13" i="109" s="1"/>
  <c r="ES13" i="109"/>
  <c r="ET13" i="109" s="1"/>
  <c r="CK43" i="109"/>
  <c r="DF26" i="109"/>
  <c r="DE26" i="109"/>
  <c r="BV53" i="109"/>
  <c r="DZ53" i="109" s="1"/>
  <c r="CH53" i="109"/>
  <c r="EO53" i="109"/>
  <c r="EP53" i="109" s="1"/>
  <c r="EO51" i="109"/>
  <c r="EP51" i="109" s="1"/>
  <c r="BV51" i="109"/>
  <c r="DZ51" i="109" s="1"/>
  <c r="CH51" i="109"/>
  <c r="EO47" i="109"/>
  <c r="EP47" i="109" s="1"/>
  <c r="BV47" i="109"/>
  <c r="DZ47" i="109" s="1"/>
  <c r="CH47" i="109"/>
  <c r="EJ44" i="109"/>
  <c r="CG44" i="109"/>
  <c r="CX44" i="109"/>
  <c r="EM37" i="109"/>
  <c r="EN37" i="109" s="1"/>
  <c r="EO35" i="109"/>
  <c r="EP35" i="109" s="1"/>
  <c r="BV35" i="109"/>
  <c r="DZ35" i="109" s="1"/>
  <c r="CH35" i="109"/>
  <c r="CH13" i="109"/>
  <c r="BV13" i="109"/>
  <c r="DZ13" i="109" s="1"/>
  <c r="EO13" i="109"/>
  <c r="EP13" i="109" s="1"/>
  <c r="EO21" i="109"/>
  <c r="EP21" i="109" s="1"/>
  <c r="CH21" i="109"/>
  <c r="BV21" i="109"/>
  <c r="DZ21" i="109" s="1"/>
  <c r="EO12" i="109"/>
  <c r="EP12" i="109" s="1"/>
  <c r="CH12" i="109"/>
  <c r="BV12" i="109"/>
  <c r="DZ12" i="109" s="1"/>
  <c r="EJ7" i="109"/>
  <c r="CG7" i="109"/>
  <c r="CX7" i="109"/>
  <c r="DF14" i="109"/>
  <c r="DE14" i="109"/>
  <c r="CK53" i="109"/>
  <c r="KK53" i="109"/>
  <c r="HE53" i="109"/>
  <c r="HG53" i="109" s="1"/>
  <c r="GW53" i="109"/>
  <c r="BR45" i="109"/>
  <c r="EO45" i="109" s="1"/>
  <c r="EP45" i="109" s="1"/>
  <c r="BR22" i="109"/>
  <c r="EO22" i="109" s="1"/>
  <c r="EP22" i="109" s="1"/>
  <c r="CK29" i="109"/>
  <c r="DF25" i="109"/>
  <c r="DE25" i="109"/>
  <c r="BZ46" i="109"/>
  <c r="CA46" i="109" s="1"/>
  <c r="ES46" i="109"/>
  <c r="ET46" i="109" s="1"/>
  <c r="ES43" i="109"/>
  <c r="ET43" i="109" s="1"/>
  <c r="BZ43" i="109"/>
  <c r="CA43" i="109" s="1"/>
  <c r="ES8" i="109"/>
  <c r="ET8" i="109" s="1"/>
  <c r="BZ8" i="109"/>
  <c r="CA8" i="109" s="1"/>
  <c r="CJ39" i="109"/>
  <c r="CE39" i="109"/>
  <c r="DD39" i="109"/>
  <c r="DF8" i="109"/>
  <c r="DE8" i="109"/>
  <c r="CG52" i="109"/>
  <c r="CX52" i="109"/>
  <c r="EM46" i="109"/>
  <c r="EN46" i="109" s="1"/>
  <c r="EJ41" i="109"/>
  <c r="CG41" i="109"/>
  <c r="CX41" i="109"/>
  <c r="EM48" i="109"/>
  <c r="EN48" i="109" s="1"/>
  <c r="CG43" i="109"/>
  <c r="EJ43" i="109"/>
  <c r="CX43" i="109"/>
  <c r="EO30" i="109"/>
  <c r="EP30" i="109" s="1"/>
  <c r="CH30" i="109"/>
  <c r="BV30" i="109"/>
  <c r="DZ30" i="109" s="1"/>
  <c r="DF13" i="109"/>
  <c r="DE13" i="109"/>
  <c r="BR15" i="109"/>
  <c r="EM28" i="109"/>
  <c r="EN28" i="109" s="1"/>
  <c r="CG18" i="109"/>
  <c r="EJ18" i="109"/>
  <c r="CX18" i="109"/>
  <c r="CK47" i="109"/>
  <c r="DF28" i="109"/>
  <c r="DE28" i="109"/>
  <c r="EJ15" i="109"/>
  <c r="CG15" i="109"/>
  <c r="CX15" i="109"/>
  <c r="ES21" i="109"/>
  <c r="ET21" i="109" s="1"/>
  <c r="BZ21" i="109"/>
  <c r="CA21" i="109" s="1"/>
  <c r="DF17" i="109"/>
  <c r="DE17" i="109"/>
  <c r="CK31" i="109"/>
  <c r="DF41" i="109"/>
  <c r="DE41" i="109"/>
  <c r="CG53" i="109"/>
  <c r="CX53" i="109"/>
  <c r="CG51" i="109"/>
  <c r="CX51" i="109"/>
  <c r="EJ47" i="109"/>
  <c r="CG47" i="109"/>
  <c r="CX47" i="109"/>
  <c r="BV44" i="109"/>
  <c r="DZ44" i="109" s="1"/>
  <c r="EO44" i="109"/>
  <c r="EP44" i="109" s="1"/>
  <c r="CH44" i="109"/>
  <c r="EJ36" i="109"/>
  <c r="CG36" i="109"/>
  <c r="CX36" i="109"/>
  <c r="CG35" i="109"/>
  <c r="EJ35" i="109"/>
  <c r="CX35" i="109"/>
  <c r="EJ13" i="109"/>
  <c r="CG13" i="109"/>
  <c r="CX13" i="109"/>
  <c r="EJ21" i="109"/>
  <c r="CG21" i="109"/>
  <c r="CX21" i="109"/>
  <c r="EJ12" i="109"/>
  <c r="CG12" i="109"/>
  <c r="CX12" i="109"/>
  <c r="EM7" i="109"/>
  <c r="EN7" i="109" s="1"/>
  <c r="CK24" i="109"/>
  <c r="CK44" i="109"/>
  <c r="DF36" i="109"/>
  <c r="DE36" i="109"/>
  <c r="CG33" i="109"/>
  <c r="CX33" i="109"/>
  <c r="EQ23" i="109"/>
  <c r="ER23" i="109" s="1"/>
  <c r="BZ17" i="109"/>
  <c r="CA17" i="109" s="1"/>
  <c r="ES17" i="109"/>
  <c r="ET17" i="109" s="1"/>
  <c r="DF46" i="109"/>
  <c r="DE46" i="109"/>
  <c r="CK8" i="109"/>
  <c r="KK51" i="109"/>
  <c r="HE51" i="109"/>
  <c r="HG51" i="109" s="1"/>
  <c r="GW51" i="109"/>
  <c r="CK51" i="109"/>
  <c r="EQ52" i="109"/>
  <c r="ER52" i="109" s="1"/>
  <c r="EQ46" i="109"/>
  <c r="ER46" i="109" s="1"/>
  <c r="EJ45" i="109"/>
  <c r="CG45" i="109"/>
  <c r="CX45" i="109"/>
  <c r="EM41" i="109"/>
  <c r="EN41" i="109" s="1"/>
  <c r="EQ48" i="109"/>
  <c r="ER48" i="109" s="1"/>
  <c r="EM43" i="109"/>
  <c r="EN43" i="109" s="1"/>
  <c r="EJ30" i="109"/>
  <c r="CG30" i="109"/>
  <c r="CX30" i="109"/>
  <c r="CH17" i="109"/>
  <c r="BV17" i="109"/>
  <c r="DZ17" i="109" s="1"/>
  <c r="EO17" i="109"/>
  <c r="EP17" i="109" s="1"/>
  <c r="CH9" i="109"/>
  <c r="BV9" i="109"/>
  <c r="DZ9" i="109" s="1"/>
  <c r="EO9" i="109"/>
  <c r="EP9" i="109" s="1"/>
  <c r="EO16" i="109"/>
  <c r="EP16" i="109" s="1"/>
  <c r="CH16" i="109"/>
  <c r="BV16" i="109"/>
  <c r="DZ16" i="109" s="1"/>
  <c r="EO8" i="109"/>
  <c r="EP8" i="109" s="1"/>
  <c r="CH8" i="109"/>
  <c r="BV8" i="109"/>
  <c r="DZ8" i="109" s="1"/>
  <c r="CK19" i="109"/>
  <c r="ES10" i="109"/>
  <c r="ET10" i="109" s="1"/>
  <c r="BZ10" i="109"/>
  <c r="CA10" i="109" s="1"/>
  <c r="HG52" i="109"/>
  <c r="DF52" i="109"/>
  <c r="GY52" i="109"/>
  <c r="NC52" i="109"/>
  <c r="DE52" i="109"/>
  <c r="CH38" i="109"/>
  <c r="BV38" i="109"/>
  <c r="DZ38" i="109" s="1"/>
  <c r="EO38" i="109"/>
  <c r="EP38" i="109" s="1"/>
  <c r="EQ32" i="109"/>
  <c r="ER32" i="109" s="1"/>
  <c r="EQ28" i="109"/>
  <c r="ER28" i="109" s="1"/>
  <c r="EM18" i="109"/>
  <c r="EN18" i="109" s="1"/>
  <c r="DF33" i="109"/>
  <c r="DE33" i="109"/>
  <c r="CK18" i="109"/>
  <c r="BR21" i="1"/>
  <c r="BZ21" i="1" s="1"/>
  <c r="CA21" i="1" s="1"/>
  <c r="DL22" i="1"/>
  <c r="DK22" i="1"/>
  <c r="KU22" i="1"/>
  <c r="KW22" i="1" s="1"/>
  <c r="CK22" i="1"/>
  <c r="GU22" i="1"/>
  <c r="GM22" i="1"/>
  <c r="DK20" i="1"/>
  <c r="DL20" i="1"/>
  <c r="GS20" i="1"/>
  <c r="LU20" i="1"/>
  <c r="GR20" i="1"/>
  <c r="LV20" i="1" s="1"/>
  <c r="EF22" i="1"/>
  <c r="BV22" i="1"/>
  <c r="CH22" i="1" s="1"/>
  <c r="KY21" i="1"/>
  <c r="CJ21" i="1"/>
  <c r="GY21" i="1"/>
  <c r="GQ21" i="1"/>
  <c r="CE21" i="1"/>
  <c r="DJ21" i="1"/>
  <c r="CA22" i="1"/>
  <c r="MA22" i="1"/>
  <c r="GZ22" i="1"/>
  <c r="MB22" i="1" s="1"/>
  <c r="HA22" i="1"/>
  <c r="LA20" i="1"/>
  <c r="MG20" i="1"/>
  <c r="CG22" i="1"/>
  <c r="DD22" i="1"/>
  <c r="EF21" i="1"/>
  <c r="GS22" i="1"/>
  <c r="GR22" i="1"/>
  <c r="LV22" i="1" s="1"/>
  <c r="LU22" i="1"/>
  <c r="EF20" i="1"/>
  <c r="BV20" i="1"/>
  <c r="CH20" i="1" s="1"/>
  <c r="MA20" i="1"/>
  <c r="HA20" i="1"/>
  <c r="GZ20" i="1"/>
  <c r="MB20" i="1" s="1"/>
  <c r="CG21" i="1"/>
  <c r="DD21" i="1"/>
  <c r="MG22" i="1"/>
  <c r="KZ22" i="1"/>
  <c r="MH22" i="1" s="1"/>
  <c r="LA22" i="1"/>
  <c r="CG20" i="1"/>
  <c r="DD20" i="1"/>
  <c r="KU20" i="1"/>
  <c r="KW20" i="1" s="1"/>
  <c r="GM20" i="1"/>
  <c r="GU20" i="1"/>
  <c r="CK20" i="1"/>
  <c r="GZ19" i="1"/>
  <c r="MB19" i="1" s="1"/>
  <c r="GZ18" i="1"/>
  <c r="MB18" i="1" s="1"/>
  <c r="GM19" i="1"/>
  <c r="GU19" i="1"/>
  <c r="MA19" i="1"/>
  <c r="GM18" i="1"/>
  <c r="GU18" i="1"/>
  <c r="GR18" i="1"/>
  <c r="LV18" i="1" s="1"/>
  <c r="GR19" i="1"/>
  <c r="LV19" i="1" s="1"/>
  <c r="MA18" i="1"/>
  <c r="CN15" i="10"/>
  <c r="DJ15" i="10" s="1"/>
  <c r="BV16" i="10"/>
  <c r="BX16" i="10" s="1"/>
  <c r="CD16" i="10" s="1"/>
  <c r="CC13" i="10"/>
  <c r="CK13" i="10"/>
  <c r="CK16" i="10"/>
  <c r="DG16" i="10" s="1"/>
  <c r="CC16" i="10"/>
  <c r="CK12" i="10"/>
  <c r="CC12" i="10"/>
  <c r="CN13" i="10"/>
  <c r="DJ13" i="10" s="1"/>
  <c r="CM12" i="10"/>
  <c r="CA12" i="10"/>
  <c r="BV15" i="10"/>
  <c r="BX15" i="10" s="1"/>
  <c r="BR14" i="10"/>
  <c r="BV14" i="10" s="1"/>
  <c r="BX14" i="10" s="1"/>
  <c r="DI13" i="10"/>
  <c r="CK14" i="10"/>
  <c r="DG14" i="10" s="1"/>
  <c r="CC14" i="10"/>
  <c r="CM14" i="10"/>
  <c r="CA14" i="10"/>
  <c r="BV13" i="10"/>
  <c r="BX13" i="10" s="1"/>
  <c r="CM16" i="10"/>
  <c r="CA16" i="10"/>
  <c r="CC15" i="10"/>
  <c r="CK15" i="10"/>
  <c r="BV12" i="10"/>
  <c r="BX12" i="10" s="1"/>
  <c r="BZ8" i="10"/>
  <c r="CA8" i="10" s="1"/>
  <c r="BR8" i="10"/>
  <c r="BV8" i="10" s="1"/>
  <c r="BX8" i="10" s="1"/>
  <c r="CD8" i="10" s="1"/>
  <c r="CE13" i="1"/>
  <c r="CK13" i="1" s="1"/>
  <c r="CJ10" i="1"/>
  <c r="GU10" i="1" s="1"/>
  <c r="DJ10" i="1"/>
  <c r="DL10" i="1" s="1"/>
  <c r="KY13" i="1"/>
  <c r="LA13" i="1" s="1"/>
  <c r="GY10" i="1"/>
  <c r="MA10" i="1" s="1"/>
  <c r="GQ13" i="1"/>
  <c r="GS13" i="1" s="1"/>
  <c r="BV10" i="10"/>
  <c r="BX10" i="10" s="1"/>
  <c r="CD10" i="10" s="1"/>
  <c r="KY10" i="1"/>
  <c r="LA10" i="1" s="1"/>
  <c r="GY13" i="1"/>
  <c r="CK17" i="1"/>
  <c r="GV17" i="1" s="1"/>
  <c r="DJ13" i="1"/>
  <c r="DL13" i="1" s="1"/>
  <c r="CE10" i="1"/>
  <c r="DJ12" i="1"/>
  <c r="DL12" i="1" s="1"/>
  <c r="CJ12" i="1"/>
  <c r="GU12" i="1" s="1"/>
  <c r="CE12" i="1"/>
  <c r="KZ12" i="1" s="1"/>
  <c r="MH12" i="1" s="1"/>
  <c r="GY12" i="1"/>
  <c r="HA12" i="1" s="1"/>
  <c r="CE7" i="1"/>
  <c r="CA11" i="10"/>
  <c r="CN11" i="10" s="1"/>
  <c r="DJ11" i="10" s="1"/>
  <c r="KZ18" i="1"/>
  <c r="MH18" i="1" s="1"/>
  <c r="KY9" i="1"/>
  <c r="MG9" i="1" s="1"/>
  <c r="CK19" i="1"/>
  <c r="GR17" i="1"/>
  <c r="LV17" i="1" s="1"/>
  <c r="KZ17" i="1"/>
  <c r="MH17" i="1" s="1"/>
  <c r="KU17" i="1"/>
  <c r="KW17" i="1" s="1"/>
  <c r="BV18" i="1"/>
  <c r="CH18" i="1" s="1"/>
  <c r="CL18" i="1" s="1"/>
  <c r="GM17" i="1"/>
  <c r="GN17" i="1" s="1"/>
  <c r="GQ12" i="1"/>
  <c r="LU12" i="1" s="1"/>
  <c r="CA18" i="1"/>
  <c r="GZ17" i="1"/>
  <c r="MB17" i="1" s="1"/>
  <c r="KU18" i="1"/>
  <c r="KW18" i="1" s="1"/>
  <c r="ME18" i="1" s="1"/>
  <c r="GQ9" i="1"/>
  <c r="GS9" i="1" s="1"/>
  <c r="DI11" i="10"/>
  <c r="CA9" i="10"/>
  <c r="CM10" i="10"/>
  <c r="DI10" i="10" s="1"/>
  <c r="CA10" i="10"/>
  <c r="CK11" i="10"/>
  <c r="CC11" i="10"/>
  <c r="BV17" i="1"/>
  <c r="CH17" i="1" s="1"/>
  <c r="CL17" i="1" s="1"/>
  <c r="BV19" i="1"/>
  <c r="CH19" i="1" s="1"/>
  <c r="CL19" i="1" s="1"/>
  <c r="DJ9" i="1"/>
  <c r="DL9" i="1" s="1"/>
  <c r="GY9" i="1"/>
  <c r="MA9" i="1" s="1"/>
  <c r="BV11" i="10"/>
  <c r="BX11" i="10" s="1"/>
  <c r="CE9" i="1"/>
  <c r="CK9" i="1" s="1"/>
  <c r="CK8" i="10"/>
  <c r="CC8" i="10"/>
  <c r="CK10" i="10"/>
  <c r="DG10" i="10" s="1"/>
  <c r="CC10" i="10"/>
  <c r="CC9" i="10"/>
  <c r="CK9" i="10"/>
  <c r="DG9" i="10" s="1"/>
  <c r="CK18" i="1"/>
  <c r="BR9" i="10"/>
  <c r="BV9" i="10" s="1"/>
  <c r="BX9" i="10" s="1"/>
  <c r="GQ14" i="1"/>
  <c r="CJ14" i="1"/>
  <c r="GY14" i="1"/>
  <c r="KY14" i="1"/>
  <c r="DJ14" i="1"/>
  <c r="BV10" i="1"/>
  <c r="EF10" i="1"/>
  <c r="CE14" i="1"/>
  <c r="BV12" i="1"/>
  <c r="EF12" i="1"/>
  <c r="EF9" i="1"/>
  <c r="BV9" i="1"/>
  <c r="EF8" i="1"/>
  <c r="BV8" i="1"/>
  <c r="EF14" i="1"/>
  <c r="BV14" i="1"/>
  <c r="CJ7" i="1"/>
  <c r="GY7" i="1"/>
  <c r="GQ7" i="1"/>
  <c r="KY7" i="1"/>
  <c r="DJ7" i="1"/>
  <c r="GU9" i="1"/>
  <c r="GM9" i="1"/>
  <c r="KU9" i="1"/>
  <c r="MG12" i="1"/>
  <c r="LA12" i="1"/>
  <c r="CG10" i="1"/>
  <c r="DD10" i="1"/>
  <c r="CG12" i="1"/>
  <c r="DD12" i="1"/>
  <c r="CG9" i="1"/>
  <c r="DD9" i="1"/>
  <c r="CE8" i="1"/>
  <c r="CG8" i="1"/>
  <c r="DD8" i="1"/>
  <c r="CG14" i="1"/>
  <c r="DD14" i="1"/>
  <c r="EF13" i="1"/>
  <c r="BV13" i="1"/>
  <c r="CJ8" i="1"/>
  <c r="KY8" i="1"/>
  <c r="GY8" i="1"/>
  <c r="GQ8" i="1"/>
  <c r="DJ8" i="1"/>
  <c r="EF7" i="1"/>
  <c r="BV7" i="1"/>
  <c r="CG13" i="1"/>
  <c r="DD13" i="1"/>
  <c r="LU10" i="1"/>
  <c r="GS10" i="1"/>
  <c r="GM13" i="1"/>
  <c r="KU13" i="1"/>
  <c r="GU13" i="1"/>
  <c r="CG7" i="1"/>
  <c r="DD7" i="1"/>
  <c r="GW17" i="1"/>
  <c r="NN14" i="136" l="1"/>
  <c r="NP31" i="136"/>
  <c r="NN33" i="136"/>
  <c r="ES7" i="136"/>
  <c r="ET7" i="136" s="1"/>
  <c r="OO7" i="136"/>
  <c r="OP7" i="136" s="1"/>
  <c r="NN21" i="136"/>
  <c r="NN24" i="136" s="1"/>
  <c r="CB7" i="136"/>
  <c r="NQ7" i="136" s="1"/>
  <c r="CF7" i="136"/>
  <c r="NK7" i="136" s="1"/>
  <c r="NN34" i="136"/>
  <c r="NN35" i="136"/>
  <c r="OB7" i="136"/>
  <c r="DK7" i="136"/>
  <c r="DW7" i="136" s="1"/>
  <c r="EE30" i="136"/>
  <c r="HK7" i="136"/>
  <c r="HM7" i="136" s="1"/>
  <c r="NG7" i="136" s="1"/>
  <c r="EE20" i="136"/>
  <c r="KQ7" i="136"/>
  <c r="CQ7" i="136"/>
  <c r="NP28" i="136"/>
  <c r="EE25" i="136"/>
  <c r="EE12" i="136"/>
  <c r="HL26" i="136"/>
  <c r="KR26" i="136"/>
  <c r="HL17" i="136"/>
  <c r="HD17" i="136"/>
  <c r="HD20" i="136"/>
  <c r="HL27" i="136"/>
  <c r="HL29" i="136"/>
  <c r="HD26" i="136"/>
  <c r="KR17" i="136"/>
  <c r="KR27" i="136"/>
  <c r="KR20" i="136"/>
  <c r="HD10" i="136"/>
  <c r="EE11" i="136"/>
  <c r="HL9" i="136"/>
  <c r="EE27" i="136"/>
  <c r="EE18" i="136"/>
  <c r="NK29" i="136"/>
  <c r="MA26" i="136"/>
  <c r="DZ26" i="136"/>
  <c r="NG12" i="136"/>
  <c r="DV13" i="136"/>
  <c r="NK17" i="136"/>
  <c r="OC17" i="136" s="1"/>
  <c r="HK23" i="136"/>
  <c r="KQ23" i="136"/>
  <c r="HC23" i="136"/>
  <c r="KR12" i="136"/>
  <c r="HL30" i="136"/>
  <c r="HD18" i="136"/>
  <c r="HN18" i="136" s="1"/>
  <c r="HD29" i="136"/>
  <c r="HL25" i="136"/>
  <c r="DX35" i="136"/>
  <c r="DV35" i="136"/>
  <c r="NK12" i="136"/>
  <c r="OC12" i="136" s="1"/>
  <c r="EH37" i="136"/>
  <c r="NO37" i="136"/>
  <c r="EH34" i="136"/>
  <c r="NO34" i="136"/>
  <c r="HM26" i="136"/>
  <c r="MA19" i="136"/>
  <c r="DZ19" i="136"/>
  <c r="MA20" i="136"/>
  <c r="DZ20" i="136"/>
  <c r="HM27" i="136"/>
  <c r="NG27" i="136" s="1"/>
  <c r="HK13" i="136"/>
  <c r="HC13" i="136"/>
  <c r="HE13" i="136" s="1"/>
  <c r="NE13" i="136" s="1"/>
  <c r="KQ13" i="136"/>
  <c r="MA11" i="136"/>
  <c r="DZ11" i="136"/>
  <c r="MU11" i="136" s="1"/>
  <c r="HL12" i="136"/>
  <c r="EE19" i="136"/>
  <c r="DW26" i="136"/>
  <c r="ND26" i="136" s="1"/>
  <c r="NC26" i="136"/>
  <c r="HL20" i="136"/>
  <c r="KR29" i="136"/>
  <c r="ED13" i="136"/>
  <c r="HD25" i="136"/>
  <c r="HN25" i="136" s="1"/>
  <c r="EH32" i="136"/>
  <c r="NO32" i="136"/>
  <c r="DV21" i="136"/>
  <c r="DX21" i="136"/>
  <c r="NK14" i="136"/>
  <c r="NK15" i="136"/>
  <c r="NK35" i="136"/>
  <c r="MA17" i="136"/>
  <c r="DZ17" i="136"/>
  <c r="MA10" i="136"/>
  <c r="DZ10" i="136"/>
  <c r="NG18" i="136"/>
  <c r="NC10" i="136"/>
  <c r="DW10" i="136"/>
  <c r="ND10" i="136" s="1"/>
  <c r="HL10" i="136"/>
  <c r="DV34" i="136"/>
  <c r="DX34" i="136"/>
  <c r="EB36" i="136"/>
  <c r="LY36" i="136"/>
  <c r="NG25" i="136"/>
  <c r="NC29" i="136"/>
  <c r="DW29" i="136"/>
  <c r="ND29" i="136" s="1"/>
  <c r="KQ36" i="136"/>
  <c r="HK36" i="136"/>
  <c r="NK26" i="136"/>
  <c r="DV22" i="136"/>
  <c r="NK10" i="136"/>
  <c r="OC10" i="136" s="1"/>
  <c r="HC7" i="136"/>
  <c r="HG7" i="136" s="1"/>
  <c r="KQ35" i="136"/>
  <c r="HK35" i="136"/>
  <c r="HM35" i="136" s="1"/>
  <c r="NG35" i="136" s="1"/>
  <c r="HC35" i="136"/>
  <c r="HD27" i="136"/>
  <c r="DW12" i="136"/>
  <c r="ND12" i="136" s="1"/>
  <c r="NC12" i="136"/>
  <c r="NC19" i="136"/>
  <c r="DW19" i="136"/>
  <c r="ND19" i="136" s="1"/>
  <c r="DY36" i="136"/>
  <c r="KR10" i="136"/>
  <c r="HK22" i="136"/>
  <c r="KQ22" i="136"/>
  <c r="HC22" i="136"/>
  <c r="NO15" i="136"/>
  <c r="EH15" i="136"/>
  <c r="DV37" i="136"/>
  <c r="DX37" i="136"/>
  <c r="NK20" i="136"/>
  <c r="OC20" i="136" s="1"/>
  <c r="MA9" i="136"/>
  <c r="DZ9" i="136"/>
  <c r="NK9" i="136"/>
  <c r="OC9" i="136" s="1"/>
  <c r="DL35" i="136"/>
  <c r="MA35" i="136" s="1"/>
  <c r="NC30" i="136"/>
  <c r="DW30" i="136"/>
  <c r="ND30" i="136" s="1"/>
  <c r="DV36" i="136"/>
  <c r="HD21" i="136"/>
  <c r="HN21" i="136" s="1"/>
  <c r="DX32" i="136"/>
  <c r="DV32" i="136"/>
  <c r="NK19" i="136"/>
  <c r="OC19" i="136" s="1"/>
  <c r="NP36" i="136"/>
  <c r="DW18" i="136"/>
  <c r="ND18" i="136" s="1"/>
  <c r="NC18" i="136"/>
  <c r="NO35" i="136"/>
  <c r="EH35" i="136"/>
  <c r="DV15" i="136"/>
  <c r="DX15" i="136"/>
  <c r="HE17" i="136"/>
  <c r="KR9" i="136"/>
  <c r="DW17" i="136"/>
  <c r="ND17" i="136" s="1"/>
  <c r="NC17" i="136"/>
  <c r="KR19" i="136"/>
  <c r="KR21" i="136"/>
  <c r="EE17" i="136"/>
  <c r="HD15" i="136"/>
  <c r="EI36" i="136"/>
  <c r="NK32" i="136"/>
  <c r="EH14" i="136"/>
  <c r="NO14" i="136"/>
  <c r="DV14" i="136"/>
  <c r="DX14" i="136"/>
  <c r="HK37" i="136"/>
  <c r="HC37" i="136"/>
  <c r="HE37" i="136" s="1"/>
  <c r="HE40" i="136" s="1"/>
  <c r="HG40" i="136" s="1"/>
  <c r="KQ37" i="136"/>
  <c r="HM17" i="136"/>
  <c r="NK27" i="136"/>
  <c r="OC27" i="136" s="1"/>
  <c r="HD9" i="136"/>
  <c r="EE9" i="136"/>
  <c r="ED16" i="136"/>
  <c r="HL19" i="136"/>
  <c r="HL21" i="136"/>
  <c r="DW20" i="136"/>
  <c r="ND20" i="136" s="1"/>
  <c r="NC20" i="136"/>
  <c r="KR15" i="136"/>
  <c r="NK34" i="136"/>
  <c r="MA27" i="136"/>
  <c r="DZ27" i="136"/>
  <c r="KQ34" i="136"/>
  <c r="HC34" i="136"/>
  <c r="HK34" i="136"/>
  <c r="HM34" i="136" s="1"/>
  <c r="NK21" i="136"/>
  <c r="DV33" i="136"/>
  <c r="NC33" i="136" s="1"/>
  <c r="DX33" i="136"/>
  <c r="MA12" i="136"/>
  <c r="DZ12" i="136"/>
  <c r="NK18" i="136"/>
  <c r="OC18" i="136" s="1"/>
  <c r="MA30" i="136"/>
  <c r="DZ30" i="136"/>
  <c r="EH21" i="136"/>
  <c r="NO21" i="136"/>
  <c r="NO24" i="136" s="1"/>
  <c r="ND9" i="136"/>
  <c r="NC9" i="136"/>
  <c r="KR30" i="136"/>
  <c r="DW27" i="136"/>
  <c r="ND27" i="136" s="1"/>
  <c r="NC27" i="136"/>
  <c r="KR18" i="136"/>
  <c r="HD19" i="136"/>
  <c r="DW11" i="136"/>
  <c r="ND11" i="136" s="1"/>
  <c r="HL15" i="136"/>
  <c r="NO33" i="136"/>
  <c r="EH33" i="136"/>
  <c r="NE26" i="136"/>
  <c r="MA18" i="136"/>
  <c r="HO18" i="136"/>
  <c r="DZ18" i="136"/>
  <c r="DW25" i="136"/>
  <c r="ND25" i="136" s="1"/>
  <c r="NC25" i="136"/>
  <c r="MA29" i="136"/>
  <c r="DZ29" i="136"/>
  <c r="NG21" i="136"/>
  <c r="NE12" i="136"/>
  <c r="NK30" i="136"/>
  <c r="OC30" i="136" s="1"/>
  <c r="NK25" i="136"/>
  <c r="OC25" i="136" s="1"/>
  <c r="MA25" i="136"/>
  <c r="HO25" i="136"/>
  <c r="DZ25" i="136"/>
  <c r="DV23" i="136"/>
  <c r="HK14" i="136"/>
  <c r="KQ14" i="136"/>
  <c r="HC14" i="136"/>
  <c r="HE14" i="136" s="1"/>
  <c r="HC32" i="136"/>
  <c r="HE32" i="136" s="1"/>
  <c r="NE32" i="136" s="1"/>
  <c r="HK32" i="136"/>
  <c r="HM32" i="136" s="1"/>
  <c r="NG32" i="136" s="1"/>
  <c r="KQ32" i="136"/>
  <c r="HD12" i="136"/>
  <c r="ED23" i="136"/>
  <c r="HD30" i="136"/>
  <c r="HL18" i="136"/>
  <c r="EE10" i="136"/>
  <c r="KR25" i="136"/>
  <c r="HC33" i="136"/>
  <c r="HE33" i="136" s="1"/>
  <c r="KQ33" i="136"/>
  <c r="HK33" i="136"/>
  <c r="NK33" i="136"/>
  <c r="HK16" i="136"/>
  <c r="KQ16" i="136"/>
  <c r="HC16" i="136"/>
  <c r="HD11" i="136"/>
  <c r="NK11" i="136"/>
  <c r="OC11" i="136" s="1"/>
  <c r="HL11" i="136"/>
  <c r="KR11" i="136"/>
  <c r="EV7" i="136"/>
  <c r="DL34" i="136"/>
  <c r="CR21" i="136"/>
  <c r="CQ32" i="136"/>
  <c r="EZ7" i="136"/>
  <c r="DK34" i="136"/>
  <c r="DK14" i="136"/>
  <c r="DL14" i="136"/>
  <c r="MA14" i="136" s="1"/>
  <c r="CQ34" i="136"/>
  <c r="CQ14" i="136"/>
  <c r="DK36" i="136"/>
  <c r="DL36" i="136"/>
  <c r="MA36" i="136" s="1"/>
  <c r="DK32" i="136"/>
  <c r="DL32" i="136"/>
  <c r="MA32" i="136" s="1"/>
  <c r="DK15" i="136"/>
  <c r="DL15" i="136"/>
  <c r="HM15" i="136"/>
  <c r="NG15" i="136" s="1"/>
  <c r="EF8" i="136"/>
  <c r="EM8" i="136" s="1"/>
  <c r="NQ8" i="136"/>
  <c r="NR8" i="136" s="1"/>
  <c r="CG17" i="136"/>
  <c r="CG18" i="136"/>
  <c r="CG29" i="136"/>
  <c r="CG15" i="136"/>
  <c r="DK37" i="136"/>
  <c r="DL37" i="136"/>
  <c r="HG37" i="136" s="1"/>
  <c r="CG8" i="136"/>
  <c r="NK8" i="136"/>
  <c r="OC8" i="136" s="1"/>
  <c r="CG30" i="136"/>
  <c r="CG10" i="136"/>
  <c r="CG19" i="136"/>
  <c r="DL33" i="136"/>
  <c r="MA33" i="136" s="1"/>
  <c r="CG12" i="136"/>
  <c r="CG34" i="136"/>
  <c r="CG35" i="136"/>
  <c r="CG11" i="136"/>
  <c r="DK33" i="136"/>
  <c r="CG9" i="136"/>
  <c r="CG26" i="136"/>
  <c r="CG32" i="136"/>
  <c r="CG25" i="136"/>
  <c r="CG27" i="136"/>
  <c r="HL8" i="136"/>
  <c r="CG21" i="136"/>
  <c r="HM30" i="136"/>
  <c r="NG30" i="136" s="1"/>
  <c r="CG20" i="136"/>
  <c r="CQ33" i="136"/>
  <c r="HD8" i="136"/>
  <c r="HE30" i="136"/>
  <c r="NE30" i="136" s="1"/>
  <c r="CQ35" i="136"/>
  <c r="DK35" i="136"/>
  <c r="HE9" i="136"/>
  <c r="KR8" i="136"/>
  <c r="MA7" i="136"/>
  <c r="NA7" i="136" s="1"/>
  <c r="DN7" i="136"/>
  <c r="DZ7" i="136"/>
  <c r="CF23" i="136"/>
  <c r="HG18" i="136"/>
  <c r="KS18" i="136"/>
  <c r="DN18" i="136"/>
  <c r="DM18" i="136"/>
  <c r="MB18" i="136" s="1"/>
  <c r="HE10" i="136"/>
  <c r="NE10" i="136" s="1"/>
  <c r="HE11" i="136"/>
  <c r="NE11" i="136" s="1"/>
  <c r="DL23" i="136"/>
  <c r="DK23" i="136"/>
  <c r="MA8" i="136"/>
  <c r="KS8" i="136"/>
  <c r="HG8" i="136"/>
  <c r="DN8" i="136"/>
  <c r="HO8" i="136"/>
  <c r="DM8" i="136"/>
  <c r="DZ8" i="136"/>
  <c r="DL13" i="136"/>
  <c r="DK13" i="136"/>
  <c r="CQ23" i="136"/>
  <c r="HM9" i="136"/>
  <c r="CQ13" i="136"/>
  <c r="KS19" i="136"/>
  <c r="HG9" i="136"/>
  <c r="KS9" i="136"/>
  <c r="DM9" i="136"/>
  <c r="MB9" i="136" s="1"/>
  <c r="DN9" i="136"/>
  <c r="HO9" i="136"/>
  <c r="NC8" i="136"/>
  <c r="DW8" i="136"/>
  <c r="ND8" i="136" s="1"/>
  <c r="NC7" i="136"/>
  <c r="HM19" i="136"/>
  <c r="KS25" i="136"/>
  <c r="DM25" i="136"/>
  <c r="MB25" i="136" s="1"/>
  <c r="HG25" i="136"/>
  <c r="DN25" i="136"/>
  <c r="EE8" i="136"/>
  <c r="HE19" i="136"/>
  <c r="CF13" i="136"/>
  <c r="HE20" i="136"/>
  <c r="NE20" i="136" s="1"/>
  <c r="BV39" i="109"/>
  <c r="DZ39" i="109" s="1"/>
  <c r="EA39" i="109" s="1"/>
  <c r="DL16" i="136"/>
  <c r="DK16" i="136"/>
  <c r="DW16" i="136" s="1"/>
  <c r="NC16" i="136"/>
  <c r="DM17" i="136"/>
  <c r="MB17" i="136" s="1"/>
  <c r="DN17" i="136"/>
  <c r="DN12" i="136"/>
  <c r="DM12" i="136"/>
  <c r="MB12" i="136" s="1"/>
  <c r="KS12" i="136"/>
  <c r="HM10" i="136"/>
  <c r="NG10" i="136" s="1"/>
  <c r="DN30" i="136"/>
  <c r="DM30" i="136"/>
  <c r="MB30" i="136" s="1"/>
  <c r="KS30" i="136"/>
  <c r="HO30" i="136"/>
  <c r="HG30" i="136"/>
  <c r="HM20" i="136"/>
  <c r="NG20" i="136" s="1"/>
  <c r="HE8" i="136"/>
  <c r="DM19" i="136"/>
  <c r="MB19" i="136" s="1"/>
  <c r="HG19" i="136"/>
  <c r="DN19" i="136"/>
  <c r="HO19" i="136"/>
  <c r="CQ16" i="136"/>
  <c r="DM20" i="136"/>
  <c r="MB20" i="136" s="1"/>
  <c r="HO20" i="136"/>
  <c r="HG20" i="136"/>
  <c r="DN20" i="136"/>
  <c r="KS20" i="136"/>
  <c r="CF16" i="136"/>
  <c r="KS27" i="136"/>
  <c r="DN27" i="136"/>
  <c r="HO27" i="136"/>
  <c r="DM27" i="136"/>
  <c r="MB27" i="136" s="1"/>
  <c r="HG27" i="136"/>
  <c r="HE18" i="136"/>
  <c r="NE18" i="136" s="1"/>
  <c r="DN11" i="136"/>
  <c r="DM11" i="136"/>
  <c r="MB11" i="136" s="1"/>
  <c r="KS11" i="136"/>
  <c r="HO11" i="136"/>
  <c r="HG11" i="136"/>
  <c r="KS10" i="136"/>
  <c r="HG10" i="136"/>
  <c r="DM10" i="136"/>
  <c r="MB10" i="136" s="1"/>
  <c r="DN10" i="136"/>
  <c r="HO10" i="136"/>
  <c r="HM11" i="136"/>
  <c r="NG11" i="136" s="1"/>
  <c r="HM8" i="136"/>
  <c r="HG12" i="136"/>
  <c r="KS17" i="136"/>
  <c r="HE15" i="136"/>
  <c r="NE15" i="136" s="1"/>
  <c r="HO17" i="136"/>
  <c r="HG17" i="136"/>
  <c r="HO12" i="136"/>
  <c r="DH36" i="136"/>
  <c r="DG36" i="136"/>
  <c r="LZ36" i="136" s="1"/>
  <c r="DE37" i="136"/>
  <c r="DF37" i="136"/>
  <c r="KS29" i="136"/>
  <c r="HO29" i="136"/>
  <c r="HG29" i="136"/>
  <c r="KS26" i="136"/>
  <c r="HO26" i="136"/>
  <c r="HG26" i="136"/>
  <c r="HE29" i="136"/>
  <c r="HM29" i="136"/>
  <c r="CG33" i="136"/>
  <c r="CG14" i="136"/>
  <c r="CF36" i="136"/>
  <c r="CQ22" i="136"/>
  <c r="CQ37" i="136"/>
  <c r="CF37" i="136"/>
  <c r="DN26" i="136"/>
  <c r="DM26" i="136"/>
  <c r="MB26" i="136" s="1"/>
  <c r="MB28" i="136" s="1"/>
  <c r="CO21" i="136"/>
  <c r="NT21" i="136" s="1"/>
  <c r="DL22" i="136"/>
  <c r="DK22" i="136"/>
  <c r="CR22" i="136"/>
  <c r="ND52" i="109"/>
  <c r="CQ36" i="136"/>
  <c r="HD36" i="136" s="1"/>
  <c r="DE21" i="136"/>
  <c r="DF21" i="136"/>
  <c r="HF7" i="109"/>
  <c r="CR29" i="136"/>
  <c r="CR32" i="136"/>
  <c r="CO32" i="136"/>
  <c r="NT32" i="136" s="1"/>
  <c r="DN29" i="136"/>
  <c r="DM29" i="136"/>
  <c r="DF15" i="136"/>
  <c r="DE15" i="136"/>
  <c r="DF35" i="136"/>
  <c r="DE35" i="136"/>
  <c r="DE32" i="136"/>
  <c r="DF32" i="136"/>
  <c r="CR36" i="136"/>
  <c r="CR33" i="136"/>
  <c r="CO33" i="136"/>
  <c r="NT33" i="136" s="1"/>
  <c r="DE14" i="136"/>
  <c r="DF14" i="136"/>
  <c r="CO34" i="136"/>
  <c r="NT34" i="136" s="1"/>
  <c r="CR34" i="136"/>
  <c r="KL51" i="109"/>
  <c r="DM21" i="136"/>
  <c r="MB21" i="136" s="1"/>
  <c r="HO21" i="136"/>
  <c r="KS21" i="136"/>
  <c r="HG21" i="136"/>
  <c r="DN21" i="136"/>
  <c r="CO37" i="136"/>
  <c r="NT37" i="136" s="1"/>
  <c r="CR37" i="136"/>
  <c r="DF33" i="136"/>
  <c r="DE33" i="136"/>
  <c r="CO15" i="136"/>
  <c r="NT15" i="136" s="1"/>
  <c r="CR15" i="136"/>
  <c r="HE21" i="136"/>
  <c r="CR35" i="136"/>
  <c r="CO35" i="136"/>
  <c r="NT35" i="136" s="1"/>
  <c r="CF22" i="136"/>
  <c r="DF34" i="136"/>
  <c r="DE34" i="136"/>
  <c r="CO14" i="136"/>
  <c r="NT14" i="136" s="1"/>
  <c r="CR14" i="136"/>
  <c r="CR26" i="136"/>
  <c r="KL53" i="109"/>
  <c r="GX52" i="109"/>
  <c r="EM32" i="109"/>
  <c r="EN32" i="109" s="1"/>
  <c r="CK45" i="109"/>
  <c r="ND53" i="109"/>
  <c r="KL7" i="109"/>
  <c r="ES32" i="109"/>
  <c r="ET32" i="109" s="1"/>
  <c r="BV32" i="109"/>
  <c r="DZ32" i="109" s="1"/>
  <c r="EA32" i="109" s="1"/>
  <c r="KL35" i="109"/>
  <c r="EJ48" i="109"/>
  <c r="CK22" i="109"/>
  <c r="CK15" i="109"/>
  <c r="GX35" i="109"/>
  <c r="HH35" i="109" s="1"/>
  <c r="BZ32" i="109"/>
  <c r="CA32" i="109" s="1"/>
  <c r="EA17" i="109"/>
  <c r="ED17" i="109"/>
  <c r="EG17" i="109"/>
  <c r="DP45" i="109"/>
  <c r="CZ45" i="109"/>
  <c r="DR45" i="109"/>
  <c r="CY45" i="109"/>
  <c r="DH41" i="109"/>
  <c r="DG41" i="109"/>
  <c r="LU41" i="109"/>
  <c r="DR43" i="109"/>
  <c r="DP43" i="109"/>
  <c r="CZ43" i="109"/>
  <c r="CY43" i="109"/>
  <c r="CI12" i="109"/>
  <c r="EB12" i="109"/>
  <c r="CL12" i="109"/>
  <c r="EB35" i="109"/>
  <c r="CI35" i="109"/>
  <c r="CL35" i="109"/>
  <c r="EA47" i="109"/>
  <c r="ED47" i="109"/>
  <c r="EG47" i="109"/>
  <c r="EG7" i="109"/>
  <c r="EA7" i="109"/>
  <c r="ED7" i="109"/>
  <c r="ED40" i="109"/>
  <c r="EG40" i="109"/>
  <c r="EA40" i="109"/>
  <c r="NA51" i="109"/>
  <c r="CI33" i="109"/>
  <c r="EB33" i="109"/>
  <c r="CL33" i="109"/>
  <c r="EA10" i="109"/>
  <c r="ED10" i="109"/>
  <c r="EG10" i="109"/>
  <c r="EG26" i="109"/>
  <c r="EA26" i="109"/>
  <c r="ED26" i="109"/>
  <c r="ED29" i="109"/>
  <c r="EG29" i="109"/>
  <c r="EA29" i="109"/>
  <c r="EB38" i="109"/>
  <c r="CL38" i="109"/>
  <c r="CI38" i="109"/>
  <c r="LU52" i="109"/>
  <c r="KM52" i="109"/>
  <c r="HA52" i="109"/>
  <c r="DH52" i="109"/>
  <c r="DG52" i="109"/>
  <c r="HI52" i="109"/>
  <c r="MU52" i="109"/>
  <c r="EG16" i="109"/>
  <c r="EA16" i="109"/>
  <c r="ED16" i="109"/>
  <c r="EA9" i="109"/>
  <c r="ED9" i="109"/>
  <c r="EG9" i="109"/>
  <c r="EB17" i="109"/>
  <c r="CL17" i="109"/>
  <c r="CI17" i="109"/>
  <c r="DP21" i="109"/>
  <c r="CZ21" i="109"/>
  <c r="DR21" i="109"/>
  <c r="CY21" i="109"/>
  <c r="CI44" i="109"/>
  <c r="EB44" i="109"/>
  <c r="CL44" i="109"/>
  <c r="DR53" i="109"/>
  <c r="DP53" i="109"/>
  <c r="CZ53" i="109"/>
  <c r="CY53" i="109"/>
  <c r="DR18" i="109"/>
  <c r="DP18" i="109"/>
  <c r="CZ18" i="109"/>
  <c r="CY18" i="109"/>
  <c r="EG30" i="109"/>
  <c r="EA30" i="109"/>
  <c r="ED30" i="109"/>
  <c r="ES45" i="109"/>
  <c r="ET45" i="109" s="1"/>
  <c r="BZ45" i="109"/>
  <c r="CA45" i="109" s="1"/>
  <c r="EM45" i="109"/>
  <c r="EN45" i="109" s="1"/>
  <c r="EA35" i="109"/>
  <c r="ED35" i="109"/>
  <c r="EG35" i="109"/>
  <c r="DH26" i="109"/>
  <c r="LU26" i="109"/>
  <c r="DG26" i="109"/>
  <c r="EB39" i="109"/>
  <c r="CL39" i="109"/>
  <c r="CI39" i="109"/>
  <c r="DH21" i="109"/>
  <c r="DG21" i="109"/>
  <c r="LU21" i="109"/>
  <c r="CI11" i="109"/>
  <c r="EB11" i="109"/>
  <c r="CL11" i="109"/>
  <c r="DR29" i="109"/>
  <c r="DP29" i="109"/>
  <c r="CZ29" i="109"/>
  <c r="CY29" i="109"/>
  <c r="EA31" i="109"/>
  <c r="ED31" i="109"/>
  <c r="EG31" i="109"/>
  <c r="DH44" i="109"/>
  <c r="LU44" i="109"/>
  <c r="DG44" i="109"/>
  <c r="CI7" i="109"/>
  <c r="EB7" i="109"/>
  <c r="CL7" i="109"/>
  <c r="EA18" i="109"/>
  <c r="ED18" i="109"/>
  <c r="EG18" i="109"/>
  <c r="DR32" i="109"/>
  <c r="DP32" i="109"/>
  <c r="CZ32" i="109"/>
  <c r="CY32" i="109"/>
  <c r="CI43" i="109"/>
  <c r="EB43" i="109"/>
  <c r="CL43" i="109"/>
  <c r="HI51" i="109"/>
  <c r="HA51" i="109"/>
  <c r="DH51" i="109"/>
  <c r="LU51" i="109"/>
  <c r="DG51" i="109"/>
  <c r="KM51" i="109"/>
  <c r="MU51" i="109"/>
  <c r="DP23" i="109"/>
  <c r="CZ23" i="109"/>
  <c r="DR23" i="109"/>
  <c r="CY23" i="109"/>
  <c r="DP38" i="109"/>
  <c r="CZ38" i="109"/>
  <c r="DR38" i="109"/>
  <c r="CY38" i="109"/>
  <c r="LU10" i="109"/>
  <c r="DG10" i="109"/>
  <c r="DH10" i="109"/>
  <c r="DP17" i="109"/>
  <c r="CZ17" i="109"/>
  <c r="DR17" i="109"/>
  <c r="CY17" i="109"/>
  <c r="EA46" i="109"/>
  <c r="EG46" i="109"/>
  <c r="ED46" i="109"/>
  <c r="NA53" i="109"/>
  <c r="EG37" i="109"/>
  <c r="EA37" i="109"/>
  <c r="ED37" i="109"/>
  <c r="DH30" i="109"/>
  <c r="LU30" i="109"/>
  <c r="DG30" i="109"/>
  <c r="DH11" i="109"/>
  <c r="LU11" i="109"/>
  <c r="DG11" i="109"/>
  <c r="CI15" i="109"/>
  <c r="EB15" i="109"/>
  <c r="CL15" i="109"/>
  <c r="CK32" i="109"/>
  <c r="DP42" i="109"/>
  <c r="CZ42" i="109"/>
  <c r="DR42" i="109"/>
  <c r="CY42" i="109"/>
  <c r="CK23" i="109"/>
  <c r="CI25" i="109"/>
  <c r="EB25" i="109"/>
  <c r="CL25" i="109"/>
  <c r="CI26" i="109"/>
  <c r="EB26" i="109"/>
  <c r="CL26" i="109"/>
  <c r="EB27" i="109"/>
  <c r="CL27" i="109"/>
  <c r="CI27" i="109"/>
  <c r="DP31" i="109"/>
  <c r="CZ31" i="109"/>
  <c r="DR31" i="109"/>
  <c r="CY31" i="109"/>
  <c r="EA42" i="109"/>
  <c r="EG42" i="109"/>
  <c r="ED42" i="109"/>
  <c r="DH16" i="109"/>
  <c r="LU16" i="109"/>
  <c r="DG16" i="109"/>
  <c r="DH9" i="109"/>
  <c r="LU9" i="109"/>
  <c r="DG9" i="109"/>
  <c r="GZ52" i="109"/>
  <c r="MY52" i="109"/>
  <c r="DP13" i="109"/>
  <c r="CZ13" i="109"/>
  <c r="DR13" i="109"/>
  <c r="CY13" i="109"/>
  <c r="DP41" i="109"/>
  <c r="CZ41" i="109"/>
  <c r="DR41" i="109"/>
  <c r="CY41" i="109"/>
  <c r="CI19" i="109"/>
  <c r="EB19" i="109"/>
  <c r="CL19" i="109"/>
  <c r="DH31" i="109"/>
  <c r="LU31" i="109"/>
  <c r="DG31" i="109"/>
  <c r="DR11" i="109"/>
  <c r="DP11" i="109"/>
  <c r="CZ11" i="109"/>
  <c r="CY11" i="109"/>
  <c r="ED32" i="109"/>
  <c r="DP8" i="109"/>
  <c r="CZ8" i="109"/>
  <c r="DR8" i="109"/>
  <c r="CY8" i="109"/>
  <c r="CI48" i="109"/>
  <c r="EB48" i="109"/>
  <c r="CL48" i="109"/>
  <c r="CI52" i="109"/>
  <c r="EB52" i="109"/>
  <c r="CL52" i="109"/>
  <c r="DP22" i="109"/>
  <c r="CZ22" i="109"/>
  <c r="DR22" i="109"/>
  <c r="CY22" i="109"/>
  <c r="CI22" i="109"/>
  <c r="EB22" i="109"/>
  <c r="CL22" i="109"/>
  <c r="HH52" i="109"/>
  <c r="NA52" i="109"/>
  <c r="EG8" i="109"/>
  <c r="EA8" i="109"/>
  <c r="ED8" i="109"/>
  <c r="CI16" i="109"/>
  <c r="EB16" i="109"/>
  <c r="CL16" i="109"/>
  <c r="EB9" i="109"/>
  <c r="CL9" i="109"/>
  <c r="CI9" i="109"/>
  <c r="DP30" i="109"/>
  <c r="CZ30" i="109"/>
  <c r="DR30" i="109"/>
  <c r="CY30" i="109"/>
  <c r="GX51" i="109"/>
  <c r="HH51" i="109" s="1"/>
  <c r="DH36" i="109"/>
  <c r="LU36" i="109"/>
  <c r="DG36" i="109"/>
  <c r="DP12" i="109"/>
  <c r="CZ12" i="109"/>
  <c r="DR12" i="109"/>
  <c r="CY12" i="109"/>
  <c r="DR36" i="109"/>
  <c r="DP36" i="109"/>
  <c r="CZ36" i="109"/>
  <c r="CY36" i="109"/>
  <c r="DR15" i="109"/>
  <c r="DP15" i="109"/>
  <c r="CZ15" i="109"/>
  <c r="CY15" i="109"/>
  <c r="ES15" i="109"/>
  <c r="ET15" i="109" s="1"/>
  <c r="BZ15" i="109"/>
  <c r="CA15" i="109" s="1"/>
  <c r="EM15" i="109"/>
  <c r="EN15" i="109" s="1"/>
  <c r="CI30" i="109"/>
  <c r="EB30" i="109"/>
  <c r="CL30" i="109"/>
  <c r="CK39" i="109"/>
  <c r="DH25" i="109"/>
  <c r="LU25" i="109"/>
  <c r="DG25" i="109"/>
  <c r="GX53" i="109"/>
  <c r="HH53" i="109" s="1"/>
  <c r="EJ19" i="109"/>
  <c r="EG21" i="109"/>
  <c r="EA21" i="109"/>
  <c r="ED21" i="109"/>
  <c r="EA13" i="109"/>
  <c r="ED13" i="109"/>
  <c r="EG13" i="109"/>
  <c r="CI51" i="109"/>
  <c r="EB51" i="109"/>
  <c r="CL51" i="109"/>
  <c r="CI53" i="109"/>
  <c r="EB53" i="109"/>
  <c r="CL53" i="109"/>
  <c r="BZ23" i="109"/>
  <c r="CA23" i="109" s="1"/>
  <c r="ES23" i="109"/>
  <c r="ET23" i="109" s="1"/>
  <c r="EM23" i="109"/>
  <c r="EN23" i="109" s="1"/>
  <c r="CI14" i="109"/>
  <c r="EB14" i="109"/>
  <c r="CL14" i="109"/>
  <c r="EG19" i="109"/>
  <c r="EA19" i="109"/>
  <c r="EB31" i="109"/>
  <c r="CL31" i="109"/>
  <c r="CI31" i="109"/>
  <c r="DH37" i="109"/>
  <c r="LU37" i="109"/>
  <c r="DG37" i="109"/>
  <c r="DF15" i="109"/>
  <c r="DE15" i="109"/>
  <c r="DH12" i="109"/>
  <c r="LU12" i="109"/>
  <c r="DG12" i="109"/>
  <c r="CI40" i="109"/>
  <c r="EB40" i="109"/>
  <c r="CL40" i="109"/>
  <c r="DG40" i="109"/>
  <c r="LU40" i="109"/>
  <c r="DH40" i="109"/>
  <c r="DH42" i="109"/>
  <c r="LU42" i="109"/>
  <c r="DG42" i="109"/>
  <c r="DP28" i="109"/>
  <c r="CZ28" i="109"/>
  <c r="DR28" i="109"/>
  <c r="CY28" i="109"/>
  <c r="KL52" i="109"/>
  <c r="DH19" i="109"/>
  <c r="LU19" i="109"/>
  <c r="DG19" i="109"/>
  <c r="DP46" i="109"/>
  <c r="CZ46" i="109"/>
  <c r="DR46" i="109"/>
  <c r="CY46" i="109"/>
  <c r="GY51" i="109"/>
  <c r="LU47" i="109"/>
  <c r="DG47" i="109"/>
  <c r="DH47" i="109"/>
  <c r="CI32" i="109"/>
  <c r="EB32" i="109"/>
  <c r="CL32" i="109"/>
  <c r="ES39" i="109"/>
  <c r="ET39" i="109" s="1"/>
  <c r="BZ39" i="109"/>
  <c r="CA39" i="109" s="1"/>
  <c r="EM39" i="109"/>
  <c r="EN39" i="109" s="1"/>
  <c r="DP9" i="109"/>
  <c r="CZ9" i="109"/>
  <c r="DR9" i="109"/>
  <c r="CY9" i="109"/>
  <c r="EA48" i="109"/>
  <c r="ED48" i="109"/>
  <c r="EG48" i="109"/>
  <c r="CI45" i="109"/>
  <c r="EB45" i="109"/>
  <c r="CL45" i="109"/>
  <c r="EG52" i="109"/>
  <c r="ED52" i="109"/>
  <c r="EA52" i="109"/>
  <c r="BV23" i="109"/>
  <c r="DZ23" i="109" s="1"/>
  <c r="ED33" i="109"/>
  <c r="EG33" i="109"/>
  <c r="EA33" i="109"/>
  <c r="DG53" i="109"/>
  <c r="HI53" i="109"/>
  <c r="HA53" i="109"/>
  <c r="KM53" i="109"/>
  <c r="DH53" i="109"/>
  <c r="LU53" i="109"/>
  <c r="MU53" i="109"/>
  <c r="CI36" i="109"/>
  <c r="EB36" i="109"/>
  <c r="CL36" i="109"/>
  <c r="CI37" i="109"/>
  <c r="EB37" i="109"/>
  <c r="CL37" i="109"/>
  <c r="CI10" i="109"/>
  <c r="EB10" i="109"/>
  <c r="CL10" i="109"/>
  <c r="EO15" i="109"/>
  <c r="EP15" i="109" s="1"/>
  <c r="DP27" i="109"/>
  <c r="CZ27" i="109"/>
  <c r="DR27" i="109"/>
  <c r="CY27" i="109"/>
  <c r="DR40" i="109"/>
  <c r="DP40" i="109"/>
  <c r="CZ40" i="109"/>
  <c r="CY40" i="109"/>
  <c r="LU48" i="109"/>
  <c r="DG48" i="109"/>
  <c r="DH48" i="109"/>
  <c r="DR39" i="109"/>
  <c r="DP39" i="109"/>
  <c r="CZ39" i="109"/>
  <c r="CY39" i="109"/>
  <c r="DR14" i="109"/>
  <c r="DP14" i="109"/>
  <c r="CZ14" i="109"/>
  <c r="CY14" i="109"/>
  <c r="CI24" i="109"/>
  <c r="EB24" i="109"/>
  <c r="CL24" i="109"/>
  <c r="CI29" i="109"/>
  <c r="EB29" i="109"/>
  <c r="CL29" i="109"/>
  <c r="EA38" i="109"/>
  <c r="ED38" i="109"/>
  <c r="EG38" i="109"/>
  <c r="DR47" i="109"/>
  <c r="DP47" i="109"/>
  <c r="CZ47" i="109"/>
  <c r="CY47" i="109"/>
  <c r="DH13" i="109"/>
  <c r="LU13" i="109"/>
  <c r="DG13" i="109"/>
  <c r="DR52" i="109"/>
  <c r="DP52" i="109"/>
  <c r="CZ52" i="109"/>
  <c r="CY52" i="109"/>
  <c r="DF39" i="109"/>
  <c r="DE39" i="109"/>
  <c r="ES22" i="109"/>
  <c r="ET22" i="109" s="1"/>
  <c r="BZ22" i="109"/>
  <c r="CA22" i="109" s="1"/>
  <c r="EM22" i="109"/>
  <c r="EN22" i="109" s="1"/>
  <c r="DP7" i="109"/>
  <c r="CZ7" i="109"/>
  <c r="DR7" i="109"/>
  <c r="CY7" i="109"/>
  <c r="DR44" i="109"/>
  <c r="DP44" i="109"/>
  <c r="CZ44" i="109"/>
  <c r="CY44" i="109"/>
  <c r="EA14" i="109"/>
  <c r="ED14" i="109"/>
  <c r="EG14" i="109"/>
  <c r="DR25" i="109"/>
  <c r="DP25" i="109"/>
  <c r="CZ25" i="109"/>
  <c r="CY25" i="109"/>
  <c r="DP37" i="109"/>
  <c r="CZ37" i="109"/>
  <c r="DR37" i="109"/>
  <c r="CY37" i="109"/>
  <c r="LU35" i="109"/>
  <c r="KM35" i="109"/>
  <c r="HA35" i="109"/>
  <c r="HI35" i="109"/>
  <c r="DG35" i="109"/>
  <c r="DH35" i="109"/>
  <c r="LU18" i="109"/>
  <c r="DG18" i="109"/>
  <c r="DH18" i="109"/>
  <c r="DR48" i="109"/>
  <c r="DP48" i="109"/>
  <c r="CZ48" i="109"/>
  <c r="CY48" i="109"/>
  <c r="EB28" i="109"/>
  <c r="CL28" i="109"/>
  <c r="CI28" i="109"/>
  <c r="CI41" i="109"/>
  <c r="EB41" i="109"/>
  <c r="CL41" i="109"/>
  <c r="DH29" i="109"/>
  <c r="LU29" i="109"/>
  <c r="DG29" i="109"/>
  <c r="ED36" i="109"/>
  <c r="EG36" i="109"/>
  <c r="EA36" i="109"/>
  <c r="HG7" i="109"/>
  <c r="EA24" i="109"/>
  <c r="ED24" i="109"/>
  <c r="EG24" i="109"/>
  <c r="EA27" i="109"/>
  <c r="ED27" i="109"/>
  <c r="EG27" i="109"/>
  <c r="DH33" i="109"/>
  <c r="LU33" i="109"/>
  <c r="DG33" i="109"/>
  <c r="CI8" i="109"/>
  <c r="EB8" i="109"/>
  <c r="CL8" i="109"/>
  <c r="HF51" i="109"/>
  <c r="DH46" i="109"/>
  <c r="LU46" i="109"/>
  <c r="DG46" i="109"/>
  <c r="DR33" i="109"/>
  <c r="DP33" i="109"/>
  <c r="CZ33" i="109"/>
  <c r="CY33" i="109"/>
  <c r="EJ33" i="109"/>
  <c r="DR35" i="109"/>
  <c r="DP35" i="109"/>
  <c r="CZ35" i="109"/>
  <c r="CY35" i="109"/>
  <c r="ED44" i="109"/>
  <c r="EG44" i="109"/>
  <c r="EA44" i="109"/>
  <c r="DR51" i="109"/>
  <c r="DP51" i="109"/>
  <c r="CZ51" i="109"/>
  <c r="CY51" i="109"/>
  <c r="DH17" i="109"/>
  <c r="LU17" i="109"/>
  <c r="DG17" i="109"/>
  <c r="LU28" i="109"/>
  <c r="DH28" i="109"/>
  <c r="DG28" i="109"/>
  <c r="DH8" i="109"/>
  <c r="LU8" i="109"/>
  <c r="DG8" i="109"/>
  <c r="HF53" i="109"/>
  <c r="LU14" i="109"/>
  <c r="DG14" i="109"/>
  <c r="DH14" i="109"/>
  <c r="EG12" i="109"/>
  <c r="EA12" i="109"/>
  <c r="ED12" i="109"/>
  <c r="CI21" i="109"/>
  <c r="EB21" i="109"/>
  <c r="CL21" i="109"/>
  <c r="EB13" i="109"/>
  <c r="CL13" i="109"/>
  <c r="CI13" i="109"/>
  <c r="EB47" i="109"/>
  <c r="CL47" i="109"/>
  <c r="CI47" i="109"/>
  <c r="ED51" i="109"/>
  <c r="EG51" i="109"/>
  <c r="EA51" i="109"/>
  <c r="EA53" i="109"/>
  <c r="ED53" i="109"/>
  <c r="EG53" i="109"/>
  <c r="DF22" i="109"/>
  <c r="DE22" i="109"/>
  <c r="ED11" i="109"/>
  <c r="EG11" i="109"/>
  <c r="EA11" i="109"/>
  <c r="DF45" i="109"/>
  <c r="DE45" i="109"/>
  <c r="LU24" i="109"/>
  <c r="DG24" i="109"/>
  <c r="DH24" i="109"/>
  <c r="DR10" i="109"/>
  <c r="DP10" i="109"/>
  <c r="CZ10" i="109"/>
  <c r="CY10" i="109"/>
  <c r="DH27" i="109"/>
  <c r="LU27" i="109"/>
  <c r="DG27" i="109"/>
  <c r="DR19" i="109"/>
  <c r="DP19" i="109"/>
  <c r="CZ19" i="109"/>
  <c r="CY19" i="109"/>
  <c r="CI18" i="109"/>
  <c r="EB18" i="109"/>
  <c r="CL18" i="109"/>
  <c r="HF52" i="109"/>
  <c r="EA43" i="109"/>
  <c r="ED43" i="109"/>
  <c r="EG43" i="109"/>
  <c r="ND51" i="109"/>
  <c r="EA28" i="109"/>
  <c r="EG28" i="109"/>
  <c r="ED28" i="109"/>
  <c r="DP16" i="109"/>
  <c r="CZ16" i="109"/>
  <c r="DR16" i="109"/>
  <c r="CY16" i="109"/>
  <c r="EG41" i="109"/>
  <c r="ED41" i="109"/>
  <c r="EA41" i="109"/>
  <c r="BV45" i="109"/>
  <c r="DZ45" i="109" s="1"/>
  <c r="EB46" i="109"/>
  <c r="CL46" i="109"/>
  <c r="CI46" i="109"/>
  <c r="EB23" i="109"/>
  <c r="CL23" i="109"/>
  <c r="CI23" i="109"/>
  <c r="GY53" i="109"/>
  <c r="LU43" i="109"/>
  <c r="DG43" i="109"/>
  <c r="DH43" i="109"/>
  <c r="BV15" i="109"/>
  <c r="DZ15" i="109" s="1"/>
  <c r="DF32" i="109"/>
  <c r="DE32" i="109"/>
  <c r="GX7" i="109"/>
  <c r="GZ7" i="109" s="1"/>
  <c r="DR24" i="109"/>
  <c r="DP24" i="109"/>
  <c r="CZ24" i="109"/>
  <c r="CY24" i="109"/>
  <c r="DP26" i="109"/>
  <c r="CZ26" i="109"/>
  <c r="DR26" i="109"/>
  <c r="CY26" i="109"/>
  <c r="BV22" i="109"/>
  <c r="DZ22" i="109" s="1"/>
  <c r="DF23" i="109"/>
  <c r="DE23" i="109"/>
  <c r="LU7" i="109"/>
  <c r="HI7" i="109"/>
  <c r="DH7" i="109"/>
  <c r="KM7" i="109"/>
  <c r="HA7" i="109"/>
  <c r="DG7" i="109"/>
  <c r="ED25" i="109"/>
  <c r="EG25" i="109"/>
  <c r="EA25" i="109"/>
  <c r="EB42" i="109"/>
  <c r="CL42" i="109"/>
  <c r="CI42" i="109"/>
  <c r="DH38" i="109"/>
  <c r="LU38" i="109"/>
  <c r="DG38" i="109"/>
  <c r="HF35" i="109"/>
  <c r="CI22" i="1"/>
  <c r="EG22" i="1" s="1"/>
  <c r="BV21" i="1"/>
  <c r="CH21" i="1" s="1"/>
  <c r="EH21" i="1" s="1"/>
  <c r="DE20" i="1"/>
  <c r="GO20" i="1"/>
  <c r="GN20" i="1"/>
  <c r="EH20" i="1"/>
  <c r="CL20" i="1"/>
  <c r="CI20" i="1"/>
  <c r="EG20" i="1" s="1"/>
  <c r="LW22" i="1"/>
  <c r="GT22" i="1"/>
  <c r="LX22" i="1" s="1"/>
  <c r="HB22" i="1"/>
  <c r="MD22" i="1" s="1"/>
  <c r="MC22" i="1"/>
  <c r="GZ21" i="1"/>
  <c r="MB21" i="1" s="1"/>
  <c r="HA21" i="1"/>
  <c r="MA21" i="1"/>
  <c r="MB24" i="1" s="1"/>
  <c r="KV22" i="1"/>
  <c r="KX22" i="1" s="1"/>
  <c r="MF22" i="1" s="1"/>
  <c r="LU21" i="1"/>
  <c r="LU24" i="1" s="1"/>
  <c r="GS21" i="1"/>
  <c r="GR21" i="1"/>
  <c r="LV21" i="1" s="1"/>
  <c r="LI22" i="1"/>
  <c r="DN22" i="1"/>
  <c r="EJ20" i="1"/>
  <c r="LB20" i="1"/>
  <c r="MJ20" i="1" s="1"/>
  <c r="MI20" i="1"/>
  <c r="CK21" i="1"/>
  <c r="KU21" i="1"/>
  <c r="GU21" i="1"/>
  <c r="GM21" i="1"/>
  <c r="ME22" i="1"/>
  <c r="GW20" i="1"/>
  <c r="GV20" i="1"/>
  <c r="MI22" i="1"/>
  <c r="LB22" i="1"/>
  <c r="MJ22" i="1" s="1"/>
  <c r="EJ21" i="1"/>
  <c r="DF22" i="1"/>
  <c r="DE22" i="1"/>
  <c r="DV22" i="1"/>
  <c r="DX22" i="1"/>
  <c r="LI20" i="1"/>
  <c r="DN20" i="1"/>
  <c r="DM20" i="1"/>
  <c r="GW22" i="1"/>
  <c r="GV22" i="1"/>
  <c r="ME20" i="1"/>
  <c r="DV21" i="1"/>
  <c r="DK21" i="1"/>
  <c r="DL21" i="1"/>
  <c r="CL22" i="1"/>
  <c r="EH22" i="1"/>
  <c r="KV20" i="1"/>
  <c r="KX20" i="1" s="1"/>
  <c r="MF20" i="1" s="1"/>
  <c r="DX20" i="1"/>
  <c r="DY20" i="1" s="1"/>
  <c r="DF20" i="1"/>
  <c r="DV20" i="1"/>
  <c r="DE21" i="1"/>
  <c r="DF21" i="1"/>
  <c r="DX21" i="1"/>
  <c r="HB20" i="1"/>
  <c r="MD20" i="1" s="1"/>
  <c r="MC20" i="1"/>
  <c r="MG21" i="1"/>
  <c r="LA21" i="1"/>
  <c r="KZ21" i="1"/>
  <c r="MH21" i="1" s="1"/>
  <c r="EJ22" i="1"/>
  <c r="LW20" i="1"/>
  <c r="GT20" i="1"/>
  <c r="LX20" i="1" s="1"/>
  <c r="GO22" i="1"/>
  <c r="GN22" i="1"/>
  <c r="DM22" i="1"/>
  <c r="GW19" i="1"/>
  <c r="GV19" i="1"/>
  <c r="GW18" i="1"/>
  <c r="GV18" i="1"/>
  <c r="GN19" i="1"/>
  <c r="GO19" i="1"/>
  <c r="GO18" i="1"/>
  <c r="GN18" i="1"/>
  <c r="BY16" i="10"/>
  <c r="DA16" i="10" s="1"/>
  <c r="CN16" i="10"/>
  <c r="DJ16" i="10" s="1"/>
  <c r="CL16" i="10"/>
  <c r="DH16" i="10" s="1"/>
  <c r="DG15" i="10"/>
  <c r="DH22" i="10" s="1"/>
  <c r="CL15" i="10"/>
  <c r="DH15" i="10" s="1"/>
  <c r="CD13" i="10"/>
  <c r="BY13" i="10"/>
  <c r="CD15" i="10"/>
  <c r="BY15" i="10"/>
  <c r="CN14" i="10"/>
  <c r="DJ14" i="10" s="1"/>
  <c r="CN12" i="10"/>
  <c r="DJ12" i="10" s="1"/>
  <c r="DG12" i="10"/>
  <c r="CL12" i="10"/>
  <c r="DH12" i="10" s="1"/>
  <c r="CZ16" i="10"/>
  <c r="CO16" i="10"/>
  <c r="CH16" i="10"/>
  <c r="DI14" i="10"/>
  <c r="DI12" i="10"/>
  <c r="DG13" i="10"/>
  <c r="CL13" i="10"/>
  <c r="DH13" i="10" s="1"/>
  <c r="CD12" i="10"/>
  <c r="CF12" i="10" s="1"/>
  <c r="BY12" i="10"/>
  <c r="DI16" i="10"/>
  <c r="CF16" i="10"/>
  <c r="CL14" i="10"/>
  <c r="DH14" i="10" s="1"/>
  <c r="CD14" i="10"/>
  <c r="CF14" i="10" s="1"/>
  <c r="BY14" i="10"/>
  <c r="CM8" i="10"/>
  <c r="CN8" i="10" s="1"/>
  <c r="DJ8" i="10" s="1"/>
  <c r="CK12" i="1"/>
  <c r="GV12" i="1" s="1"/>
  <c r="GR13" i="1"/>
  <c r="LV13" i="1" s="1"/>
  <c r="DG8" i="10"/>
  <c r="CZ8" i="10"/>
  <c r="MG13" i="1"/>
  <c r="KZ13" i="1"/>
  <c r="MH13" i="1" s="1"/>
  <c r="KU10" i="1"/>
  <c r="KW10" i="1" s="1"/>
  <c r="ME10" i="1" s="1"/>
  <c r="GM10" i="1"/>
  <c r="GN10" i="1" s="1"/>
  <c r="GZ13" i="1"/>
  <c r="MB13" i="1" s="1"/>
  <c r="LU13" i="1"/>
  <c r="DK13" i="1"/>
  <c r="DM13" i="1" s="1"/>
  <c r="HA10" i="1"/>
  <c r="MC10" i="1" s="1"/>
  <c r="KZ10" i="1"/>
  <c r="MH10" i="1" s="1"/>
  <c r="GZ10" i="1"/>
  <c r="MB10" i="1" s="1"/>
  <c r="MG10" i="1"/>
  <c r="KU12" i="1"/>
  <c r="KW12" i="1" s="1"/>
  <c r="ME12" i="1" s="1"/>
  <c r="HA13" i="1"/>
  <c r="MC13" i="1" s="1"/>
  <c r="MA12" i="1"/>
  <c r="BY10" i="10"/>
  <c r="DA10" i="10" s="1"/>
  <c r="HA9" i="1"/>
  <c r="MC9" i="1" s="1"/>
  <c r="GR10" i="1"/>
  <c r="LV10" i="1" s="1"/>
  <c r="GM12" i="1"/>
  <c r="GO12" i="1" s="1"/>
  <c r="LS12" i="1" s="1"/>
  <c r="MA13" i="1"/>
  <c r="CK10" i="1"/>
  <c r="DK10" i="1"/>
  <c r="DM10" i="1" s="1"/>
  <c r="LA9" i="1"/>
  <c r="MI9" i="1" s="1"/>
  <c r="GR12" i="1"/>
  <c r="LV12" i="1" s="1"/>
  <c r="GZ12" i="1"/>
  <c r="MB12" i="1" s="1"/>
  <c r="DK12" i="1"/>
  <c r="DM12" i="1" s="1"/>
  <c r="CI17" i="1"/>
  <c r="CM17" i="1" s="1"/>
  <c r="CI19" i="1"/>
  <c r="EG19" i="1" s="1"/>
  <c r="CL10" i="10"/>
  <c r="DH10" i="10" s="1"/>
  <c r="GO17" i="1"/>
  <c r="LS17" i="1" s="1"/>
  <c r="KV18" i="1"/>
  <c r="KX18" i="1" s="1"/>
  <c r="MF18" i="1" s="1"/>
  <c r="CN9" i="10"/>
  <c r="DJ9" i="10" s="1"/>
  <c r="KZ9" i="1"/>
  <c r="MH9" i="1" s="1"/>
  <c r="GZ9" i="1"/>
  <c r="MB9" i="1" s="1"/>
  <c r="CN10" i="10"/>
  <c r="DJ10" i="10" s="1"/>
  <c r="KV17" i="1"/>
  <c r="KX17" i="1" s="1"/>
  <c r="MF17" i="1" s="1"/>
  <c r="GS12" i="1"/>
  <c r="CI18" i="1"/>
  <c r="CM18" i="1" s="1"/>
  <c r="DK9" i="1"/>
  <c r="DM9" i="1" s="1"/>
  <c r="GR9" i="1"/>
  <c r="LV9" i="1" s="1"/>
  <c r="CL8" i="10"/>
  <c r="DH8" i="10" s="1"/>
  <c r="BY8" i="10"/>
  <c r="LU9" i="1"/>
  <c r="BY9" i="10"/>
  <c r="CD9" i="10"/>
  <c r="CF9" i="10" s="1"/>
  <c r="CD11" i="10"/>
  <c r="BY11" i="10"/>
  <c r="DG11" i="10"/>
  <c r="CL11" i="10"/>
  <c r="DH11" i="10" s="1"/>
  <c r="DI9" i="10"/>
  <c r="CL9" i="10"/>
  <c r="DH9" i="10" s="1"/>
  <c r="CF10" i="10"/>
  <c r="DC10" i="10" s="1"/>
  <c r="CZ10" i="10"/>
  <c r="CH10" i="10"/>
  <c r="CO10" i="10"/>
  <c r="KV13" i="1"/>
  <c r="KW13" i="1"/>
  <c r="LW10" i="1"/>
  <c r="GW12" i="1"/>
  <c r="MG8" i="1"/>
  <c r="KZ8" i="1"/>
  <c r="MH8" i="1" s="1"/>
  <c r="LA8" i="1"/>
  <c r="LW9" i="1"/>
  <c r="DE12" i="1"/>
  <c r="DF12" i="1"/>
  <c r="DV12" i="1"/>
  <c r="DX12" i="1"/>
  <c r="DL7" i="1"/>
  <c r="DK7" i="1"/>
  <c r="CK7" i="1"/>
  <c r="GU7" i="1"/>
  <c r="GM7" i="1"/>
  <c r="KU7" i="1"/>
  <c r="EJ14" i="1"/>
  <c r="EJ9" i="1"/>
  <c r="MA14" i="1"/>
  <c r="GZ14" i="1"/>
  <c r="MB14" i="1" s="1"/>
  <c r="HA14" i="1"/>
  <c r="GO13" i="1"/>
  <c r="LS13" i="1" s="1"/>
  <c r="GN13" i="1"/>
  <c r="DX13" i="1"/>
  <c r="DV13" i="1"/>
  <c r="DF13" i="1"/>
  <c r="DE13" i="1"/>
  <c r="DN9" i="1"/>
  <c r="LI9" i="1"/>
  <c r="CH7" i="1"/>
  <c r="CI7" i="1" s="1"/>
  <c r="DL8" i="1"/>
  <c r="DK8" i="1"/>
  <c r="KU8" i="1"/>
  <c r="GM8" i="1"/>
  <c r="GU8" i="1"/>
  <c r="CH13" i="1"/>
  <c r="CI13" i="1" s="1"/>
  <c r="DV14" i="1"/>
  <c r="DX14" i="1"/>
  <c r="DF14" i="1"/>
  <c r="DE14" i="1"/>
  <c r="DF10" i="1"/>
  <c r="DE10" i="1"/>
  <c r="DX10" i="1"/>
  <c r="DV10" i="1"/>
  <c r="KV9" i="1"/>
  <c r="KW9" i="1"/>
  <c r="MG7" i="1"/>
  <c r="KZ7" i="1"/>
  <c r="MH7" i="1" s="1"/>
  <c r="LA7" i="1"/>
  <c r="CH8" i="1"/>
  <c r="CI8" i="1" s="1"/>
  <c r="EJ12" i="1"/>
  <c r="GU14" i="1"/>
  <c r="CK14" i="1"/>
  <c r="KU14" i="1"/>
  <c r="GM14" i="1"/>
  <c r="LI12" i="1"/>
  <c r="DN12" i="1"/>
  <c r="EJ7" i="1"/>
  <c r="MI10" i="1"/>
  <c r="LU8" i="1"/>
  <c r="GR8" i="1"/>
  <c r="LV8" i="1" s="1"/>
  <c r="GS8" i="1"/>
  <c r="EJ13" i="1"/>
  <c r="DX9" i="1"/>
  <c r="DF9" i="1"/>
  <c r="DE9" i="1"/>
  <c r="DV9" i="1"/>
  <c r="LW13" i="1"/>
  <c r="LI10" i="1"/>
  <c r="DN10" i="1"/>
  <c r="GO9" i="1"/>
  <c r="LS9" i="1" s="1"/>
  <c r="GN9" i="1"/>
  <c r="LU7" i="1"/>
  <c r="GR7" i="1"/>
  <c r="LV7" i="1" s="1"/>
  <c r="GS7" i="1"/>
  <c r="EJ8" i="1"/>
  <c r="CH12" i="1"/>
  <c r="CI12" i="1" s="1"/>
  <c r="EJ10" i="1"/>
  <c r="MI13" i="1"/>
  <c r="DK14" i="1"/>
  <c r="DL14" i="1"/>
  <c r="LU14" i="1"/>
  <c r="GR14" i="1"/>
  <c r="LV14" i="1" s="1"/>
  <c r="GS14" i="1"/>
  <c r="DE7" i="1"/>
  <c r="DX7" i="1"/>
  <c r="DV7" i="1"/>
  <c r="DF7" i="1"/>
  <c r="GW13" i="1"/>
  <c r="GV13" i="1"/>
  <c r="LI13" i="1"/>
  <c r="DN13" i="1"/>
  <c r="MA8" i="1"/>
  <c r="GZ8" i="1"/>
  <c r="MB8" i="1" s="1"/>
  <c r="HA8" i="1"/>
  <c r="MC12" i="1"/>
  <c r="DX8" i="1"/>
  <c r="DF8" i="1"/>
  <c r="DV8" i="1"/>
  <c r="DE8" i="1"/>
  <c r="CK8" i="1"/>
  <c r="GW10" i="1"/>
  <c r="LB12" i="1"/>
  <c r="MJ12" i="1" s="1"/>
  <c r="MI12" i="1"/>
  <c r="GW9" i="1"/>
  <c r="GV9" i="1"/>
  <c r="MA7" i="1"/>
  <c r="GZ7" i="1"/>
  <c r="MB7" i="1" s="1"/>
  <c r="HA7" i="1"/>
  <c r="CH14" i="1"/>
  <c r="CI14" i="1" s="1"/>
  <c r="CH9" i="1"/>
  <c r="CI9" i="1" s="1"/>
  <c r="CH10" i="1"/>
  <c r="CI10" i="1" s="1"/>
  <c r="MG14" i="1"/>
  <c r="KZ14" i="1"/>
  <c r="MH14" i="1" s="1"/>
  <c r="LA14" i="1"/>
  <c r="ME17" i="1"/>
  <c r="GX17" i="1"/>
  <c r="LZ17" i="1" s="1"/>
  <c r="LY17" i="1"/>
  <c r="EF7" i="136" l="1"/>
  <c r="OI7" i="136"/>
  <c r="OG7" i="136"/>
  <c r="OE7" i="136"/>
  <c r="OC7" i="136"/>
  <c r="EE7" i="136"/>
  <c r="DM7" i="136"/>
  <c r="DO7" i="136" s="1"/>
  <c r="CG7" i="136"/>
  <c r="NL7" i="136" s="1"/>
  <c r="OC29" i="136"/>
  <c r="MA31" i="136"/>
  <c r="MA28" i="136"/>
  <c r="NA28" i="136" s="1"/>
  <c r="NB28" i="136" s="1"/>
  <c r="NP33" i="136"/>
  <c r="OC26" i="136"/>
  <c r="OC14" i="136"/>
  <c r="KR7" i="136"/>
  <c r="KS7" i="136"/>
  <c r="MO7" i="136" s="1"/>
  <c r="HE7" i="136"/>
  <c r="NE7" i="136" s="1"/>
  <c r="HL7" i="136"/>
  <c r="HO7" i="136"/>
  <c r="HG34" i="136"/>
  <c r="MW34" i="136" s="1"/>
  <c r="HD7" i="136"/>
  <c r="HN7" i="136" s="1"/>
  <c r="NH7" i="136" s="1"/>
  <c r="DN35" i="136"/>
  <c r="ED22" i="136"/>
  <c r="ED32" i="136"/>
  <c r="OC32" i="136"/>
  <c r="ED34" i="136"/>
  <c r="OC34" i="136"/>
  <c r="ED36" i="136"/>
  <c r="ED35" i="136"/>
  <c r="OC35" i="136"/>
  <c r="ED15" i="136"/>
  <c r="OC15" i="136"/>
  <c r="ED21" i="136"/>
  <c r="ED37" i="136"/>
  <c r="ED33" i="136"/>
  <c r="OC33" i="136"/>
  <c r="DN14" i="136"/>
  <c r="DY34" i="136"/>
  <c r="EI32" i="136"/>
  <c r="EI15" i="136"/>
  <c r="HN26" i="136"/>
  <c r="DM35" i="136"/>
  <c r="MB35" i="136" s="1"/>
  <c r="DY32" i="136"/>
  <c r="DY14" i="136"/>
  <c r="DY15" i="136"/>
  <c r="KS35" i="136"/>
  <c r="MO35" i="136" s="1"/>
  <c r="HL37" i="136"/>
  <c r="HO35" i="136"/>
  <c r="MY35" i="136" s="1"/>
  <c r="NL30" i="136"/>
  <c r="HG35" i="136"/>
  <c r="MW35" i="136" s="1"/>
  <c r="HN17" i="136"/>
  <c r="NL10" i="136"/>
  <c r="OF10" i="136"/>
  <c r="HL36" i="136"/>
  <c r="OF9" i="136"/>
  <c r="KR36" i="136"/>
  <c r="KR34" i="136"/>
  <c r="EE16" i="136"/>
  <c r="NL35" i="136"/>
  <c r="HL13" i="136"/>
  <c r="OF15" i="136"/>
  <c r="KR14" i="136"/>
  <c r="OF30" i="136"/>
  <c r="OF34" i="136"/>
  <c r="HD23" i="136"/>
  <c r="HL14" i="136"/>
  <c r="DW37" i="136"/>
  <c r="ND37" i="136" s="1"/>
  <c r="NC37" i="136"/>
  <c r="MA22" i="136"/>
  <c r="DZ22" i="136"/>
  <c r="EA27" i="136"/>
  <c r="MV27" i="136" s="1"/>
  <c r="MU27" i="136"/>
  <c r="MK26" i="136"/>
  <c r="MY26" i="136"/>
  <c r="MO30" i="136"/>
  <c r="NI30" i="136"/>
  <c r="NL9" i="136"/>
  <c r="OD9" i="136" s="1"/>
  <c r="EB34" i="136"/>
  <c r="DZ34" i="136"/>
  <c r="LY34" i="136"/>
  <c r="MY20" i="136"/>
  <c r="MK20" i="136"/>
  <c r="MO19" i="136"/>
  <c r="NI19" i="136"/>
  <c r="HD32" i="136"/>
  <c r="HN32" i="136" s="1"/>
  <c r="NH32" i="136" s="1"/>
  <c r="HL34" i="136"/>
  <c r="KR37" i="136"/>
  <c r="NL20" i="136"/>
  <c r="NL26" i="136"/>
  <c r="NK28" i="136"/>
  <c r="DZ36" i="136"/>
  <c r="DY21" i="136"/>
  <c r="KR13" i="136"/>
  <c r="NP37" i="136"/>
  <c r="DY35" i="136"/>
  <c r="DZ21" i="136"/>
  <c r="EB21" i="136"/>
  <c r="LY21" i="136"/>
  <c r="LY24" i="136" s="1"/>
  <c r="MI30" i="136"/>
  <c r="MW30" i="136"/>
  <c r="MK12" i="136"/>
  <c r="MY12" i="136"/>
  <c r="NE19" i="136"/>
  <c r="MA34" i="136"/>
  <c r="NC14" i="136"/>
  <c r="DW14" i="136"/>
  <c r="ND14" i="136" s="1"/>
  <c r="MU20" i="136"/>
  <c r="EA20" i="136"/>
  <c r="MV20" i="136" s="1"/>
  <c r="MI10" i="136"/>
  <c r="MW10" i="136"/>
  <c r="NP15" i="136"/>
  <c r="NK22" i="136"/>
  <c r="MW21" i="136"/>
  <c r="MI21" i="136"/>
  <c r="NG29" i="136"/>
  <c r="MA23" i="136"/>
  <c r="DZ23" i="136"/>
  <c r="HO15" i="136"/>
  <c r="MA15" i="136"/>
  <c r="HD14" i="136"/>
  <c r="HF14" i="136" s="1"/>
  <c r="NL25" i="136"/>
  <c r="OD25" i="136" s="1"/>
  <c r="NL18" i="136"/>
  <c r="HD34" i="136"/>
  <c r="HN34" i="136" s="1"/>
  <c r="HD37" i="136"/>
  <c r="NL32" i="136"/>
  <c r="NE17" i="136"/>
  <c r="NL19" i="136"/>
  <c r="DY37" i="136"/>
  <c r="EC36" i="136"/>
  <c r="DW21" i="136"/>
  <c r="ND21" i="136" s="1"/>
  <c r="NC21" i="136"/>
  <c r="HD13" i="136"/>
  <c r="HF13" i="136" s="1"/>
  <c r="NF13" i="136" s="1"/>
  <c r="EI37" i="136"/>
  <c r="DW13" i="136"/>
  <c r="ND13" i="136" s="1"/>
  <c r="NC13" i="136"/>
  <c r="MK10" i="136"/>
  <c r="MY10" i="136"/>
  <c r="MI26" i="136"/>
  <c r="MW26" i="136"/>
  <c r="EA12" i="136"/>
  <c r="MV12" i="136" s="1"/>
  <c r="MU12" i="136"/>
  <c r="DW34" i="136"/>
  <c r="ND34" i="136" s="1"/>
  <c r="NC34" i="136"/>
  <c r="HM14" i="136"/>
  <c r="EA26" i="136"/>
  <c r="MV26" i="136" s="1"/>
  <c r="MU26" i="136"/>
  <c r="MW29" i="136"/>
  <c r="MI29" i="136"/>
  <c r="MO10" i="136"/>
  <c r="NI10" i="136"/>
  <c r="NI27" i="136"/>
  <c r="MO27" i="136"/>
  <c r="NG9" i="136"/>
  <c r="EA18" i="136"/>
  <c r="MV18" i="136" s="1"/>
  <c r="MU18" i="136"/>
  <c r="NP21" i="136"/>
  <c r="NP24" i="136" s="1"/>
  <c r="DY33" i="136"/>
  <c r="OF27" i="136"/>
  <c r="DW36" i="136"/>
  <c r="ND36" i="136" s="1"/>
  <c r="NC36" i="136"/>
  <c r="EA9" i="136"/>
  <c r="MV9" i="136" s="1"/>
  <c r="MU9" i="136"/>
  <c r="HD22" i="136"/>
  <c r="NL15" i="136"/>
  <c r="EE13" i="136"/>
  <c r="EA19" i="136"/>
  <c r="MV19" i="136" s="1"/>
  <c r="MU19" i="136"/>
  <c r="KR23" i="136"/>
  <c r="MO21" i="136"/>
  <c r="NI21" i="136"/>
  <c r="NE29" i="136"/>
  <c r="NK13" i="136"/>
  <c r="OC13" i="136" s="1"/>
  <c r="MK30" i="136"/>
  <c r="MY30" i="136"/>
  <c r="LY33" i="136"/>
  <c r="DZ33" i="136"/>
  <c r="EB33" i="136"/>
  <c r="LY14" i="136"/>
  <c r="DZ14" i="136"/>
  <c r="EB14" i="136"/>
  <c r="NK37" i="136"/>
  <c r="MK29" i="136"/>
  <c r="MY29" i="136"/>
  <c r="MW17" i="136"/>
  <c r="MI17" i="136"/>
  <c r="HN27" i="136"/>
  <c r="NH27" i="136" s="1"/>
  <c r="MK9" i="136"/>
  <c r="MY9" i="136"/>
  <c r="NI18" i="136"/>
  <c r="MO18" i="136"/>
  <c r="EE23" i="136"/>
  <c r="MU25" i="136"/>
  <c r="EA25" i="136"/>
  <c r="MV25" i="136" s="1"/>
  <c r="HP18" i="136"/>
  <c r="ML18" i="136" s="1"/>
  <c r="MY18" i="136"/>
  <c r="MK18" i="136"/>
  <c r="EI21" i="136"/>
  <c r="DW33" i="136"/>
  <c r="ND33" i="136" s="1"/>
  <c r="KR22" i="136"/>
  <c r="DW22" i="136"/>
  <c r="ND22" i="136" s="1"/>
  <c r="NC22" i="136"/>
  <c r="NH25" i="136"/>
  <c r="EA17" i="136"/>
  <c r="MV17" i="136" s="1"/>
  <c r="MU17" i="136"/>
  <c r="OF14" i="136"/>
  <c r="OF12" i="136"/>
  <c r="HL23" i="136"/>
  <c r="OF29" i="136"/>
  <c r="DW15" i="136"/>
  <c r="ND15" i="136" s="1"/>
  <c r="NC15" i="136"/>
  <c r="NP32" i="136"/>
  <c r="NE21" i="136"/>
  <c r="NI26" i="136"/>
  <c r="MO26" i="136"/>
  <c r="HM13" i="136"/>
  <c r="NC23" i="136"/>
  <c r="DW23" i="136"/>
  <c r="ND23" i="136" s="1"/>
  <c r="ED26" i="136"/>
  <c r="DZ35" i="136"/>
  <c r="EB35" i="136"/>
  <c r="LY35" i="136"/>
  <c r="MO29" i="136"/>
  <c r="NI29" i="136"/>
  <c r="MY17" i="136"/>
  <c r="MK17" i="136"/>
  <c r="MW25" i="136"/>
  <c r="MI25" i="136"/>
  <c r="HF25" i="136"/>
  <c r="NF25" i="136" s="1"/>
  <c r="MW18" i="136"/>
  <c r="MI18" i="136"/>
  <c r="MK25" i="136"/>
  <c r="MY25" i="136"/>
  <c r="HP25" i="136"/>
  <c r="ML25" i="136" s="1"/>
  <c r="EA30" i="136"/>
  <c r="MV30" i="136" s="1"/>
  <c r="MU30" i="136"/>
  <c r="OF21" i="136"/>
  <c r="NL34" i="136"/>
  <c r="NP14" i="136"/>
  <c r="HL22" i="136"/>
  <c r="HD35" i="136"/>
  <c r="OF17" i="136"/>
  <c r="MW19" i="136"/>
  <c r="MI19" i="136"/>
  <c r="NE9" i="136"/>
  <c r="NE14" i="136"/>
  <c r="EA10" i="136"/>
  <c r="MV10" i="136" s="1"/>
  <c r="MU10" i="136"/>
  <c r="ED14" i="136"/>
  <c r="MO20" i="136"/>
  <c r="NI20" i="136"/>
  <c r="MO12" i="136"/>
  <c r="NI12" i="136"/>
  <c r="NK23" i="136"/>
  <c r="OC23" i="136" s="1"/>
  <c r="NG34" i="136"/>
  <c r="NH21" i="136"/>
  <c r="NL27" i="136"/>
  <c r="EI14" i="136"/>
  <c r="OF20" i="136"/>
  <c r="HL35" i="136"/>
  <c r="OF26" i="136"/>
  <c r="NG26" i="136"/>
  <c r="MY21" i="136"/>
  <c r="MK21" i="136"/>
  <c r="ED29" i="136"/>
  <c r="NC32" i="136"/>
  <c r="DW32" i="136"/>
  <c r="ND32" i="136" s="1"/>
  <c r="MK27" i="136"/>
  <c r="MY27" i="136"/>
  <c r="NP35" i="136"/>
  <c r="DZ15" i="136"/>
  <c r="EB15" i="136"/>
  <c r="LY15" i="136"/>
  <c r="NK36" i="136"/>
  <c r="DZ37" i="136"/>
  <c r="EB37" i="136"/>
  <c r="LY37" i="136"/>
  <c r="NI17" i="136"/>
  <c r="MO17" i="136"/>
  <c r="MO25" i="136"/>
  <c r="NI25" i="136"/>
  <c r="MO9" i="136"/>
  <c r="NI9" i="136"/>
  <c r="MA13" i="136"/>
  <c r="DZ13" i="136"/>
  <c r="NR7" i="136"/>
  <c r="KR32" i="136"/>
  <c r="OF25" i="136"/>
  <c r="OF18" i="136"/>
  <c r="OF32" i="136"/>
  <c r="OF19" i="136"/>
  <c r="KR35" i="136"/>
  <c r="NH18" i="136"/>
  <c r="NL14" i="136"/>
  <c r="EA11" i="136"/>
  <c r="MV11" i="136" s="1"/>
  <c r="NP34" i="136"/>
  <c r="NL12" i="136"/>
  <c r="NL29" i="136"/>
  <c r="NK31" i="136"/>
  <c r="MI27" i="136"/>
  <c r="MW27" i="136"/>
  <c r="KS37" i="136"/>
  <c r="MA37" i="136"/>
  <c r="EA29" i="136"/>
  <c r="MV29" i="136" s="1"/>
  <c r="MU29" i="136"/>
  <c r="MK19" i="136"/>
  <c r="MY19" i="136"/>
  <c r="MA16" i="136"/>
  <c r="DZ16" i="136"/>
  <c r="MU16" i="136" s="1"/>
  <c r="EI35" i="136"/>
  <c r="EB32" i="136"/>
  <c r="DZ32" i="136"/>
  <c r="LY32" i="136"/>
  <c r="MB29" i="136"/>
  <c r="MB31" i="136" s="1"/>
  <c r="MI12" i="136"/>
  <c r="MW12" i="136"/>
  <c r="MI20" i="136"/>
  <c r="MW20" i="136"/>
  <c r="NG19" i="136"/>
  <c r="MI9" i="136"/>
  <c r="MW9" i="136"/>
  <c r="HL32" i="136"/>
  <c r="EI33" i="136"/>
  <c r="NL21" i="136"/>
  <c r="NG17" i="136"/>
  <c r="OF35" i="136"/>
  <c r="EI34" i="136"/>
  <c r="DW35" i="136"/>
  <c r="ND35" i="136" s="1"/>
  <c r="NC35" i="136"/>
  <c r="NL17" i="136"/>
  <c r="OD17" i="136" s="1"/>
  <c r="EK34" i="136"/>
  <c r="EL34" i="136"/>
  <c r="EL33" i="136"/>
  <c r="EK33" i="136"/>
  <c r="EK36" i="136"/>
  <c r="EL36" i="136"/>
  <c r="EK35" i="136"/>
  <c r="EL35" i="136"/>
  <c r="EK37" i="136"/>
  <c r="EL37" i="136"/>
  <c r="EK15" i="136"/>
  <c r="EL15" i="136"/>
  <c r="OF33" i="136"/>
  <c r="NE33" i="136"/>
  <c r="NL33" i="136"/>
  <c r="HL33" i="136"/>
  <c r="KR33" i="136"/>
  <c r="HD33" i="136"/>
  <c r="HF33" i="136" s="1"/>
  <c r="OF11" i="136"/>
  <c r="HD16" i="136"/>
  <c r="KR16" i="136"/>
  <c r="HL16" i="136"/>
  <c r="NK16" i="136"/>
  <c r="OC16" i="136" s="1"/>
  <c r="MW11" i="136"/>
  <c r="MI11" i="136"/>
  <c r="MY11" i="136"/>
  <c r="MK11" i="136"/>
  <c r="NI11" i="136"/>
  <c r="MO11" i="136"/>
  <c r="NL11" i="136"/>
  <c r="HE34" i="136"/>
  <c r="DN34" i="136"/>
  <c r="DO17" i="136"/>
  <c r="DM34" i="136"/>
  <c r="MB34" i="136" s="1"/>
  <c r="ND7" i="136"/>
  <c r="KS14" i="136"/>
  <c r="EJ7" i="136"/>
  <c r="EQ36" i="136"/>
  <c r="KS34" i="136"/>
  <c r="HG32" i="136"/>
  <c r="EQ14" i="136"/>
  <c r="DM14" i="136"/>
  <c r="MB14" i="136" s="1"/>
  <c r="HG14" i="136"/>
  <c r="HO14" i="136"/>
  <c r="HO34" i="136"/>
  <c r="DN36" i="136"/>
  <c r="DM36" i="136"/>
  <c r="MB36" i="136" s="1"/>
  <c r="KS36" i="136"/>
  <c r="HO36" i="136"/>
  <c r="HG36" i="136"/>
  <c r="HG15" i="136"/>
  <c r="DM32" i="136"/>
  <c r="MB32" i="136" s="1"/>
  <c r="DN32" i="136"/>
  <c r="ER37" i="136"/>
  <c r="EQ37" i="136"/>
  <c r="KS32" i="136"/>
  <c r="NL8" i="136"/>
  <c r="OD8" i="136" s="1"/>
  <c r="HO32" i="136"/>
  <c r="DM15" i="136"/>
  <c r="MB15" i="136" s="1"/>
  <c r="DN37" i="136"/>
  <c r="KS15" i="136"/>
  <c r="HG33" i="136"/>
  <c r="DM37" i="136"/>
  <c r="DN15" i="136"/>
  <c r="DN33" i="136"/>
  <c r="HN15" i="136"/>
  <c r="NH15" i="136" s="1"/>
  <c r="DM33" i="136"/>
  <c r="MB33" i="136" s="1"/>
  <c r="EJ8" i="136"/>
  <c r="EG8" i="136"/>
  <c r="EL8" i="136" s="1"/>
  <c r="EG7" i="136"/>
  <c r="EM7" i="136"/>
  <c r="CG23" i="136"/>
  <c r="HO33" i="136"/>
  <c r="CS21" i="136"/>
  <c r="OF8" i="136"/>
  <c r="CG36" i="136"/>
  <c r="CG22" i="136"/>
  <c r="CG37" i="136"/>
  <c r="CG13" i="136"/>
  <c r="KS33" i="136"/>
  <c r="CG16" i="136"/>
  <c r="HF30" i="136"/>
  <c r="NF30" i="136" s="1"/>
  <c r="HM33" i="136"/>
  <c r="HN30" i="136"/>
  <c r="NH30" i="136" s="1"/>
  <c r="HG13" i="136"/>
  <c r="DM23" i="136"/>
  <c r="MB23" i="136" s="1"/>
  <c r="HF9" i="136"/>
  <c r="HE35" i="136"/>
  <c r="NE35" i="136" s="1"/>
  <c r="HF11" i="136"/>
  <c r="NF11" i="136" s="1"/>
  <c r="EG39" i="109"/>
  <c r="DH18" i="10"/>
  <c r="DG18" i="10"/>
  <c r="ED39" i="109"/>
  <c r="HO13" i="136"/>
  <c r="EG32" i="109"/>
  <c r="MA24" i="1"/>
  <c r="KT11" i="136"/>
  <c r="MP11" i="136" s="1"/>
  <c r="HN19" i="136"/>
  <c r="DO10" i="136"/>
  <c r="DO11" i="136"/>
  <c r="DO27" i="136"/>
  <c r="HH20" i="136"/>
  <c r="MJ20" i="136" s="1"/>
  <c r="HH19" i="136"/>
  <c r="HP30" i="136"/>
  <c r="ML30" i="136" s="1"/>
  <c r="HG16" i="136"/>
  <c r="DN16" i="136"/>
  <c r="DM16" i="136"/>
  <c r="MB16" i="136" s="1"/>
  <c r="HO16" i="136"/>
  <c r="KS16" i="136"/>
  <c r="DO9" i="136"/>
  <c r="MO8" i="136"/>
  <c r="KT8" i="136"/>
  <c r="MP8" i="136" s="1"/>
  <c r="KT18" i="136"/>
  <c r="MP18" i="136" s="1"/>
  <c r="MU7" i="136"/>
  <c r="HH10" i="136"/>
  <c r="MJ10" i="136" s="1"/>
  <c r="HP27" i="136"/>
  <c r="ML27" i="136" s="1"/>
  <c r="HP20" i="136"/>
  <c r="ML20" i="136" s="1"/>
  <c r="DO19" i="136"/>
  <c r="HN20" i="136"/>
  <c r="NH20" i="136" s="1"/>
  <c r="KT30" i="136"/>
  <c r="MP30" i="136" s="1"/>
  <c r="KT9" i="136"/>
  <c r="HH18" i="136"/>
  <c r="MJ18" i="136" s="1"/>
  <c r="MI7" i="136"/>
  <c r="MW7" i="136"/>
  <c r="KT10" i="136"/>
  <c r="MP10" i="136" s="1"/>
  <c r="DO30" i="136"/>
  <c r="HN10" i="136"/>
  <c r="NH10" i="136" s="1"/>
  <c r="HH9" i="136"/>
  <c r="EQ8" i="136"/>
  <c r="MB7" i="136"/>
  <c r="NB7" i="136" s="1"/>
  <c r="HF18" i="136"/>
  <c r="NF18" i="136" s="1"/>
  <c r="KT27" i="136"/>
  <c r="MP27" i="136" s="1"/>
  <c r="DO20" i="136"/>
  <c r="KT12" i="136"/>
  <c r="HF20" i="136"/>
  <c r="NF20" i="136" s="1"/>
  <c r="DM13" i="136"/>
  <c r="MB13" i="136" s="1"/>
  <c r="MU8" i="136"/>
  <c r="EA8" i="136"/>
  <c r="MV8" i="136" s="1"/>
  <c r="HF10" i="136"/>
  <c r="NF10" i="136" s="1"/>
  <c r="NG8" i="136"/>
  <c r="HN8" i="136"/>
  <c r="ND16" i="136"/>
  <c r="HH25" i="136"/>
  <c r="MJ25" i="136" s="1"/>
  <c r="HN9" i="136"/>
  <c r="DO8" i="136"/>
  <c r="MB8" i="136"/>
  <c r="HH11" i="136"/>
  <c r="MJ11" i="136" s="1"/>
  <c r="DO12" i="136"/>
  <c r="DO25" i="136"/>
  <c r="KT19" i="136"/>
  <c r="DN13" i="136"/>
  <c r="KS13" i="136"/>
  <c r="MK8" i="136"/>
  <c r="MY8" i="136"/>
  <c r="HP8" i="136"/>
  <c r="ML8" i="136" s="1"/>
  <c r="HE23" i="136"/>
  <c r="NE23" i="136" s="1"/>
  <c r="DO18" i="136"/>
  <c r="HF27" i="136"/>
  <c r="NF27" i="136" s="1"/>
  <c r="DJ21" i="10"/>
  <c r="DI21" i="10"/>
  <c r="MZ52" i="109"/>
  <c r="HP10" i="136"/>
  <c r="ML10" i="136" s="1"/>
  <c r="HP11" i="136"/>
  <c r="ML11" i="136" s="1"/>
  <c r="KT20" i="136"/>
  <c r="MP20" i="136" s="1"/>
  <c r="HP19" i="136"/>
  <c r="HM16" i="136"/>
  <c r="NG16" i="136" s="1"/>
  <c r="HF19" i="136"/>
  <c r="HP9" i="136"/>
  <c r="HO23" i="136"/>
  <c r="HM23" i="136"/>
  <c r="NG23" i="136" s="1"/>
  <c r="HN11" i="136"/>
  <c r="NH11" i="136" s="1"/>
  <c r="HH27" i="136"/>
  <c r="MJ27" i="136" s="1"/>
  <c r="NE8" i="136"/>
  <c r="HF8" i="136"/>
  <c r="HH30" i="136"/>
  <c r="MJ30" i="136" s="1"/>
  <c r="HE16" i="136"/>
  <c r="NE16" i="136" s="1"/>
  <c r="KT25" i="136"/>
  <c r="MP25" i="136" s="1"/>
  <c r="MI8" i="136"/>
  <c r="MW8" i="136"/>
  <c r="HH8" i="136"/>
  <c r="MJ8" i="136" s="1"/>
  <c r="DN23" i="136"/>
  <c r="KS23" i="136"/>
  <c r="HG23" i="136"/>
  <c r="HF17" i="136"/>
  <c r="KT17" i="136"/>
  <c r="HF15" i="136"/>
  <c r="NF15" i="136" s="1"/>
  <c r="HP12" i="136"/>
  <c r="HH17" i="136"/>
  <c r="HP17" i="136"/>
  <c r="DI36" i="136"/>
  <c r="NE37" i="136"/>
  <c r="HM37" i="136"/>
  <c r="NG37" i="136" s="1"/>
  <c r="HO37" i="136"/>
  <c r="HM36" i="136"/>
  <c r="HE36" i="136"/>
  <c r="DG37" i="136"/>
  <c r="DH37" i="136"/>
  <c r="HH29" i="136"/>
  <c r="HF26" i="136"/>
  <c r="HN29" i="136"/>
  <c r="HF29" i="136"/>
  <c r="HP26" i="136"/>
  <c r="KT26" i="136"/>
  <c r="HP29" i="136"/>
  <c r="KT29" i="136"/>
  <c r="KS22" i="136"/>
  <c r="HG22" i="136"/>
  <c r="HO22" i="136"/>
  <c r="HE22" i="136"/>
  <c r="NE22" i="136" s="1"/>
  <c r="HH26" i="136"/>
  <c r="HM22" i="136"/>
  <c r="HH21" i="136"/>
  <c r="HF21" i="136"/>
  <c r="DO21" i="136"/>
  <c r="CS34" i="136"/>
  <c r="DH14" i="136"/>
  <c r="DG14" i="136"/>
  <c r="LZ14" i="136" s="1"/>
  <c r="CS22" i="136"/>
  <c r="DN22" i="136"/>
  <c r="DM22" i="136"/>
  <c r="MB22" i="136" s="1"/>
  <c r="DS15" i="109"/>
  <c r="DG34" i="136"/>
  <c r="LZ34" i="136" s="1"/>
  <c r="DH34" i="136"/>
  <c r="CS15" i="136"/>
  <c r="CS32" i="136"/>
  <c r="CS29" i="136"/>
  <c r="EQ34" i="136"/>
  <c r="CS36" i="136"/>
  <c r="DO29" i="136"/>
  <c r="DS29" i="109"/>
  <c r="CS14" i="136"/>
  <c r="DG21" i="136"/>
  <c r="DH21" i="136"/>
  <c r="ER33" i="136"/>
  <c r="EQ33" i="136"/>
  <c r="EQ15" i="136"/>
  <c r="ER15" i="136"/>
  <c r="EC15" i="109"/>
  <c r="MV51" i="109"/>
  <c r="CS26" i="136"/>
  <c r="CS35" i="136"/>
  <c r="DH33" i="136"/>
  <c r="DG33" i="136"/>
  <c r="LZ33" i="136" s="1"/>
  <c r="CS37" i="136"/>
  <c r="KT21" i="136"/>
  <c r="CS33" i="136"/>
  <c r="DH32" i="136"/>
  <c r="DG32" i="136"/>
  <c r="LZ32" i="136" s="1"/>
  <c r="DO26" i="136"/>
  <c r="EQ35" i="136"/>
  <c r="ER35" i="136"/>
  <c r="EC18" i="109"/>
  <c r="DS10" i="109"/>
  <c r="DS51" i="109"/>
  <c r="DS33" i="109"/>
  <c r="EC45" i="109"/>
  <c r="EC30" i="109"/>
  <c r="DS36" i="109"/>
  <c r="DS32" i="109"/>
  <c r="HP21" i="136"/>
  <c r="DH35" i="136"/>
  <c r="DG35" i="136"/>
  <c r="LZ35" i="136" s="1"/>
  <c r="DH15" i="136"/>
  <c r="DG15" i="136"/>
  <c r="LZ15" i="136" s="1"/>
  <c r="DS19" i="109"/>
  <c r="DS52" i="109"/>
  <c r="DS39" i="109"/>
  <c r="NB53" i="109"/>
  <c r="EI22" i="1"/>
  <c r="EC36" i="109"/>
  <c r="EC32" i="109"/>
  <c r="DS11" i="109"/>
  <c r="DS42" i="109"/>
  <c r="EC42" i="109"/>
  <c r="EC43" i="109"/>
  <c r="DS43" i="109"/>
  <c r="EL22" i="1"/>
  <c r="DS24" i="109"/>
  <c r="EC23" i="109"/>
  <c r="EC21" i="109"/>
  <c r="DS35" i="109"/>
  <c r="DS25" i="109"/>
  <c r="EC29" i="109"/>
  <c r="DS14" i="109"/>
  <c r="EC31" i="109"/>
  <c r="EC9" i="109"/>
  <c r="EC22" i="109"/>
  <c r="EC26" i="109"/>
  <c r="EC17" i="109"/>
  <c r="GZ35" i="109"/>
  <c r="EC12" i="109"/>
  <c r="LV38" i="109"/>
  <c r="DI38" i="109"/>
  <c r="DX42" i="109"/>
  <c r="CM42" i="109"/>
  <c r="DH23" i="109"/>
  <c r="LU23" i="109"/>
  <c r="DG23" i="109"/>
  <c r="LS26" i="109"/>
  <c r="DA26" i="109"/>
  <c r="DT26" i="109"/>
  <c r="DV26" i="109"/>
  <c r="DB26" i="109"/>
  <c r="MW24" i="109"/>
  <c r="DQ24" i="109"/>
  <c r="MX24" i="109" s="1"/>
  <c r="LU32" i="109"/>
  <c r="DG32" i="109"/>
  <c r="DH32" i="109"/>
  <c r="EG45" i="109"/>
  <c r="ED45" i="109"/>
  <c r="EA45" i="109"/>
  <c r="EI43" i="109"/>
  <c r="EE43" i="109"/>
  <c r="EH43" i="109"/>
  <c r="EL43" i="109" s="1"/>
  <c r="EK43" i="109"/>
  <c r="EF43" i="109"/>
  <c r="CM18" i="109"/>
  <c r="DX18" i="109"/>
  <c r="DV19" i="109"/>
  <c r="DB19" i="109"/>
  <c r="LS19" i="109"/>
  <c r="DA19" i="109"/>
  <c r="DT19" i="109"/>
  <c r="MW10" i="109"/>
  <c r="DQ10" i="109"/>
  <c r="MX10" i="109" s="1"/>
  <c r="EH11" i="109"/>
  <c r="EL11" i="109" s="1"/>
  <c r="EK11" i="109"/>
  <c r="EF11" i="109"/>
  <c r="EI11" i="109"/>
  <c r="EE11" i="109"/>
  <c r="EI39" i="109"/>
  <c r="EE39" i="109"/>
  <c r="EH39" i="109"/>
  <c r="EL39" i="109" s="1"/>
  <c r="EK39" i="109"/>
  <c r="EF39" i="109"/>
  <c r="EK12" i="109"/>
  <c r="EF12" i="109"/>
  <c r="EI12" i="109"/>
  <c r="EE12" i="109"/>
  <c r="EH12" i="109"/>
  <c r="EL12" i="109" s="1"/>
  <c r="LV28" i="109"/>
  <c r="DI28" i="109"/>
  <c r="DQ51" i="109"/>
  <c r="MX51" i="109" s="1"/>
  <c r="MW51" i="109"/>
  <c r="MW33" i="109"/>
  <c r="DQ33" i="109"/>
  <c r="MX33" i="109" s="1"/>
  <c r="EI24" i="109"/>
  <c r="EE24" i="109"/>
  <c r="EH24" i="109"/>
  <c r="EL24" i="109" s="1"/>
  <c r="EK24" i="109"/>
  <c r="EF24" i="109"/>
  <c r="LV35" i="109"/>
  <c r="DI35" i="109"/>
  <c r="MW37" i="109"/>
  <c r="DQ37" i="109"/>
  <c r="MX37" i="109" s="1"/>
  <c r="LU39" i="109"/>
  <c r="DG39" i="109"/>
  <c r="DH39" i="109"/>
  <c r="EF38" i="109"/>
  <c r="EI38" i="109"/>
  <c r="EE38" i="109"/>
  <c r="EH38" i="109"/>
  <c r="EL38" i="109" s="1"/>
  <c r="EK38" i="109"/>
  <c r="CM37" i="109"/>
  <c r="DX37" i="109"/>
  <c r="LV53" i="109"/>
  <c r="DI53" i="109"/>
  <c r="EA23" i="109"/>
  <c r="ED23" i="109"/>
  <c r="EG23" i="109"/>
  <c r="CM45" i="109"/>
  <c r="DX45" i="109"/>
  <c r="DT9" i="109"/>
  <c r="DV9" i="109"/>
  <c r="DB9" i="109"/>
  <c r="LS9" i="109"/>
  <c r="DA9" i="109"/>
  <c r="DI19" i="109"/>
  <c r="LV19" i="109"/>
  <c r="LV42" i="109"/>
  <c r="DI42" i="109"/>
  <c r="EC40" i="109"/>
  <c r="CM14" i="109"/>
  <c r="DX14" i="109"/>
  <c r="EF13" i="109"/>
  <c r="EI13" i="109"/>
  <c r="EE13" i="109"/>
  <c r="EH13" i="109"/>
  <c r="EL13" i="109" s="1"/>
  <c r="EK13" i="109"/>
  <c r="DI25" i="109"/>
  <c r="LV25" i="109"/>
  <c r="CM30" i="109"/>
  <c r="DX30" i="109"/>
  <c r="MW15" i="109"/>
  <c r="DQ15" i="109"/>
  <c r="MX15" i="109" s="1"/>
  <c r="MW36" i="109"/>
  <c r="DQ36" i="109"/>
  <c r="MX36" i="109" s="1"/>
  <c r="LS12" i="109"/>
  <c r="DA12" i="109"/>
  <c r="DT12" i="109"/>
  <c r="DV12" i="109"/>
  <c r="DB12" i="109"/>
  <c r="LS30" i="109"/>
  <c r="DA30" i="109"/>
  <c r="DT30" i="109"/>
  <c r="DV30" i="109"/>
  <c r="DB30" i="109"/>
  <c r="LS22" i="109"/>
  <c r="DA22" i="109"/>
  <c r="DT22" i="109"/>
  <c r="DV22" i="109"/>
  <c r="DB22" i="109"/>
  <c r="EI32" i="109"/>
  <c r="EE32" i="109"/>
  <c r="EH32" i="109"/>
  <c r="EL32" i="109" s="1"/>
  <c r="EK32" i="109"/>
  <c r="EF32" i="109"/>
  <c r="DV11" i="109"/>
  <c r="DB11" i="109"/>
  <c r="LS11" i="109"/>
  <c r="DA11" i="109"/>
  <c r="DT11" i="109"/>
  <c r="MW41" i="109"/>
  <c r="DQ41" i="109"/>
  <c r="MX41" i="109" s="1"/>
  <c r="MW13" i="109"/>
  <c r="DQ13" i="109"/>
  <c r="MX13" i="109" s="1"/>
  <c r="CM15" i="109"/>
  <c r="DX15" i="109"/>
  <c r="MW17" i="109"/>
  <c r="DQ17" i="109"/>
  <c r="MX17" i="109" s="1"/>
  <c r="MW32" i="109"/>
  <c r="DQ32" i="109"/>
  <c r="MX32" i="109" s="1"/>
  <c r="DI44" i="109"/>
  <c r="LV44" i="109"/>
  <c r="MW29" i="109"/>
  <c r="DQ29" i="109"/>
  <c r="MX29" i="109" s="1"/>
  <c r="DV18" i="109"/>
  <c r="DW18" i="109" s="1"/>
  <c r="DB18" i="109"/>
  <c r="LS18" i="109"/>
  <c r="DA18" i="109"/>
  <c r="DT18" i="109"/>
  <c r="LS53" i="109"/>
  <c r="DV53" i="109"/>
  <c r="DB53" i="109"/>
  <c r="DA53" i="109"/>
  <c r="DT53" i="109"/>
  <c r="EC44" i="109"/>
  <c r="LS21" i="109"/>
  <c r="DA21" i="109"/>
  <c r="DT21" i="109"/>
  <c r="DV21" i="109"/>
  <c r="DB21" i="109"/>
  <c r="MS52" i="109"/>
  <c r="HJ52" i="109"/>
  <c r="MF52" i="109" s="1"/>
  <c r="ME52" i="109"/>
  <c r="KN52" i="109"/>
  <c r="MJ52" i="109" s="1"/>
  <c r="MI52" i="109"/>
  <c r="EC38" i="109"/>
  <c r="EH40" i="109"/>
  <c r="EL40" i="109" s="1"/>
  <c r="EK40" i="109"/>
  <c r="EE40" i="109"/>
  <c r="EI40" i="109"/>
  <c r="EF40" i="109"/>
  <c r="EK7" i="109"/>
  <c r="EF7" i="109"/>
  <c r="EI7" i="109"/>
  <c r="EE7" i="109"/>
  <c r="EH7" i="109"/>
  <c r="EL7" i="109" s="1"/>
  <c r="DX35" i="109"/>
  <c r="CM35" i="109"/>
  <c r="MW43" i="109"/>
  <c r="DQ43" i="109"/>
  <c r="MX43" i="109" s="1"/>
  <c r="MW45" i="109"/>
  <c r="DQ45" i="109"/>
  <c r="MX45" i="109" s="1"/>
  <c r="DI7" i="109"/>
  <c r="LV7" i="109"/>
  <c r="HJ7" i="109"/>
  <c r="EG22" i="109"/>
  <c r="EA22" i="109"/>
  <c r="ED22" i="109"/>
  <c r="MW26" i="109"/>
  <c r="DQ26" i="109"/>
  <c r="MX26" i="109" s="1"/>
  <c r="ED15" i="109"/>
  <c r="EG15" i="109"/>
  <c r="EA15" i="109"/>
  <c r="GZ53" i="109"/>
  <c r="MY53" i="109"/>
  <c r="DS16" i="109"/>
  <c r="EI28" i="109"/>
  <c r="EE28" i="109"/>
  <c r="EK28" i="109"/>
  <c r="EF28" i="109"/>
  <c r="EH28" i="109"/>
  <c r="EL28" i="109" s="1"/>
  <c r="MW19" i="109"/>
  <c r="DQ19" i="109"/>
  <c r="MX19" i="109" s="1"/>
  <c r="DX13" i="109"/>
  <c r="CM13" i="109"/>
  <c r="DI8" i="109"/>
  <c r="LV8" i="109"/>
  <c r="DI33" i="109"/>
  <c r="LV33" i="109"/>
  <c r="EF27" i="109"/>
  <c r="EI27" i="109"/>
  <c r="EE27" i="109"/>
  <c r="EH27" i="109"/>
  <c r="EL27" i="109" s="1"/>
  <c r="EK27" i="109"/>
  <c r="EH36" i="109"/>
  <c r="EL36" i="109" s="1"/>
  <c r="EK36" i="109"/>
  <c r="EF36" i="109"/>
  <c r="EI36" i="109"/>
  <c r="EE36" i="109"/>
  <c r="DV48" i="109"/>
  <c r="DW48" i="109" s="1"/>
  <c r="DB48" i="109"/>
  <c r="LS48" i="109"/>
  <c r="DA48" i="109"/>
  <c r="DT48" i="109"/>
  <c r="DI18" i="109"/>
  <c r="LV18" i="109"/>
  <c r="HJ35" i="109"/>
  <c r="EI14" i="109"/>
  <c r="EE14" i="109"/>
  <c r="EH14" i="109"/>
  <c r="EL14" i="109" s="1"/>
  <c r="EK14" i="109"/>
  <c r="EF14" i="109"/>
  <c r="DV44" i="109"/>
  <c r="DB44" i="109"/>
  <c r="LS44" i="109"/>
  <c r="DA44" i="109"/>
  <c r="DT44" i="109"/>
  <c r="DS7" i="109"/>
  <c r="LV13" i="109"/>
  <c r="DI13" i="109"/>
  <c r="LS47" i="109"/>
  <c r="DV47" i="109"/>
  <c r="DB47" i="109"/>
  <c r="DT47" i="109"/>
  <c r="DA47" i="109"/>
  <c r="DV40" i="109"/>
  <c r="DB40" i="109"/>
  <c r="LS40" i="109"/>
  <c r="DA40" i="109"/>
  <c r="DT40" i="109"/>
  <c r="DS27" i="109"/>
  <c r="CM10" i="109"/>
  <c r="DX10" i="109"/>
  <c r="EC37" i="109"/>
  <c r="MI53" i="109"/>
  <c r="KN53" i="109"/>
  <c r="MJ53" i="109" s="1"/>
  <c r="MW9" i="109"/>
  <c r="DQ9" i="109"/>
  <c r="MX9" i="109" s="1"/>
  <c r="CM32" i="109"/>
  <c r="DX32" i="109"/>
  <c r="DY32" i="109" s="1"/>
  <c r="LV47" i="109"/>
  <c r="DI47" i="109"/>
  <c r="DS46" i="109"/>
  <c r="DS28" i="109"/>
  <c r="EC14" i="109"/>
  <c r="CM51" i="109"/>
  <c r="DX51" i="109"/>
  <c r="EK21" i="109"/>
  <c r="EF21" i="109"/>
  <c r="EI21" i="109"/>
  <c r="EE21" i="109"/>
  <c r="EH21" i="109"/>
  <c r="EL21" i="109" s="1"/>
  <c r="MW12" i="109"/>
  <c r="DQ12" i="109"/>
  <c r="MX12" i="109" s="1"/>
  <c r="MW30" i="109"/>
  <c r="DQ30" i="109"/>
  <c r="MX30" i="109" s="1"/>
  <c r="CM16" i="109"/>
  <c r="DX16" i="109"/>
  <c r="MW22" i="109"/>
  <c r="DQ22" i="109"/>
  <c r="MX22" i="109" s="1"/>
  <c r="CM48" i="109"/>
  <c r="DX48" i="109"/>
  <c r="DS8" i="109"/>
  <c r="MW11" i="109"/>
  <c r="DQ11" i="109"/>
  <c r="MX11" i="109" s="1"/>
  <c r="DS31" i="109"/>
  <c r="DX27" i="109"/>
  <c r="CM27" i="109"/>
  <c r="DT42" i="109"/>
  <c r="LS42" i="109"/>
  <c r="DB42" i="109"/>
  <c r="DA42" i="109"/>
  <c r="DV42" i="109"/>
  <c r="DS38" i="109"/>
  <c r="DS23" i="109"/>
  <c r="MI51" i="109"/>
  <c r="KN51" i="109"/>
  <c r="MJ51" i="109" s="1"/>
  <c r="MQ51" i="109"/>
  <c r="MC51" i="109"/>
  <c r="HB51" i="109"/>
  <c r="MD51" i="109" s="1"/>
  <c r="CM7" i="109"/>
  <c r="DX7" i="109"/>
  <c r="CM39" i="109"/>
  <c r="DX39" i="109"/>
  <c r="MW18" i="109"/>
  <c r="DQ18" i="109"/>
  <c r="MX18" i="109" s="1"/>
  <c r="DQ53" i="109"/>
  <c r="MX53" i="109" s="1"/>
  <c r="MW53" i="109"/>
  <c r="MW21" i="109"/>
  <c r="DQ21" i="109"/>
  <c r="MX21" i="109" s="1"/>
  <c r="EF9" i="109"/>
  <c r="EI9" i="109"/>
  <c r="EE9" i="109"/>
  <c r="EH9" i="109"/>
  <c r="EL9" i="109" s="1"/>
  <c r="EK9" i="109"/>
  <c r="LV52" i="109"/>
  <c r="DI52" i="109"/>
  <c r="NB51" i="109"/>
  <c r="EI47" i="109"/>
  <c r="EE47" i="109"/>
  <c r="EH47" i="109"/>
  <c r="EL47" i="109" s="1"/>
  <c r="EK47" i="109"/>
  <c r="EF47" i="109"/>
  <c r="EF17" i="109"/>
  <c r="EI17" i="109"/>
  <c r="EE17" i="109"/>
  <c r="EH17" i="109"/>
  <c r="EL17" i="109" s="1"/>
  <c r="EK17" i="109"/>
  <c r="CL21" i="1"/>
  <c r="CM21" i="1" s="1"/>
  <c r="HB7" i="109"/>
  <c r="DX46" i="109"/>
  <c r="CM46" i="109"/>
  <c r="LS16" i="109"/>
  <c r="DA16" i="109"/>
  <c r="DT16" i="109"/>
  <c r="DV16" i="109"/>
  <c r="DB16" i="109"/>
  <c r="DH45" i="109"/>
  <c r="LU45" i="109"/>
  <c r="DG45" i="109"/>
  <c r="DX47" i="109"/>
  <c r="CM47" i="109"/>
  <c r="EC13" i="109"/>
  <c r="DI14" i="109"/>
  <c r="LV14" i="109"/>
  <c r="DV35" i="109"/>
  <c r="LS35" i="109"/>
  <c r="DB35" i="109"/>
  <c r="DT35" i="109"/>
  <c r="DA35" i="109"/>
  <c r="LV46" i="109"/>
  <c r="DI46" i="109"/>
  <c r="CM8" i="109"/>
  <c r="DX8" i="109"/>
  <c r="CM41" i="109"/>
  <c r="DX41" i="109"/>
  <c r="DX28" i="109"/>
  <c r="CM28" i="109"/>
  <c r="MW48" i="109"/>
  <c r="DQ48" i="109"/>
  <c r="MX48" i="109" s="1"/>
  <c r="HB35" i="109"/>
  <c r="DS37" i="109"/>
  <c r="DV25" i="109"/>
  <c r="DB25" i="109"/>
  <c r="LS25" i="109"/>
  <c r="DA25" i="109"/>
  <c r="DT25" i="109"/>
  <c r="MW44" i="109"/>
  <c r="DQ44" i="109"/>
  <c r="MX44" i="109" s="1"/>
  <c r="LS7" i="109"/>
  <c r="DA7" i="109"/>
  <c r="DT7" i="109"/>
  <c r="DV7" i="109"/>
  <c r="DB7" i="109"/>
  <c r="DV52" i="109"/>
  <c r="DB52" i="109"/>
  <c r="LS52" i="109"/>
  <c r="DA52" i="109"/>
  <c r="DT52" i="109"/>
  <c r="MW47" i="109"/>
  <c r="DQ47" i="109"/>
  <c r="MX47" i="109" s="1"/>
  <c r="CM24" i="109"/>
  <c r="DX24" i="109"/>
  <c r="DV14" i="109"/>
  <c r="DB14" i="109"/>
  <c r="LS14" i="109"/>
  <c r="DA14" i="109"/>
  <c r="DT14" i="109"/>
  <c r="DV39" i="109"/>
  <c r="DB39" i="109"/>
  <c r="LS39" i="109"/>
  <c r="DT39" i="109"/>
  <c r="DA39" i="109"/>
  <c r="DI48" i="109"/>
  <c r="LV48" i="109"/>
  <c r="MW40" i="109"/>
  <c r="DQ40" i="109"/>
  <c r="MX40" i="109" s="1"/>
  <c r="DT27" i="109"/>
  <c r="DV27" i="109"/>
  <c r="DB27" i="109"/>
  <c r="LS27" i="109"/>
  <c r="DA27" i="109"/>
  <c r="EC10" i="109"/>
  <c r="MV53" i="109"/>
  <c r="MQ53" i="109"/>
  <c r="HB53" i="109"/>
  <c r="MD53" i="109" s="1"/>
  <c r="MC53" i="109"/>
  <c r="EH33" i="109"/>
  <c r="EL33" i="109" s="1"/>
  <c r="EK33" i="109"/>
  <c r="EF33" i="109"/>
  <c r="EI33" i="109"/>
  <c r="EE33" i="109"/>
  <c r="DT46" i="109"/>
  <c r="LS46" i="109"/>
  <c r="DA46" i="109"/>
  <c r="DV46" i="109"/>
  <c r="DB46" i="109"/>
  <c r="LS28" i="109"/>
  <c r="DT28" i="109"/>
  <c r="DB28" i="109"/>
  <c r="DA28" i="109"/>
  <c r="DV28" i="109"/>
  <c r="DI40" i="109"/>
  <c r="LV40" i="109"/>
  <c r="DI12" i="109"/>
  <c r="LV12" i="109"/>
  <c r="DH15" i="109"/>
  <c r="LU15" i="109"/>
  <c r="DG15" i="109"/>
  <c r="EH19" i="109"/>
  <c r="EL19" i="109" s="1"/>
  <c r="EK19" i="109"/>
  <c r="EF19" i="109"/>
  <c r="EI19" i="109"/>
  <c r="EE19" i="109"/>
  <c r="CM53" i="109"/>
  <c r="DX53" i="109"/>
  <c r="EC51" i="109"/>
  <c r="DI36" i="109"/>
  <c r="LV36" i="109"/>
  <c r="EC16" i="109"/>
  <c r="EK8" i="109"/>
  <c r="EF8" i="109"/>
  <c r="EI8" i="109"/>
  <c r="EE8" i="109"/>
  <c r="EH8" i="109"/>
  <c r="EL8" i="109" s="1"/>
  <c r="CM52" i="109"/>
  <c r="DX52" i="109"/>
  <c r="EC48" i="109"/>
  <c r="LS8" i="109"/>
  <c r="DA8" i="109"/>
  <c r="DT8" i="109"/>
  <c r="DV8" i="109"/>
  <c r="DB8" i="109"/>
  <c r="CM19" i="109"/>
  <c r="DX19" i="109"/>
  <c r="DS41" i="109"/>
  <c r="DS13" i="109"/>
  <c r="DI16" i="109"/>
  <c r="LV16" i="109"/>
  <c r="EF42" i="109"/>
  <c r="EI42" i="109"/>
  <c r="EE42" i="109"/>
  <c r="EK42" i="109"/>
  <c r="EH42" i="109"/>
  <c r="EL42" i="109" s="1"/>
  <c r="DT31" i="109"/>
  <c r="DV31" i="109"/>
  <c r="DB31" i="109"/>
  <c r="LS31" i="109"/>
  <c r="DA31" i="109"/>
  <c r="EC27" i="109"/>
  <c r="CM25" i="109"/>
  <c r="DX25" i="109"/>
  <c r="MW42" i="109"/>
  <c r="DQ42" i="109"/>
  <c r="MX42" i="109" s="1"/>
  <c r="DI30" i="109"/>
  <c r="LV30" i="109"/>
  <c r="DS17" i="109"/>
  <c r="DI10" i="109"/>
  <c r="LV10" i="109"/>
  <c r="DT38" i="109"/>
  <c r="DV38" i="109"/>
  <c r="DB38" i="109"/>
  <c r="LS38" i="109"/>
  <c r="DA38" i="109"/>
  <c r="DT23" i="109"/>
  <c r="DV23" i="109"/>
  <c r="DB23" i="109"/>
  <c r="LS23" i="109"/>
  <c r="DA23" i="109"/>
  <c r="DI51" i="109"/>
  <c r="LV51" i="109"/>
  <c r="ME51" i="109"/>
  <c r="MS51" i="109"/>
  <c r="HJ51" i="109"/>
  <c r="MF51" i="109" s="1"/>
  <c r="EI18" i="109"/>
  <c r="EE18" i="109"/>
  <c r="EH18" i="109"/>
  <c r="EL18" i="109" s="1"/>
  <c r="EK18" i="109"/>
  <c r="EF18" i="109"/>
  <c r="EC7" i="109"/>
  <c r="CM11" i="109"/>
  <c r="DX11" i="109"/>
  <c r="LV21" i="109"/>
  <c r="DI21" i="109"/>
  <c r="EC39" i="109"/>
  <c r="EI35" i="109"/>
  <c r="EE35" i="109"/>
  <c r="EH35" i="109"/>
  <c r="EL35" i="109" s="1"/>
  <c r="EK35" i="109"/>
  <c r="EF35" i="109"/>
  <c r="EK30" i="109"/>
  <c r="EF30" i="109"/>
  <c r="EI30" i="109"/>
  <c r="EE30" i="109"/>
  <c r="EH30" i="109"/>
  <c r="EL30" i="109" s="1"/>
  <c r="DS18" i="109"/>
  <c r="DS53" i="109"/>
  <c r="EK16" i="109"/>
  <c r="EF16" i="109"/>
  <c r="EI16" i="109"/>
  <c r="EE16" i="109"/>
  <c r="EH16" i="109"/>
  <c r="EL16" i="109" s="1"/>
  <c r="EH29" i="109"/>
  <c r="EL29" i="109" s="1"/>
  <c r="EK29" i="109"/>
  <c r="EF29" i="109"/>
  <c r="EI29" i="109"/>
  <c r="EE29" i="109"/>
  <c r="EK26" i="109"/>
  <c r="EF26" i="109"/>
  <c r="EI26" i="109"/>
  <c r="EE26" i="109"/>
  <c r="EH26" i="109"/>
  <c r="EL26" i="109" s="1"/>
  <c r="CM33" i="109"/>
  <c r="DX33" i="109"/>
  <c r="EC35" i="109"/>
  <c r="DS45" i="109"/>
  <c r="CI21" i="1"/>
  <c r="EG21" i="1" s="1"/>
  <c r="EL21" i="1" s="1"/>
  <c r="EH25" i="109"/>
  <c r="EL25" i="109" s="1"/>
  <c r="EK25" i="109"/>
  <c r="EF25" i="109"/>
  <c r="EI25" i="109"/>
  <c r="EE25" i="109"/>
  <c r="KN7" i="109"/>
  <c r="DS26" i="109"/>
  <c r="DV24" i="109"/>
  <c r="DB24" i="109"/>
  <c r="LS24" i="109"/>
  <c r="DA24" i="109"/>
  <c r="DT24" i="109"/>
  <c r="DI43" i="109"/>
  <c r="LV43" i="109"/>
  <c r="DX23" i="109"/>
  <c r="CM23" i="109"/>
  <c r="EC46" i="109"/>
  <c r="EK41" i="109"/>
  <c r="EF41" i="109"/>
  <c r="EH41" i="109"/>
  <c r="EL41" i="109" s="1"/>
  <c r="EE41" i="109"/>
  <c r="EI41" i="109"/>
  <c r="MW16" i="109"/>
  <c r="DQ16" i="109"/>
  <c r="MX16" i="109" s="1"/>
  <c r="LV27" i="109"/>
  <c r="DI27" i="109"/>
  <c r="DV10" i="109"/>
  <c r="DB10" i="109"/>
  <c r="LS10" i="109"/>
  <c r="DA10" i="109"/>
  <c r="DT10" i="109"/>
  <c r="DI24" i="109"/>
  <c r="LV24" i="109"/>
  <c r="DH22" i="109"/>
  <c r="LU22" i="109"/>
  <c r="DG22" i="109"/>
  <c r="EI53" i="109"/>
  <c r="EE53" i="109"/>
  <c r="EH53" i="109"/>
  <c r="EL53" i="109" s="1"/>
  <c r="EK53" i="109"/>
  <c r="EF53" i="109"/>
  <c r="EH51" i="109"/>
  <c r="EL51" i="109" s="1"/>
  <c r="EI51" i="109"/>
  <c r="EF51" i="109"/>
  <c r="EK51" i="109"/>
  <c r="EE51" i="109"/>
  <c r="EC47" i="109"/>
  <c r="CM21" i="109"/>
  <c r="DX21" i="109"/>
  <c r="LV17" i="109"/>
  <c r="DI17" i="109"/>
  <c r="LS51" i="109"/>
  <c r="DV51" i="109"/>
  <c r="DB51" i="109"/>
  <c r="DA51" i="109"/>
  <c r="DT51" i="109"/>
  <c r="EH44" i="109"/>
  <c r="EL44" i="109" s="1"/>
  <c r="EK44" i="109"/>
  <c r="EF44" i="109"/>
  <c r="EI44" i="109"/>
  <c r="EE44" i="109"/>
  <c r="MW35" i="109"/>
  <c r="DQ35" i="109"/>
  <c r="MX35" i="109" s="1"/>
  <c r="DV33" i="109"/>
  <c r="DB33" i="109"/>
  <c r="LS33" i="109"/>
  <c r="DA33" i="109"/>
  <c r="DT33" i="109"/>
  <c r="EC8" i="109"/>
  <c r="HH7" i="109"/>
  <c r="DI29" i="109"/>
  <c r="LV29" i="109"/>
  <c r="EC41" i="109"/>
  <c r="EC28" i="109"/>
  <c r="DS48" i="109"/>
  <c r="KN35" i="109"/>
  <c r="LS37" i="109"/>
  <c r="DA37" i="109"/>
  <c r="DT37" i="109"/>
  <c r="DV37" i="109"/>
  <c r="DB37" i="109"/>
  <c r="MW25" i="109"/>
  <c r="DQ25" i="109"/>
  <c r="MX25" i="109" s="1"/>
  <c r="DS44" i="109"/>
  <c r="MW7" i="109"/>
  <c r="DQ7" i="109"/>
  <c r="MX7" i="109" s="1"/>
  <c r="MW52" i="109"/>
  <c r="DQ52" i="109"/>
  <c r="MX52" i="109" s="1"/>
  <c r="DS47" i="109"/>
  <c r="CM29" i="109"/>
  <c r="DX29" i="109"/>
  <c r="EC24" i="109"/>
  <c r="MW14" i="109"/>
  <c r="DQ14" i="109"/>
  <c r="MX14" i="109" s="1"/>
  <c r="MW39" i="109"/>
  <c r="DQ39" i="109"/>
  <c r="MX39" i="109" s="1"/>
  <c r="DS40" i="109"/>
  <c r="MW27" i="109"/>
  <c r="DQ27" i="109"/>
  <c r="MX27" i="109" s="1"/>
  <c r="CM36" i="109"/>
  <c r="DX36" i="109"/>
  <c r="HJ53" i="109"/>
  <c r="MF53" i="109" s="1"/>
  <c r="ME53" i="109"/>
  <c r="MS53" i="109"/>
  <c r="EK52" i="109"/>
  <c r="EE52" i="109"/>
  <c r="EI52" i="109"/>
  <c r="EH52" i="109"/>
  <c r="EL52" i="109" s="1"/>
  <c r="EF52" i="109"/>
  <c r="EI48" i="109"/>
  <c r="EE48" i="109"/>
  <c r="EH48" i="109"/>
  <c r="EL48" i="109" s="1"/>
  <c r="EK48" i="109"/>
  <c r="EF48" i="109"/>
  <c r="DS9" i="109"/>
  <c r="MY51" i="109"/>
  <c r="GZ51" i="109"/>
  <c r="MW46" i="109"/>
  <c r="DQ46" i="109"/>
  <c r="MX46" i="109" s="1"/>
  <c r="MW28" i="109"/>
  <c r="DQ28" i="109"/>
  <c r="MX28" i="109" s="1"/>
  <c r="CM40" i="109"/>
  <c r="DX40" i="109"/>
  <c r="DI37" i="109"/>
  <c r="LV37" i="109"/>
  <c r="DX31" i="109"/>
  <c r="CM31" i="109"/>
  <c r="EC53" i="109"/>
  <c r="DV15" i="109"/>
  <c r="DB15" i="109"/>
  <c r="LS15" i="109"/>
  <c r="DA15" i="109"/>
  <c r="DT15" i="109"/>
  <c r="DV36" i="109"/>
  <c r="DB36" i="109"/>
  <c r="LS36" i="109"/>
  <c r="DA36" i="109"/>
  <c r="DT36" i="109"/>
  <c r="DS12" i="109"/>
  <c r="DS30" i="109"/>
  <c r="DX9" i="109"/>
  <c r="CM9" i="109"/>
  <c r="NB52" i="109"/>
  <c r="CM22" i="109"/>
  <c r="DX22" i="109"/>
  <c r="DS22" i="109"/>
  <c r="EC52" i="109"/>
  <c r="MW8" i="109"/>
  <c r="DQ8" i="109"/>
  <c r="MX8" i="109" s="1"/>
  <c r="LV31" i="109"/>
  <c r="DI31" i="109"/>
  <c r="EC19" i="109"/>
  <c r="LS41" i="109"/>
  <c r="DA41" i="109"/>
  <c r="DT41" i="109"/>
  <c r="DB41" i="109"/>
  <c r="DV41" i="109"/>
  <c r="DT13" i="109"/>
  <c r="DV13" i="109"/>
  <c r="DB13" i="109"/>
  <c r="LS13" i="109"/>
  <c r="DA13" i="109"/>
  <c r="LV9" i="109"/>
  <c r="DI9" i="109"/>
  <c r="MW31" i="109"/>
  <c r="DQ31" i="109"/>
  <c r="MX31" i="109" s="1"/>
  <c r="CM26" i="109"/>
  <c r="DX26" i="109"/>
  <c r="EC25" i="109"/>
  <c r="DI11" i="109"/>
  <c r="LV11" i="109"/>
  <c r="EK37" i="109"/>
  <c r="EF37" i="109"/>
  <c r="EI37" i="109"/>
  <c r="EE37" i="109"/>
  <c r="EH37" i="109"/>
  <c r="EL37" i="109" s="1"/>
  <c r="EF46" i="109"/>
  <c r="EI46" i="109"/>
  <c r="EE46" i="109"/>
  <c r="EK46" i="109"/>
  <c r="EH46" i="109"/>
  <c r="EL46" i="109" s="1"/>
  <c r="DT17" i="109"/>
  <c r="DV17" i="109"/>
  <c r="DB17" i="109"/>
  <c r="LS17" i="109"/>
  <c r="DA17" i="109"/>
  <c r="MW38" i="109"/>
  <c r="DQ38" i="109"/>
  <c r="MX38" i="109" s="1"/>
  <c r="MW23" i="109"/>
  <c r="DQ23" i="109"/>
  <c r="MX23" i="109" s="1"/>
  <c r="CM43" i="109"/>
  <c r="DX43" i="109"/>
  <c r="DV32" i="109"/>
  <c r="DB32" i="109"/>
  <c r="LS32" i="109"/>
  <c r="DA32" i="109"/>
  <c r="DT32" i="109"/>
  <c r="EF31" i="109"/>
  <c r="EI31" i="109"/>
  <c r="EE31" i="109"/>
  <c r="EH31" i="109"/>
  <c r="EL31" i="109" s="1"/>
  <c r="EK31" i="109"/>
  <c r="DV29" i="109"/>
  <c r="DB29" i="109"/>
  <c r="LS29" i="109"/>
  <c r="DA29" i="109"/>
  <c r="DT29" i="109"/>
  <c r="EC11" i="109"/>
  <c r="DI26" i="109"/>
  <c r="LV26" i="109"/>
  <c r="CM44" i="109"/>
  <c r="DX44" i="109"/>
  <c r="DS21" i="109"/>
  <c r="DX17" i="109"/>
  <c r="CM17" i="109"/>
  <c r="MV52" i="109"/>
  <c r="HB52" i="109"/>
  <c r="MD52" i="109" s="1"/>
  <c r="MC52" i="109"/>
  <c r="MQ52" i="109"/>
  <c r="DX38" i="109"/>
  <c r="CM38" i="109"/>
  <c r="EI10" i="109"/>
  <c r="EE10" i="109"/>
  <c r="EH10" i="109"/>
  <c r="EL10" i="109" s="1"/>
  <c r="EK10" i="109"/>
  <c r="EF10" i="109"/>
  <c r="EC33" i="109"/>
  <c r="CM12" i="109"/>
  <c r="DX12" i="109"/>
  <c r="DV43" i="109"/>
  <c r="DB43" i="109"/>
  <c r="LS43" i="109"/>
  <c r="DA43" i="109"/>
  <c r="DT43" i="109"/>
  <c r="DI41" i="109"/>
  <c r="LV41" i="109"/>
  <c r="LS45" i="109"/>
  <c r="DA45" i="109"/>
  <c r="DT45" i="109"/>
  <c r="DV45" i="109"/>
  <c r="DB45" i="109"/>
  <c r="DW22" i="1"/>
  <c r="LV24" i="1"/>
  <c r="DY22" i="1"/>
  <c r="EK22" i="1"/>
  <c r="EL20" i="1"/>
  <c r="DY21" i="1"/>
  <c r="DW20" i="1"/>
  <c r="EK20" i="1"/>
  <c r="EI20" i="1"/>
  <c r="DH20" i="10"/>
  <c r="DG20" i="10"/>
  <c r="ED22" i="1"/>
  <c r="CM22" i="1"/>
  <c r="DJ22" i="10"/>
  <c r="DI22" i="10"/>
  <c r="MI21" i="1"/>
  <c r="LB21" i="1"/>
  <c r="MJ21" i="1" s="1"/>
  <c r="LG21" i="1"/>
  <c r="DH21" i="1"/>
  <c r="DG21" i="1"/>
  <c r="EB21" i="1"/>
  <c r="DZ21" i="1"/>
  <c r="LG20" i="1"/>
  <c r="DG20" i="1"/>
  <c r="EB20" i="1"/>
  <c r="DH20" i="1"/>
  <c r="DZ20" i="1"/>
  <c r="DM21" i="1"/>
  <c r="DN21" i="1"/>
  <c r="LI21" i="1"/>
  <c r="DO20" i="1"/>
  <c r="LJ20" i="1"/>
  <c r="EK21" i="1"/>
  <c r="DG22" i="10"/>
  <c r="GO21" i="1"/>
  <c r="GN21" i="1"/>
  <c r="KV21" i="1"/>
  <c r="KW21" i="1"/>
  <c r="MC21" i="1"/>
  <c r="HB21" i="1"/>
  <c r="MD21" i="1" s="1"/>
  <c r="ED20" i="1"/>
  <c r="CM20" i="1"/>
  <c r="DG21" i="10"/>
  <c r="DH21" i="10"/>
  <c r="LJ22" i="1"/>
  <c r="DO22" i="1"/>
  <c r="LS22" i="1"/>
  <c r="GP22" i="1"/>
  <c r="LT22" i="1" s="1"/>
  <c r="EI21" i="1"/>
  <c r="DW21" i="1"/>
  <c r="LY22" i="1"/>
  <c r="GX22" i="1"/>
  <c r="LZ22" i="1" s="1"/>
  <c r="LG22" i="1"/>
  <c r="EB22" i="1"/>
  <c r="DZ22" i="1"/>
  <c r="DG22" i="1"/>
  <c r="DH22" i="1"/>
  <c r="GX20" i="1"/>
  <c r="LZ20" i="1" s="1"/>
  <c r="LY20" i="1"/>
  <c r="GV21" i="1"/>
  <c r="GW21" i="1"/>
  <c r="LW21" i="1"/>
  <c r="GT21" i="1"/>
  <c r="LX21" i="1" s="1"/>
  <c r="GP20" i="1"/>
  <c r="LT20" i="1" s="1"/>
  <c r="LS20" i="1"/>
  <c r="GP18" i="1"/>
  <c r="LT18" i="1" s="1"/>
  <c r="LS18" i="1"/>
  <c r="GX18" i="1"/>
  <c r="LZ18" i="1" s="1"/>
  <c r="LY18" i="1"/>
  <c r="GP19" i="1"/>
  <c r="LT19" i="1" s="1"/>
  <c r="LS19" i="1"/>
  <c r="GX19" i="1"/>
  <c r="LZ19" i="1" s="1"/>
  <c r="LY19" i="1"/>
  <c r="DB16" i="10"/>
  <c r="CE16" i="10"/>
  <c r="CI16" i="10" s="1"/>
  <c r="DF16" i="10" s="1"/>
  <c r="DA15" i="10"/>
  <c r="DA12" i="10"/>
  <c r="DA13" i="10"/>
  <c r="CZ14" i="10"/>
  <c r="CH14" i="10"/>
  <c r="DE14" i="10" s="1"/>
  <c r="CO14" i="10"/>
  <c r="DB14" i="10"/>
  <c r="CE14" i="10"/>
  <c r="CG14" i="10" s="1"/>
  <c r="DD14" i="10" s="1"/>
  <c r="DC12" i="10"/>
  <c r="DE16" i="10"/>
  <c r="CQ16" i="10"/>
  <c r="CS16" i="10"/>
  <c r="CZ12" i="10"/>
  <c r="CH12" i="10"/>
  <c r="CJ12" i="10" s="1"/>
  <c r="CO12" i="10"/>
  <c r="CE12" i="10"/>
  <c r="CG12" i="10" s="1"/>
  <c r="DD12" i="10" s="1"/>
  <c r="DB12" i="10"/>
  <c r="CO13" i="10"/>
  <c r="CH13" i="10"/>
  <c r="DE13" i="10" s="1"/>
  <c r="CZ13" i="10"/>
  <c r="DB13" i="10"/>
  <c r="CE13" i="10"/>
  <c r="CF13" i="10"/>
  <c r="DC16" i="10"/>
  <c r="CJ16" i="10"/>
  <c r="DC14" i="10"/>
  <c r="DA14" i="10"/>
  <c r="CF15" i="10"/>
  <c r="CO15" i="10"/>
  <c r="CZ15" i="10"/>
  <c r="CH15" i="10"/>
  <c r="DE15" i="10" s="1"/>
  <c r="DB15" i="10"/>
  <c r="CE15" i="10"/>
  <c r="DI8" i="10"/>
  <c r="CF8" i="10"/>
  <c r="GT13" i="1"/>
  <c r="LX13" i="1" s="1"/>
  <c r="DB10" i="10"/>
  <c r="GO10" i="1"/>
  <c r="LS10" i="1" s="1"/>
  <c r="LB13" i="1"/>
  <c r="MJ13" i="1" s="1"/>
  <c r="KV10" i="1"/>
  <c r="KX10" i="1" s="1"/>
  <c r="MF10" i="1" s="1"/>
  <c r="LB10" i="1"/>
  <c r="MJ10" i="1" s="1"/>
  <c r="HB13" i="1"/>
  <c r="MD13" i="1" s="1"/>
  <c r="KV12" i="1"/>
  <c r="KX12" i="1" s="1"/>
  <c r="MF12" i="1" s="1"/>
  <c r="HB10" i="1"/>
  <c r="MD10" i="1" s="1"/>
  <c r="EG17" i="1"/>
  <c r="GV10" i="1"/>
  <c r="GX10" i="1" s="1"/>
  <c r="LZ10" i="1" s="1"/>
  <c r="CE10" i="10"/>
  <c r="CI10" i="10" s="1"/>
  <c r="DF10" i="10" s="1"/>
  <c r="GN12" i="1"/>
  <c r="GP12" i="1" s="1"/>
  <c r="LT12" i="1" s="1"/>
  <c r="GT9" i="1"/>
  <c r="LX9" i="1" s="1"/>
  <c r="GT10" i="1"/>
  <c r="LX10" i="1" s="1"/>
  <c r="GP17" i="1"/>
  <c r="LT17" i="1" s="1"/>
  <c r="LB9" i="1"/>
  <c r="MJ9" i="1" s="1"/>
  <c r="GT12" i="1"/>
  <c r="LX12" i="1" s="1"/>
  <c r="HB12" i="1"/>
  <c r="MD12" i="1" s="1"/>
  <c r="CM19" i="1"/>
  <c r="LW12" i="1"/>
  <c r="EG18" i="1"/>
  <c r="CE8" i="10"/>
  <c r="DW8" i="1"/>
  <c r="DW9" i="1"/>
  <c r="DY8" i="1"/>
  <c r="HB9" i="1"/>
  <c r="MD9" i="1" s="1"/>
  <c r="DY12" i="1"/>
  <c r="DC9" i="10"/>
  <c r="DW12" i="1"/>
  <c r="CS10" i="10"/>
  <c r="CQ10" i="10"/>
  <c r="CZ11" i="10"/>
  <c r="DA20" i="10" s="1"/>
  <c r="DA11" i="10"/>
  <c r="CE11" i="10"/>
  <c r="DB11" i="10"/>
  <c r="CH11" i="10"/>
  <c r="CO11" i="10"/>
  <c r="CF11" i="10"/>
  <c r="DY13" i="1"/>
  <c r="CJ10" i="10"/>
  <c r="DE10" i="10"/>
  <c r="DB9" i="10"/>
  <c r="CZ9" i="10"/>
  <c r="CE9" i="10"/>
  <c r="CG9" i="10" s="1"/>
  <c r="DD9" i="10" s="1"/>
  <c r="CO9" i="10"/>
  <c r="CH9" i="10"/>
  <c r="DA9" i="10"/>
  <c r="CO8" i="10"/>
  <c r="CH8" i="10"/>
  <c r="DA8" i="10"/>
  <c r="DB8" i="10"/>
  <c r="EG14" i="1"/>
  <c r="EG13" i="1"/>
  <c r="EG8" i="1"/>
  <c r="EG12" i="1"/>
  <c r="EG10" i="1"/>
  <c r="EG9" i="1"/>
  <c r="MC7" i="1"/>
  <c r="HB7" i="1"/>
  <c r="MD7" i="1" s="1"/>
  <c r="LY9" i="1"/>
  <c r="GX9" i="1"/>
  <c r="LZ9" i="1" s="1"/>
  <c r="LY10" i="1"/>
  <c r="DZ7" i="1"/>
  <c r="DG7" i="1"/>
  <c r="DH7" i="1"/>
  <c r="EB7" i="1"/>
  <c r="LG7" i="1"/>
  <c r="LG9" i="1"/>
  <c r="EB9" i="1"/>
  <c r="DZ9" i="1"/>
  <c r="DG9" i="1"/>
  <c r="DH9" i="1"/>
  <c r="LJ12" i="1"/>
  <c r="DO12" i="1"/>
  <c r="GW14" i="1"/>
  <c r="GV14" i="1"/>
  <c r="MI7" i="1"/>
  <c r="LB7" i="1"/>
  <c r="MJ7" i="1" s="1"/>
  <c r="DW10" i="1"/>
  <c r="EB14" i="1"/>
  <c r="DZ14" i="1"/>
  <c r="LG14" i="1"/>
  <c r="DG14" i="1"/>
  <c r="DH14" i="1"/>
  <c r="GV8" i="1"/>
  <c r="GW8" i="1"/>
  <c r="LI8" i="1"/>
  <c r="DM8" i="1"/>
  <c r="DN8" i="1"/>
  <c r="GV7" i="1"/>
  <c r="GW7" i="1"/>
  <c r="GX12" i="1"/>
  <c r="LZ12" i="1" s="1"/>
  <c r="LY12" i="1"/>
  <c r="MI14" i="1"/>
  <c r="LB14" i="1"/>
  <c r="MJ14" i="1" s="1"/>
  <c r="CL10" i="1"/>
  <c r="EH10" i="1"/>
  <c r="EI10" i="1" s="1"/>
  <c r="CL9" i="1"/>
  <c r="EH9" i="1"/>
  <c r="EI9" i="1" s="1"/>
  <c r="HB8" i="1"/>
  <c r="MD8" i="1" s="1"/>
  <c r="MC8" i="1"/>
  <c r="GX13" i="1"/>
  <c r="LZ13" i="1" s="1"/>
  <c r="LY13" i="1"/>
  <c r="DW7" i="1"/>
  <c r="GP9" i="1"/>
  <c r="LT9" i="1" s="1"/>
  <c r="LJ10" i="1"/>
  <c r="DO10" i="1"/>
  <c r="DY9" i="1"/>
  <c r="GN14" i="1"/>
  <c r="GO14" i="1"/>
  <c r="DY10" i="1"/>
  <c r="DY14" i="1"/>
  <c r="GO8" i="1"/>
  <c r="LS8" i="1" s="1"/>
  <c r="GN8" i="1"/>
  <c r="GP13" i="1"/>
  <c r="LT13" i="1" s="1"/>
  <c r="ME13" i="1"/>
  <c r="KX13" i="1"/>
  <c r="MF13" i="1" s="1"/>
  <c r="LJ13" i="1"/>
  <c r="DO13" i="1"/>
  <c r="DY7" i="1"/>
  <c r="DM14" i="1"/>
  <c r="LI14" i="1"/>
  <c r="DN14" i="1"/>
  <c r="CL12" i="1"/>
  <c r="EH12" i="1"/>
  <c r="EI12" i="1" s="1"/>
  <c r="GT7" i="1"/>
  <c r="LX7" i="1" s="1"/>
  <c r="LW7" i="1"/>
  <c r="GT8" i="1"/>
  <c r="LX8" i="1" s="1"/>
  <c r="LW8" i="1"/>
  <c r="KV14" i="1"/>
  <c r="KW14" i="1"/>
  <c r="CL8" i="1"/>
  <c r="EH8" i="1"/>
  <c r="EI8" i="1" s="1"/>
  <c r="DW14" i="1"/>
  <c r="CL13" i="1"/>
  <c r="EH13" i="1"/>
  <c r="EI13" i="1" s="1"/>
  <c r="KW8" i="1"/>
  <c r="ME8" i="1" s="1"/>
  <c r="KV8" i="1"/>
  <c r="EG7" i="1"/>
  <c r="LJ9" i="1"/>
  <c r="DO9" i="1"/>
  <c r="DG13" i="1"/>
  <c r="EB13" i="1"/>
  <c r="DZ13" i="1"/>
  <c r="LG13" i="1"/>
  <c r="DH13" i="1"/>
  <c r="MC14" i="1"/>
  <c r="HB14" i="1"/>
  <c r="MD14" i="1" s="1"/>
  <c r="KW7" i="1"/>
  <c r="KV7" i="1"/>
  <c r="EB12" i="1"/>
  <c r="DG12" i="1"/>
  <c r="DZ12" i="1"/>
  <c r="LG12" i="1"/>
  <c r="DH12" i="1"/>
  <c r="LB8" i="1"/>
  <c r="MJ8" i="1" s="1"/>
  <c r="MI8" i="1"/>
  <c r="CL14" i="1"/>
  <c r="EH14" i="1"/>
  <c r="EI14" i="1" s="1"/>
  <c r="DG8" i="1"/>
  <c r="DZ8" i="1"/>
  <c r="EB8" i="1"/>
  <c r="LG8" i="1"/>
  <c r="DH8" i="1"/>
  <c r="GT14" i="1"/>
  <c r="LX14" i="1" s="1"/>
  <c r="LW14" i="1"/>
  <c r="ME9" i="1"/>
  <c r="KX9" i="1"/>
  <c r="MF9" i="1" s="1"/>
  <c r="DZ10" i="1"/>
  <c r="DG10" i="1"/>
  <c r="LG10" i="1"/>
  <c r="DH10" i="1"/>
  <c r="EB10" i="1"/>
  <c r="CL7" i="1"/>
  <c r="EH7" i="1"/>
  <c r="EI7" i="1" s="1"/>
  <c r="DW13" i="1"/>
  <c r="GO7" i="1"/>
  <c r="LS7" i="1" s="1"/>
  <c r="GN7" i="1"/>
  <c r="DN7" i="1"/>
  <c r="DM7" i="1"/>
  <c r="LI7" i="1"/>
  <c r="EA7" i="136" l="1"/>
  <c r="OF7" i="136"/>
  <c r="OH33" i="136"/>
  <c r="OJ33" i="136"/>
  <c r="OJ12" i="136"/>
  <c r="OH12" i="136"/>
  <c r="OH27" i="136"/>
  <c r="OJ27" i="136"/>
  <c r="OH26" i="136"/>
  <c r="OJ26" i="136"/>
  <c r="OH30" i="136"/>
  <c r="OJ30" i="136"/>
  <c r="OD32" i="136"/>
  <c r="OD29" i="136"/>
  <c r="OH11" i="136"/>
  <c r="OJ11" i="136"/>
  <c r="OH19" i="136"/>
  <c r="OJ19" i="136"/>
  <c r="OD7" i="136"/>
  <c r="OH7" i="136"/>
  <c r="OJ7" i="136"/>
  <c r="OJ20" i="136"/>
  <c r="OH20" i="136"/>
  <c r="OD15" i="136"/>
  <c r="OD19" i="136"/>
  <c r="OD30" i="136"/>
  <c r="OH14" i="136"/>
  <c r="OJ14" i="136"/>
  <c r="OJ34" i="136"/>
  <c r="OH34" i="136"/>
  <c r="OH32" i="136"/>
  <c r="OJ32" i="136"/>
  <c r="OD35" i="136"/>
  <c r="OD14" i="136"/>
  <c r="OH15" i="136"/>
  <c r="OJ15" i="136"/>
  <c r="OH9" i="136"/>
  <c r="OJ9" i="136"/>
  <c r="OD26" i="136"/>
  <c r="OJ21" i="136"/>
  <c r="OH21" i="136"/>
  <c r="OH10" i="136"/>
  <c r="OJ10" i="136"/>
  <c r="OD33" i="136"/>
  <c r="OD20" i="136"/>
  <c r="OD10" i="136"/>
  <c r="OJ8" i="136"/>
  <c r="OH8" i="136"/>
  <c r="OI31" i="136"/>
  <c r="OG31" i="136"/>
  <c r="OE31" i="136"/>
  <c r="OH18" i="136"/>
  <c r="OJ18" i="136"/>
  <c r="OH35" i="136"/>
  <c r="OJ35" i="136"/>
  <c r="OD34" i="136"/>
  <c r="OD18" i="136"/>
  <c r="OD27" i="136"/>
  <c r="OH17" i="136"/>
  <c r="OJ17" i="136"/>
  <c r="OH29" i="136"/>
  <c r="OJ29" i="136"/>
  <c r="OJ25" i="136"/>
  <c r="OH25" i="136"/>
  <c r="OG28" i="136"/>
  <c r="OI28" i="136"/>
  <c r="OE28" i="136"/>
  <c r="NA31" i="136"/>
  <c r="NB31" i="136" s="1"/>
  <c r="NJ31" i="136" s="1"/>
  <c r="OD12" i="136"/>
  <c r="OD11" i="136"/>
  <c r="MO31" i="136"/>
  <c r="MO28" i="136"/>
  <c r="MK31" i="136"/>
  <c r="MY31" i="136" s="1"/>
  <c r="NG31" i="136" s="1"/>
  <c r="MB24" i="136"/>
  <c r="NI7" i="136"/>
  <c r="MU31" i="136"/>
  <c r="MV31" i="136" s="1"/>
  <c r="ND31" i="136" s="1"/>
  <c r="MI31" i="136"/>
  <c r="NK24" i="136"/>
  <c r="OA28" i="136"/>
  <c r="NI37" i="136"/>
  <c r="OA31" i="136"/>
  <c r="MK28" i="136"/>
  <c r="OC21" i="136"/>
  <c r="OD21" i="136" s="1"/>
  <c r="MA24" i="136"/>
  <c r="NI28" i="136"/>
  <c r="MU28" i="136"/>
  <c r="MI28" i="136"/>
  <c r="MW28" i="136" s="1"/>
  <c r="OC36" i="136"/>
  <c r="OC28" i="136"/>
  <c r="OC37" i="136"/>
  <c r="OC22" i="136"/>
  <c r="KT7" i="136"/>
  <c r="OC31" i="136"/>
  <c r="HH7" i="136"/>
  <c r="MX7" i="136" s="1"/>
  <c r="HF7" i="136"/>
  <c r="NF7" i="136" s="1"/>
  <c r="MI35" i="136"/>
  <c r="NH17" i="136"/>
  <c r="HP7" i="136"/>
  <c r="MY7" i="136"/>
  <c r="MK7" i="136"/>
  <c r="MI34" i="136"/>
  <c r="NL31" i="136"/>
  <c r="NI35" i="136"/>
  <c r="EE35" i="136"/>
  <c r="EE21" i="136"/>
  <c r="EE36" i="136"/>
  <c r="EC21" i="136"/>
  <c r="EE22" i="136"/>
  <c r="EC33" i="136"/>
  <c r="EE33" i="136"/>
  <c r="EE32" i="136"/>
  <c r="EE15" i="136"/>
  <c r="EE34" i="136"/>
  <c r="EE37" i="136"/>
  <c r="NH26" i="136"/>
  <c r="HP35" i="136"/>
  <c r="ML35" i="136" s="1"/>
  <c r="EE29" i="136"/>
  <c r="NL22" i="136"/>
  <c r="KT35" i="136"/>
  <c r="MP35" i="136" s="1"/>
  <c r="HH35" i="136"/>
  <c r="MJ35" i="136" s="1"/>
  <c r="DO35" i="136"/>
  <c r="MK35" i="136"/>
  <c r="NJ21" i="136"/>
  <c r="MX30" i="136"/>
  <c r="MX17" i="136"/>
  <c r="EA33" i="136"/>
  <c r="MV33" i="136" s="1"/>
  <c r="NJ25" i="136"/>
  <c r="MU33" i="136"/>
  <c r="DO14" i="136"/>
  <c r="MZ20" i="136"/>
  <c r="MZ17" i="136"/>
  <c r="DO34" i="136"/>
  <c r="MX27" i="136"/>
  <c r="MZ19" i="136"/>
  <c r="MX19" i="136"/>
  <c r="NJ29" i="136"/>
  <c r="MZ12" i="136"/>
  <c r="NJ17" i="136"/>
  <c r="NJ10" i="136"/>
  <c r="MX9" i="136"/>
  <c r="OF23" i="136"/>
  <c r="NG22" i="136"/>
  <c r="ML19" i="136"/>
  <c r="MU15" i="136"/>
  <c r="EA15" i="136"/>
  <c r="MV15" i="136" s="1"/>
  <c r="NF19" i="136"/>
  <c r="ML29" i="136"/>
  <c r="ML31" i="136" s="1"/>
  <c r="MY37" i="136"/>
  <c r="MK37" i="136"/>
  <c r="MI23" i="136"/>
  <c r="MJ9" i="136"/>
  <c r="MK13" i="136"/>
  <c r="MY13" i="136"/>
  <c r="MK14" i="136"/>
  <c r="MY14" i="136"/>
  <c r="NI14" i="136"/>
  <c r="MO14" i="136"/>
  <c r="MO37" i="136"/>
  <c r="NJ9" i="136"/>
  <c r="EO8" i="136"/>
  <c r="MX25" i="136"/>
  <c r="MZ9" i="136"/>
  <c r="NL37" i="136"/>
  <c r="MY15" i="136"/>
  <c r="MK15" i="136"/>
  <c r="MU22" i="136"/>
  <c r="EA22" i="136"/>
  <c r="MV22" i="136" s="1"/>
  <c r="ML9" i="136"/>
  <c r="MJ21" i="136"/>
  <c r="MI36" i="136"/>
  <c r="MW36" i="136"/>
  <c r="MJ29" i="136"/>
  <c r="MJ31" i="136" s="1"/>
  <c r="LZ21" i="136"/>
  <c r="LZ24" i="136" s="1"/>
  <c r="MP26" i="136"/>
  <c r="MP28" i="136" s="1"/>
  <c r="MO23" i="136"/>
  <c r="NI23" i="136"/>
  <c r="MY23" i="136"/>
  <c r="MK23" i="136"/>
  <c r="MP9" i="136"/>
  <c r="MI14" i="136"/>
  <c r="MW14" i="136"/>
  <c r="NE34" i="136"/>
  <c r="NF26" i="136"/>
  <c r="NL36" i="136"/>
  <c r="EN8" i="136"/>
  <c r="ER8" i="136" s="1"/>
  <c r="EE14" i="136"/>
  <c r="MZ18" i="136"/>
  <c r="EC14" i="136"/>
  <c r="MZ30" i="136"/>
  <c r="NF29" i="136"/>
  <c r="NJ27" i="136"/>
  <c r="MZ10" i="136"/>
  <c r="EA23" i="136"/>
  <c r="MV23" i="136" s="1"/>
  <c r="MU23" i="136"/>
  <c r="NH29" i="136"/>
  <c r="MP7" i="136"/>
  <c r="KT37" i="136"/>
  <c r="MP37" i="136" s="1"/>
  <c r="MB37" i="136"/>
  <c r="ML17" i="136"/>
  <c r="MZ25" i="136"/>
  <c r="MJ26" i="136"/>
  <c r="MJ28" i="136" s="1"/>
  <c r="NI15" i="136"/>
  <c r="MO15" i="136"/>
  <c r="ML12" i="136"/>
  <c r="NI36" i="136"/>
  <c r="MO36" i="136"/>
  <c r="MU32" i="136"/>
  <c r="EA32" i="136"/>
  <c r="MV32" i="136" s="1"/>
  <c r="MZ21" i="136"/>
  <c r="NJ12" i="136"/>
  <c r="MZ29" i="136"/>
  <c r="OF13" i="136"/>
  <c r="MX29" i="136"/>
  <c r="MX26" i="136"/>
  <c r="NF17" i="136"/>
  <c r="EA21" i="136"/>
  <c r="MV21" i="136" s="1"/>
  <c r="MU21" i="136"/>
  <c r="EC34" i="136"/>
  <c r="MW15" i="136"/>
  <c r="MI15" i="136"/>
  <c r="EC15" i="136"/>
  <c r="MZ26" i="136"/>
  <c r="ML21" i="136"/>
  <c r="MY22" i="136"/>
  <c r="MK22" i="136"/>
  <c r="LZ37" i="136"/>
  <c r="HN14" i="136"/>
  <c r="MO13" i="136"/>
  <c r="NI13" i="136"/>
  <c r="MW32" i="136"/>
  <c r="MI32" i="136"/>
  <c r="NH19" i="136"/>
  <c r="EC32" i="136"/>
  <c r="EC37" i="136"/>
  <c r="NF14" i="136"/>
  <c r="NJ26" i="136"/>
  <c r="MX10" i="136"/>
  <c r="MU36" i="136"/>
  <c r="EA36" i="136"/>
  <c r="MV36" i="136" s="1"/>
  <c r="MO34" i="136"/>
  <c r="NI34" i="136"/>
  <c r="NG13" i="136"/>
  <c r="EA34" i="136"/>
  <c r="MV34" i="136" s="1"/>
  <c r="MU34" i="136"/>
  <c r="MW22" i="136"/>
  <c r="MI22" i="136"/>
  <c r="NE36" i="136"/>
  <c r="MK32" i="136"/>
  <c r="MY32" i="136"/>
  <c r="MX20" i="136"/>
  <c r="EA13" i="136"/>
  <c r="MV13" i="136" s="1"/>
  <c r="MU13" i="136"/>
  <c r="EA37" i="136"/>
  <c r="MV37" i="136" s="1"/>
  <c r="MU37" i="136"/>
  <c r="MZ27" i="136"/>
  <c r="NJ20" i="136"/>
  <c r="MX18" i="136"/>
  <c r="EC35" i="136"/>
  <c r="NF21" i="136"/>
  <c r="OF37" i="136"/>
  <c r="EA14" i="136"/>
  <c r="MV14" i="136" s="1"/>
  <c r="MU14" i="136"/>
  <c r="ML7" i="136"/>
  <c r="MP21" i="136"/>
  <c r="MO22" i="136"/>
  <c r="NI22" i="136"/>
  <c r="MW37" i="136"/>
  <c r="MI37" i="136"/>
  <c r="MP17" i="136"/>
  <c r="MP19" i="136"/>
  <c r="MP12" i="136"/>
  <c r="MJ19" i="136"/>
  <c r="MY34" i="136"/>
  <c r="MK34" i="136"/>
  <c r="EA16" i="136"/>
  <c r="MV16" i="136" s="1"/>
  <c r="OF36" i="136"/>
  <c r="EA35" i="136"/>
  <c r="MV35" i="136" s="1"/>
  <c r="MU35" i="136"/>
  <c r="NJ18" i="136"/>
  <c r="NL13" i="136"/>
  <c r="OD13" i="136" s="1"/>
  <c r="NH9" i="136"/>
  <c r="MX21" i="136"/>
  <c r="NL28" i="136"/>
  <c r="ML26" i="136"/>
  <c r="ML28" i="136" s="1"/>
  <c r="NL23" i="136"/>
  <c r="MJ17" i="136"/>
  <c r="MY36" i="136"/>
  <c r="MK36" i="136"/>
  <c r="MP29" i="136"/>
  <c r="MP31" i="136" s="1"/>
  <c r="NG36" i="136"/>
  <c r="MW13" i="136"/>
  <c r="MI13" i="136"/>
  <c r="MO32" i="136"/>
  <c r="NI32" i="136"/>
  <c r="NH34" i="136"/>
  <c r="NF9" i="136"/>
  <c r="EE26" i="136"/>
  <c r="NG14" i="136"/>
  <c r="OF22" i="136"/>
  <c r="NJ19" i="136"/>
  <c r="NJ30" i="136"/>
  <c r="EK9" i="136"/>
  <c r="EL9" i="136"/>
  <c r="EK19" i="136"/>
  <c r="EL19" i="136"/>
  <c r="EK26" i="136"/>
  <c r="EL26" i="136"/>
  <c r="EK11" i="136"/>
  <c r="EL11" i="136"/>
  <c r="EK29" i="136"/>
  <c r="EL29" i="136"/>
  <c r="EK10" i="136"/>
  <c r="EL10" i="136"/>
  <c r="EK30" i="136"/>
  <c r="EL30" i="136"/>
  <c r="EK27" i="136"/>
  <c r="EL27" i="136"/>
  <c r="EK20" i="136"/>
  <c r="EL20" i="136"/>
  <c r="EK12" i="136"/>
  <c r="EL12" i="136"/>
  <c r="EK32" i="136"/>
  <c r="EL32" i="136"/>
  <c r="EK14" i="136"/>
  <c r="EL14" i="136"/>
  <c r="EK25" i="136"/>
  <c r="EL25" i="136"/>
  <c r="EK17" i="136"/>
  <c r="EL17" i="136"/>
  <c r="EK18" i="136"/>
  <c r="EL18" i="136"/>
  <c r="EL21" i="136"/>
  <c r="EK21" i="136"/>
  <c r="EQ30" i="136"/>
  <c r="ER27" i="136"/>
  <c r="EQ25" i="136"/>
  <c r="EQ29" i="136"/>
  <c r="EQ26" i="136"/>
  <c r="EQ18" i="136"/>
  <c r="MW33" i="136"/>
  <c r="MI33" i="136"/>
  <c r="MO33" i="136"/>
  <c r="NI33" i="136"/>
  <c r="NF33" i="136"/>
  <c r="NG33" i="136"/>
  <c r="MK33" i="136"/>
  <c r="MY33" i="136"/>
  <c r="NI16" i="136"/>
  <c r="MO16" i="136"/>
  <c r="MK16" i="136"/>
  <c r="MY16" i="136"/>
  <c r="OF16" i="136"/>
  <c r="NL16" i="136"/>
  <c r="OD16" i="136" s="1"/>
  <c r="MW16" i="136"/>
  <c r="MI16" i="136"/>
  <c r="NJ11" i="136"/>
  <c r="MZ11" i="136"/>
  <c r="MX11" i="136"/>
  <c r="KT34" i="136"/>
  <c r="HF34" i="136"/>
  <c r="HH34" i="136"/>
  <c r="MX34" i="136" s="1"/>
  <c r="HP14" i="136"/>
  <c r="EQ17" i="136"/>
  <c r="ER34" i="136"/>
  <c r="HF32" i="136"/>
  <c r="NF32" i="136" s="1"/>
  <c r="ER14" i="136"/>
  <c r="ER36" i="136"/>
  <c r="MV7" i="136"/>
  <c r="KT14" i="136"/>
  <c r="HH14" i="136"/>
  <c r="HH15" i="136"/>
  <c r="MJ15" i="136" s="1"/>
  <c r="HP15" i="136"/>
  <c r="ML15" i="136" s="1"/>
  <c r="KT36" i="136"/>
  <c r="HP34" i="136"/>
  <c r="DO36" i="136"/>
  <c r="DO32" i="136"/>
  <c r="HH32" i="136"/>
  <c r="MJ32" i="136" s="1"/>
  <c r="EQ12" i="136"/>
  <c r="HP36" i="136"/>
  <c r="HH36" i="136"/>
  <c r="DO15" i="136"/>
  <c r="EQ19" i="136"/>
  <c r="ER10" i="136"/>
  <c r="ER30" i="136"/>
  <c r="EQ20" i="136"/>
  <c r="EQ21" i="136"/>
  <c r="KT32" i="136"/>
  <c r="MP32" i="136" s="1"/>
  <c r="KT15" i="136"/>
  <c r="MP15" i="136" s="1"/>
  <c r="ER20" i="136"/>
  <c r="DO33" i="136"/>
  <c r="EQ32" i="136"/>
  <c r="HP32" i="136"/>
  <c r="ML32" i="136" s="1"/>
  <c r="DO37" i="136"/>
  <c r="EQ10" i="136"/>
  <c r="EQ27" i="136"/>
  <c r="KT33" i="136"/>
  <c r="ER18" i="136"/>
  <c r="EK7" i="136"/>
  <c r="ER11" i="136"/>
  <c r="EQ11" i="136"/>
  <c r="HP33" i="136"/>
  <c r="ER25" i="136"/>
  <c r="EQ9" i="136"/>
  <c r="EO7" i="136"/>
  <c r="EL7" i="136"/>
  <c r="EN7" i="136"/>
  <c r="EQ7" i="136"/>
  <c r="EK8" i="136"/>
  <c r="HN33" i="136"/>
  <c r="HH33" i="136"/>
  <c r="HH13" i="136"/>
  <c r="MJ13" i="136" s="1"/>
  <c r="DO23" i="136"/>
  <c r="HN35" i="136"/>
  <c r="NH35" i="136" s="1"/>
  <c r="MX8" i="136"/>
  <c r="HN13" i="136"/>
  <c r="HP23" i="136"/>
  <c r="ML23" i="136" s="1"/>
  <c r="HF35" i="136"/>
  <c r="NF35" i="136" s="1"/>
  <c r="HP13" i="136"/>
  <c r="ML13" i="136" s="1"/>
  <c r="DJ18" i="10"/>
  <c r="DI18" i="10"/>
  <c r="ED21" i="1"/>
  <c r="HN16" i="136"/>
  <c r="NH16" i="136" s="1"/>
  <c r="NF8" i="136"/>
  <c r="KT13" i="136"/>
  <c r="MP13" i="136" s="1"/>
  <c r="DO13" i="136"/>
  <c r="HH16" i="136"/>
  <c r="MJ16" i="136" s="1"/>
  <c r="HF23" i="136"/>
  <c r="NF23" i="136" s="1"/>
  <c r="KT16" i="136"/>
  <c r="MP16" i="136" s="1"/>
  <c r="HH23" i="136"/>
  <c r="MJ23" i="136" s="1"/>
  <c r="HN23" i="136"/>
  <c r="NH23" i="136" s="1"/>
  <c r="MZ8" i="136"/>
  <c r="NH8" i="136"/>
  <c r="HP16" i="136"/>
  <c r="ML16" i="136" s="1"/>
  <c r="DA22" i="10"/>
  <c r="KT23" i="136"/>
  <c r="MP23" i="136" s="1"/>
  <c r="HF16" i="136"/>
  <c r="NF16" i="136" s="1"/>
  <c r="DO16" i="136"/>
  <c r="HN12" i="136"/>
  <c r="HF12" i="136"/>
  <c r="HH12" i="136"/>
  <c r="DI37" i="136"/>
  <c r="HN37" i="136"/>
  <c r="NH37" i="136" s="1"/>
  <c r="HH37" i="136"/>
  <c r="MJ37" i="136" s="1"/>
  <c r="HF37" i="136"/>
  <c r="NF37" i="136" s="1"/>
  <c r="HF36" i="136"/>
  <c r="HN36" i="136"/>
  <c r="HP37" i="136"/>
  <c r="ML37" i="136" s="1"/>
  <c r="HF22" i="136"/>
  <c r="NF22" i="136" s="1"/>
  <c r="KT22" i="136"/>
  <c r="MP22" i="136" s="1"/>
  <c r="HP22" i="136"/>
  <c r="ML22" i="136" s="1"/>
  <c r="HN22" i="136"/>
  <c r="HH22" i="136"/>
  <c r="MJ22" i="136" s="1"/>
  <c r="DI14" i="136"/>
  <c r="MZ51" i="109"/>
  <c r="MT51" i="109"/>
  <c r="DY46" i="109"/>
  <c r="DW26" i="109"/>
  <c r="DI33" i="136"/>
  <c r="DI34" i="136"/>
  <c r="DO22" i="136"/>
  <c r="DI35" i="136"/>
  <c r="DW12" i="109"/>
  <c r="DY38" i="109"/>
  <c r="MR53" i="109"/>
  <c r="DW30" i="109"/>
  <c r="DI15" i="136"/>
  <c r="DI32" i="136"/>
  <c r="DI21" i="136"/>
  <c r="DY47" i="109"/>
  <c r="DY10" i="109"/>
  <c r="DY18" i="109"/>
  <c r="DY37" i="109"/>
  <c r="MR52" i="109"/>
  <c r="DY23" i="109"/>
  <c r="DY39" i="109"/>
  <c r="MT52" i="109"/>
  <c r="DY30" i="109"/>
  <c r="DW43" i="109"/>
  <c r="DW36" i="109"/>
  <c r="DW38" i="109"/>
  <c r="DW9" i="109"/>
  <c r="DY35" i="109"/>
  <c r="DY17" i="109"/>
  <c r="DY31" i="109"/>
  <c r="DW7" i="109"/>
  <c r="DY28" i="109"/>
  <c r="DW45" i="109"/>
  <c r="DY44" i="109"/>
  <c r="DC32" i="109"/>
  <c r="LT32" i="109"/>
  <c r="DY43" i="109"/>
  <c r="DY26" i="109"/>
  <c r="LT15" i="109"/>
  <c r="DC15" i="109"/>
  <c r="MT53" i="109"/>
  <c r="DW37" i="109"/>
  <c r="DU33" i="109"/>
  <c r="MP33" i="109" s="1"/>
  <c r="MO33" i="109"/>
  <c r="DW33" i="109"/>
  <c r="DU51" i="109"/>
  <c r="MP51" i="109" s="1"/>
  <c r="MO51" i="109"/>
  <c r="DI22" i="109"/>
  <c r="LV22" i="109"/>
  <c r="MO24" i="109"/>
  <c r="DU24" i="109"/>
  <c r="MP24" i="109" s="1"/>
  <c r="DW24" i="109"/>
  <c r="DY19" i="109"/>
  <c r="DU8" i="109"/>
  <c r="MP8" i="109" s="1"/>
  <c r="MO8" i="109"/>
  <c r="DY52" i="109"/>
  <c r="MO28" i="109"/>
  <c r="DU28" i="109"/>
  <c r="MP28" i="109" s="1"/>
  <c r="DC46" i="109"/>
  <c r="LT46" i="109"/>
  <c r="DW27" i="109"/>
  <c r="DC14" i="109"/>
  <c r="LT14" i="109"/>
  <c r="DY24" i="109"/>
  <c r="MO52" i="109"/>
  <c r="DU52" i="109"/>
  <c r="MP52" i="109" s="1"/>
  <c r="DW52" i="109"/>
  <c r="LT7" i="109"/>
  <c r="DC7" i="109"/>
  <c r="DU25" i="109"/>
  <c r="MP25" i="109" s="1"/>
  <c r="MO25" i="109"/>
  <c r="DW25" i="109"/>
  <c r="DU16" i="109"/>
  <c r="MP16" i="109" s="1"/>
  <c r="MO16" i="109"/>
  <c r="DY7" i="109"/>
  <c r="MR51" i="109"/>
  <c r="DY48" i="109"/>
  <c r="DY16" i="109"/>
  <c r="DU40" i="109"/>
  <c r="MP40" i="109" s="1"/>
  <c r="MO40" i="109"/>
  <c r="DW40" i="109"/>
  <c r="DW47" i="109"/>
  <c r="EK22" i="109"/>
  <c r="EF22" i="109"/>
  <c r="EI22" i="109"/>
  <c r="EE22" i="109"/>
  <c r="EH22" i="109"/>
  <c r="EL22" i="109" s="1"/>
  <c r="DW21" i="109"/>
  <c r="DW53" i="109"/>
  <c r="DW22" i="109"/>
  <c r="DC12" i="109"/>
  <c r="LT12" i="109"/>
  <c r="DU19" i="109"/>
  <c r="MP19" i="109" s="1"/>
  <c r="MO19" i="109"/>
  <c r="DW19" i="109"/>
  <c r="DI32" i="109"/>
  <c r="LV32" i="109"/>
  <c r="DU45" i="109"/>
  <c r="MP45" i="109" s="1"/>
  <c r="MO45" i="109"/>
  <c r="DU29" i="109"/>
  <c r="MP29" i="109" s="1"/>
  <c r="MO29" i="109"/>
  <c r="DW29" i="109"/>
  <c r="DW17" i="109"/>
  <c r="DW13" i="109"/>
  <c r="DU41" i="109"/>
  <c r="MP41" i="109" s="1"/>
  <c r="MO41" i="109"/>
  <c r="DY40" i="109"/>
  <c r="DY29" i="109"/>
  <c r="DU37" i="109"/>
  <c r="MP37" i="109" s="1"/>
  <c r="MO37" i="109"/>
  <c r="LT33" i="109"/>
  <c r="DC33" i="109"/>
  <c r="LT51" i="109"/>
  <c r="DC51" i="109"/>
  <c r="MO10" i="109"/>
  <c r="DU10" i="109"/>
  <c r="MP10" i="109" s="1"/>
  <c r="DW10" i="109"/>
  <c r="DC24" i="109"/>
  <c r="LT24" i="109"/>
  <c r="DY33" i="109"/>
  <c r="DY11" i="109"/>
  <c r="DW23" i="109"/>
  <c r="DW31" i="109"/>
  <c r="DC8" i="109"/>
  <c r="LT8" i="109"/>
  <c r="DW28" i="109"/>
  <c r="DC27" i="109"/>
  <c r="LT27" i="109"/>
  <c r="MO27" i="109"/>
  <c r="DU27" i="109"/>
  <c r="MP27" i="109" s="1"/>
  <c r="LT52" i="109"/>
  <c r="DC52" i="109"/>
  <c r="LT25" i="109"/>
  <c r="DC25" i="109"/>
  <c r="DY8" i="109"/>
  <c r="LT35" i="109"/>
  <c r="DC35" i="109"/>
  <c r="DW35" i="109"/>
  <c r="DC16" i="109"/>
  <c r="LT16" i="109"/>
  <c r="DW42" i="109"/>
  <c r="MO42" i="109"/>
  <c r="DU42" i="109"/>
  <c r="MP42" i="109" s="1"/>
  <c r="LT40" i="109"/>
  <c r="DC40" i="109"/>
  <c r="LT47" i="109"/>
  <c r="DC47" i="109"/>
  <c r="DU44" i="109"/>
  <c r="MP44" i="109" s="1"/>
  <c r="MO44" i="109"/>
  <c r="DW44" i="109"/>
  <c r="DU21" i="109"/>
  <c r="MP21" i="109" s="1"/>
  <c r="MO21" i="109"/>
  <c r="DU53" i="109"/>
  <c r="MP53" i="109" s="1"/>
  <c r="MO53" i="109"/>
  <c r="DU11" i="109"/>
  <c r="MP11" i="109" s="1"/>
  <c r="MO11" i="109"/>
  <c r="DW11" i="109"/>
  <c r="DU22" i="109"/>
  <c r="MP22" i="109" s="1"/>
  <c r="MO22" i="109"/>
  <c r="EF23" i="109"/>
  <c r="EI23" i="109"/>
  <c r="EE23" i="109"/>
  <c r="EH23" i="109"/>
  <c r="EL23" i="109" s="1"/>
  <c r="EK23" i="109"/>
  <c r="LT19" i="109"/>
  <c r="DC19" i="109"/>
  <c r="LV23" i="109"/>
  <c r="DI23" i="109"/>
  <c r="DY42" i="109"/>
  <c r="LT45" i="109"/>
  <c r="DC45" i="109"/>
  <c r="MO43" i="109"/>
  <c r="DU43" i="109"/>
  <c r="MP43" i="109" s="1"/>
  <c r="LT29" i="109"/>
  <c r="DC29" i="109"/>
  <c r="DC17" i="109"/>
  <c r="LT17" i="109"/>
  <c r="MO17" i="109"/>
  <c r="DU17" i="109"/>
  <c r="MP17" i="109" s="1"/>
  <c r="DC13" i="109"/>
  <c r="LT13" i="109"/>
  <c r="MO13" i="109"/>
  <c r="DU13" i="109"/>
  <c r="MP13" i="109" s="1"/>
  <c r="LT41" i="109"/>
  <c r="DC41" i="109"/>
  <c r="DU36" i="109"/>
  <c r="MP36" i="109" s="1"/>
  <c r="MO36" i="109"/>
  <c r="DC37" i="109"/>
  <c r="LT37" i="109"/>
  <c r="DC10" i="109"/>
  <c r="LT10" i="109"/>
  <c r="DC23" i="109"/>
  <c r="LT23" i="109"/>
  <c r="MO23" i="109"/>
  <c r="DU23" i="109"/>
  <c r="MP23" i="109" s="1"/>
  <c r="DC31" i="109"/>
  <c r="LT31" i="109"/>
  <c r="MO31" i="109"/>
  <c r="DU31" i="109"/>
  <c r="MP31" i="109" s="1"/>
  <c r="DI15" i="109"/>
  <c r="LV15" i="109"/>
  <c r="DC28" i="109"/>
  <c r="LT28" i="109"/>
  <c r="MO46" i="109"/>
  <c r="DU46" i="109"/>
  <c r="MP46" i="109" s="1"/>
  <c r="DC39" i="109"/>
  <c r="LT39" i="109"/>
  <c r="DW39" i="109"/>
  <c r="MO35" i="109"/>
  <c r="DU35" i="109"/>
  <c r="MP35" i="109" s="1"/>
  <c r="DC42" i="109"/>
  <c r="LT42" i="109"/>
  <c r="MO47" i="109"/>
  <c r="DU47" i="109"/>
  <c r="MP47" i="109" s="1"/>
  <c r="LT44" i="109"/>
  <c r="DC44" i="109"/>
  <c r="MO48" i="109"/>
  <c r="DU48" i="109"/>
  <c r="MP48" i="109" s="1"/>
  <c r="DY13" i="109"/>
  <c r="EH15" i="109"/>
  <c r="EL15" i="109" s="1"/>
  <c r="EK15" i="109"/>
  <c r="EF15" i="109"/>
  <c r="EI15" i="109"/>
  <c r="EE15" i="109"/>
  <c r="LT21" i="109"/>
  <c r="DC21" i="109"/>
  <c r="LT53" i="109"/>
  <c r="DC53" i="109"/>
  <c r="MO18" i="109"/>
  <c r="DU18" i="109"/>
  <c r="MP18" i="109" s="1"/>
  <c r="LT11" i="109"/>
  <c r="DC11" i="109"/>
  <c r="DC22" i="109"/>
  <c r="LT22" i="109"/>
  <c r="DU30" i="109"/>
  <c r="MP30" i="109" s="1"/>
  <c r="MO30" i="109"/>
  <c r="DC9" i="109"/>
  <c r="LT9" i="109"/>
  <c r="MO9" i="109"/>
  <c r="DU9" i="109"/>
  <c r="MP9" i="109" s="1"/>
  <c r="LV39" i="109"/>
  <c r="DI39" i="109"/>
  <c r="EK45" i="109"/>
  <c r="EF45" i="109"/>
  <c r="EH45" i="109"/>
  <c r="EL45" i="109" s="1"/>
  <c r="EE45" i="109"/>
  <c r="EI45" i="109"/>
  <c r="DU26" i="109"/>
  <c r="MP26" i="109" s="1"/>
  <c r="MO26" i="109"/>
  <c r="DC43" i="109"/>
  <c r="LT43" i="109"/>
  <c r="DY12" i="109"/>
  <c r="MO32" i="109"/>
  <c r="DU32" i="109"/>
  <c r="MP32" i="109" s="1"/>
  <c r="DW32" i="109"/>
  <c r="DW41" i="109"/>
  <c r="DY22" i="109"/>
  <c r="DY9" i="109"/>
  <c r="LT36" i="109"/>
  <c r="DC36" i="109"/>
  <c r="DU15" i="109"/>
  <c r="MP15" i="109" s="1"/>
  <c r="MO15" i="109"/>
  <c r="DW15" i="109"/>
  <c r="DY36" i="109"/>
  <c r="DW51" i="109"/>
  <c r="DY21" i="109"/>
  <c r="DC38" i="109"/>
  <c r="LT38" i="109"/>
  <c r="MO38" i="109"/>
  <c r="DU38" i="109"/>
  <c r="MP38" i="109" s="1"/>
  <c r="DY25" i="109"/>
  <c r="DW8" i="109"/>
  <c r="DY53" i="109"/>
  <c r="DW46" i="109"/>
  <c r="MO39" i="109"/>
  <c r="DU39" i="109"/>
  <c r="MP39" i="109" s="1"/>
  <c r="MO14" i="109"/>
  <c r="DU14" i="109"/>
  <c r="MP14" i="109" s="1"/>
  <c r="DW14" i="109"/>
  <c r="DU7" i="109"/>
  <c r="MP7" i="109" s="1"/>
  <c r="MO7" i="109"/>
  <c r="DY41" i="109"/>
  <c r="DI45" i="109"/>
  <c r="LV45" i="109"/>
  <c r="DW16" i="109"/>
  <c r="DY27" i="109"/>
  <c r="DY51" i="109"/>
  <c r="DC48" i="109"/>
  <c r="LT48" i="109"/>
  <c r="MZ53" i="109"/>
  <c r="DC18" i="109"/>
  <c r="LT18" i="109"/>
  <c r="DY15" i="109"/>
  <c r="DC30" i="109"/>
  <c r="LT30" i="109"/>
  <c r="DU12" i="109"/>
  <c r="MP12" i="109" s="1"/>
  <c r="MO12" i="109"/>
  <c r="DY14" i="109"/>
  <c r="DY45" i="109"/>
  <c r="DC26" i="109"/>
  <c r="LT26" i="109"/>
  <c r="EC22" i="1"/>
  <c r="EA21" i="1"/>
  <c r="DA21" i="10"/>
  <c r="CZ21" i="10"/>
  <c r="DF22" i="10"/>
  <c r="DE22" i="10"/>
  <c r="GX21" i="1"/>
  <c r="LZ21" i="1" s="1"/>
  <c r="LY21" i="1"/>
  <c r="LZ24" i="1" s="1"/>
  <c r="EE20" i="1"/>
  <c r="KX21" i="1"/>
  <c r="MF21" i="1" s="1"/>
  <c r="ME21" i="1"/>
  <c r="EC20" i="1"/>
  <c r="EC21" i="1"/>
  <c r="EE21" i="1"/>
  <c r="CZ18" i="10"/>
  <c r="DJ20" i="10"/>
  <c r="DI20" i="10"/>
  <c r="CZ20" i="10"/>
  <c r="DI20" i="1"/>
  <c r="LH20" i="1"/>
  <c r="DI21" i="1"/>
  <c r="LH21" i="1"/>
  <c r="GP21" i="1"/>
  <c r="LT21" i="1" s="1"/>
  <c r="LS21" i="1"/>
  <c r="LT24" i="1" s="1"/>
  <c r="CZ22" i="10"/>
  <c r="DI22" i="1"/>
  <c r="LH22" i="1"/>
  <c r="EA22" i="1"/>
  <c r="DO21" i="1"/>
  <c r="LJ21" i="1"/>
  <c r="EA20" i="1"/>
  <c r="EE22" i="1"/>
  <c r="CG16" i="10"/>
  <c r="DD16" i="10" s="1"/>
  <c r="CP16" i="10"/>
  <c r="CT16" i="10" s="1"/>
  <c r="CI13" i="10"/>
  <c r="DF13" i="10" s="1"/>
  <c r="CI15" i="10"/>
  <c r="DF15" i="10" s="1"/>
  <c r="CS15" i="10"/>
  <c r="CQ15" i="10"/>
  <c r="CP15" i="10"/>
  <c r="CJ14" i="10"/>
  <c r="DC15" i="10"/>
  <c r="DC22" i="10" s="1"/>
  <c r="CJ15" i="10"/>
  <c r="CG15" i="10"/>
  <c r="DD15" i="10" s="1"/>
  <c r="DC13" i="10"/>
  <c r="DD21" i="10" s="1"/>
  <c r="CJ13" i="10"/>
  <c r="CG13" i="10"/>
  <c r="DD13" i="10" s="1"/>
  <c r="CS12" i="10"/>
  <c r="CQ12" i="10"/>
  <c r="CP12" i="10"/>
  <c r="CS14" i="10"/>
  <c r="CQ14" i="10"/>
  <c r="CP14" i="10"/>
  <c r="CS13" i="10"/>
  <c r="CQ13" i="10"/>
  <c r="CP13" i="10"/>
  <c r="DE12" i="10"/>
  <c r="CI12" i="10"/>
  <c r="DF12" i="10" s="1"/>
  <c r="CI14" i="10"/>
  <c r="DF14" i="10" s="1"/>
  <c r="DA18" i="10"/>
  <c r="DC8" i="10"/>
  <c r="CG8" i="10"/>
  <c r="DD8" i="10" s="1"/>
  <c r="GP10" i="1"/>
  <c r="LT10" i="1" s="1"/>
  <c r="CP10" i="10"/>
  <c r="CR10" i="10" s="1"/>
  <c r="CG10" i="10"/>
  <c r="DD10" i="10" s="1"/>
  <c r="EC9" i="1"/>
  <c r="DE8" i="10"/>
  <c r="CI8" i="10"/>
  <c r="DF8" i="10" s="1"/>
  <c r="CQ9" i="10"/>
  <c r="CP9" i="10"/>
  <c r="CS9" i="10"/>
  <c r="CI11" i="10"/>
  <c r="DF11" i="10" s="1"/>
  <c r="DE11" i="10"/>
  <c r="EC10" i="1"/>
  <c r="EA10" i="1"/>
  <c r="CQ8" i="10"/>
  <c r="CP8" i="10"/>
  <c r="CS8" i="10"/>
  <c r="CJ8" i="10"/>
  <c r="EC8" i="1"/>
  <c r="DC11" i="10"/>
  <c r="CJ11" i="10"/>
  <c r="CG11" i="10"/>
  <c r="DD11" i="10" s="1"/>
  <c r="GP7" i="1"/>
  <c r="LT7" i="1" s="1"/>
  <c r="EA8" i="1"/>
  <c r="EC14" i="1"/>
  <c r="EA9" i="1"/>
  <c r="CI9" i="10"/>
  <c r="DF9" i="10" s="1"/>
  <c r="DE9" i="10"/>
  <c r="CP11" i="10"/>
  <c r="CS11" i="10"/>
  <c r="CQ11" i="10"/>
  <c r="CJ9" i="10"/>
  <c r="CX19" i="1"/>
  <c r="DP19" i="1"/>
  <c r="EJ19" i="1"/>
  <c r="EK19" i="1" s="1"/>
  <c r="DJ19" i="1"/>
  <c r="DD19" i="1"/>
  <c r="CM7" i="1"/>
  <c r="ED7" i="1"/>
  <c r="DI12" i="1"/>
  <c r="LH12" i="1"/>
  <c r="CM13" i="1"/>
  <c r="ED13" i="1"/>
  <c r="ME14" i="1"/>
  <c r="KX14" i="1"/>
  <c r="MF14" i="1" s="1"/>
  <c r="LJ8" i="1"/>
  <c r="DO8" i="1"/>
  <c r="LH7" i="1"/>
  <c r="DI7" i="1"/>
  <c r="LJ7" i="1"/>
  <c r="DO7" i="1"/>
  <c r="KQ18" i="1"/>
  <c r="KI18" i="1"/>
  <c r="JW18" i="1"/>
  <c r="DI8" i="1"/>
  <c r="LH8" i="1"/>
  <c r="CM14" i="1"/>
  <c r="ED14" i="1"/>
  <c r="EC12" i="1"/>
  <c r="EA13" i="1"/>
  <c r="KX8" i="1"/>
  <c r="MF8" i="1" s="1"/>
  <c r="DO14" i="1"/>
  <c r="LJ14" i="1"/>
  <c r="CM10" i="1"/>
  <c r="ED10" i="1"/>
  <c r="DI14" i="1"/>
  <c r="LH14" i="1"/>
  <c r="EA7" i="1"/>
  <c r="EL9" i="1"/>
  <c r="EK9" i="1"/>
  <c r="EL8" i="1"/>
  <c r="EK8" i="1"/>
  <c r="LH10" i="1"/>
  <c r="DI10" i="1"/>
  <c r="EC13" i="1"/>
  <c r="CM12" i="1"/>
  <c r="ED12" i="1"/>
  <c r="GX8" i="1"/>
  <c r="LZ8" i="1" s="1"/>
  <c r="LY8" i="1"/>
  <c r="DI9" i="1"/>
  <c r="LH9" i="1"/>
  <c r="EC7" i="1"/>
  <c r="EK12" i="1"/>
  <c r="EL12" i="1"/>
  <c r="EA12" i="1"/>
  <c r="ME7" i="1"/>
  <c r="KX7" i="1"/>
  <c r="MF7" i="1" s="1"/>
  <c r="LH13" i="1"/>
  <c r="DI13" i="1"/>
  <c r="EL7" i="1"/>
  <c r="EK7" i="1"/>
  <c r="CM8" i="1"/>
  <c r="ED8" i="1"/>
  <c r="GP8" i="1"/>
  <c r="LT8" i="1" s="1"/>
  <c r="GP14" i="1"/>
  <c r="LT14" i="1" s="1"/>
  <c r="LS14" i="1"/>
  <c r="CM9" i="1"/>
  <c r="ED9" i="1"/>
  <c r="LY7" i="1"/>
  <c r="GX7" i="1"/>
  <c r="LZ7" i="1" s="1"/>
  <c r="EA14" i="1"/>
  <c r="LY14" i="1"/>
  <c r="GX14" i="1"/>
  <c r="LZ14" i="1" s="1"/>
  <c r="EL10" i="1"/>
  <c r="EK10" i="1"/>
  <c r="EK13" i="1"/>
  <c r="EL13" i="1"/>
  <c r="EL14" i="1"/>
  <c r="EK14" i="1"/>
  <c r="OD31" i="136" l="1"/>
  <c r="OJ28" i="136"/>
  <c r="OH31" i="136"/>
  <c r="OA24" i="136"/>
  <c r="OG24" i="136"/>
  <c r="OI24" i="136"/>
  <c r="OE24" i="136"/>
  <c r="OJ37" i="136"/>
  <c r="OH37" i="136"/>
  <c r="MZ31" i="136"/>
  <c r="NH31" i="136" s="1"/>
  <c r="OD22" i="136"/>
  <c r="NA24" i="136"/>
  <c r="NB24" i="136" s="1"/>
  <c r="NE31" i="136"/>
  <c r="MW31" i="136"/>
  <c r="MX31" i="136" s="1"/>
  <c r="NF31" i="136" s="1"/>
  <c r="OD37" i="136"/>
  <c r="OJ23" i="136"/>
  <c r="OH23" i="136"/>
  <c r="OJ16" i="136"/>
  <c r="OH16" i="136"/>
  <c r="OD28" i="136"/>
  <c r="NI31" i="136"/>
  <c r="OH13" i="136"/>
  <c r="OJ13" i="136"/>
  <c r="OH36" i="136"/>
  <c r="OJ36" i="136"/>
  <c r="OD36" i="136"/>
  <c r="MY28" i="136"/>
  <c r="MZ28" i="136" s="1"/>
  <c r="NH28" i="136" s="1"/>
  <c r="OD23" i="136"/>
  <c r="OJ22" i="136"/>
  <c r="OH22" i="136"/>
  <c r="OH28" i="136"/>
  <c r="OJ31" i="136"/>
  <c r="MU24" i="136"/>
  <c r="NC24" i="136" s="1"/>
  <c r="NJ7" i="136"/>
  <c r="NC31" i="136"/>
  <c r="MO24" i="136"/>
  <c r="NL24" i="136"/>
  <c r="OF31" i="136"/>
  <c r="MI24" i="136"/>
  <c r="MW24" i="136" s="1"/>
  <c r="NE24" i="136" s="1"/>
  <c r="OB28" i="136"/>
  <c r="OB31" i="136"/>
  <c r="OF28" i="136"/>
  <c r="NJ37" i="136"/>
  <c r="MZ7" i="136"/>
  <c r="ML24" i="136"/>
  <c r="MK24" i="136"/>
  <c r="MX28" i="136"/>
  <c r="NF28" i="136" s="1"/>
  <c r="NE28" i="136"/>
  <c r="MV24" i="136"/>
  <c r="ND24" i="136" s="1"/>
  <c r="NJ24" i="136"/>
  <c r="MP24" i="136"/>
  <c r="MJ24" i="136"/>
  <c r="MV28" i="136"/>
  <c r="ND28" i="136" s="1"/>
  <c r="NC28" i="136"/>
  <c r="NJ28" i="136"/>
  <c r="MJ7" i="136"/>
  <c r="OC24" i="136"/>
  <c r="MZ35" i="136"/>
  <c r="NJ35" i="136"/>
  <c r="MX35" i="136"/>
  <c r="MZ36" i="136"/>
  <c r="MZ37" i="136"/>
  <c r="NF34" i="136"/>
  <c r="NJ14" i="136"/>
  <c r="MZ13" i="136"/>
  <c r="NJ34" i="136"/>
  <c r="NH36" i="136"/>
  <c r="MX37" i="136"/>
  <c r="NJ36" i="136"/>
  <c r="MP36" i="136"/>
  <c r="NJ22" i="136"/>
  <c r="ML36" i="136"/>
  <c r="NJ15" i="136"/>
  <c r="MZ23" i="136"/>
  <c r="MX23" i="136"/>
  <c r="ML14" i="136"/>
  <c r="NH12" i="136"/>
  <c r="MP14" i="136"/>
  <c r="MX22" i="136"/>
  <c r="NH13" i="136"/>
  <c r="NJ13" i="136"/>
  <c r="NJ23" i="136"/>
  <c r="MZ34" i="136"/>
  <c r="MZ32" i="136"/>
  <c r="MZ22" i="136"/>
  <c r="MX14" i="136"/>
  <c r="MZ15" i="136"/>
  <c r="NF12" i="136"/>
  <c r="MZ14" i="136"/>
  <c r="MJ34" i="136"/>
  <c r="MP34" i="136"/>
  <c r="NH14" i="136"/>
  <c r="ML34" i="136"/>
  <c r="NJ32" i="136"/>
  <c r="MJ14" i="136"/>
  <c r="MX13" i="136"/>
  <c r="MJ12" i="136"/>
  <c r="MX15" i="136"/>
  <c r="MJ36" i="136"/>
  <c r="NF36" i="136"/>
  <c r="MX32" i="136"/>
  <c r="MX36" i="136"/>
  <c r="MX12" i="136"/>
  <c r="NH22" i="136"/>
  <c r="EK16" i="136"/>
  <c r="EL16" i="136"/>
  <c r="EL13" i="136"/>
  <c r="EK13" i="136"/>
  <c r="EK23" i="136"/>
  <c r="EL23" i="136"/>
  <c r="EL22" i="136"/>
  <c r="EK22" i="136"/>
  <c r="EQ23" i="136"/>
  <c r="NH33" i="136"/>
  <c r="MJ33" i="136"/>
  <c r="MZ33" i="136"/>
  <c r="NJ33" i="136"/>
  <c r="MP33" i="136"/>
  <c r="ML33" i="136"/>
  <c r="MX33" i="136"/>
  <c r="MX16" i="136"/>
  <c r="MZ16" i="136"/>
  <c r="NJ16" i="136"/>
  <c r="ER9" i="136"/>
  <c r="ER19" i="136"/>
  <c r="ER21" i="136"/>
  <c r="ER32" i="136"/>
  <c r="ER7" i="136"/>
  <c r="ER26" i="136"/>
  <c r="ER29" i="136"/>
  <c r="ER17" i="136"/>
  <c r="ER12" i="136"/>
  <c r="ER23" i="136"/>
  <c r="EQ16" i="136"/>
  <c r="ER13" i="136"/>
  <c r="EQ13" i="136"/>
  <c r="EQ22" i="136"/>
  <c r="ER22" i="136"/>
  <c r="ER16" i="136"/>
  <c r="LS24" i="1"/>
  <c r="LY24" i="1"/>
  <c r="DC21" i="10"/>
  <c r="DD22" i="10"/>
  <c r="DE21" i="10"/>
  <c r="DF21" i="10"/>
  <c r="DD20" i="10"/>
  <c r="DC20" i="10"/>
  <c r="DF20" i="10"/>
  <c r="DE20" i="10"/>
  <c r="CR16" i="10"/>
  <c r="DC18" i="10"/>
  <c r="CR13" i="10"/>
  <c r="CR14" i="10"/>
  <c r="CT15" i="10"/>
  <c r="CT14" i="10"/>
  <c r="CT12" i="10"/>
  <c r="CT13" i="10"/>
  <c r="CR12" i="10"/>
  <c r="CR15" i="10"/>
  <c r="DF18" i="10"/>
  <c r="DE18" i="10"/>
  <c r="DD18" i="10"/>
  <c r="CT10" i="10"/>
  <c r="EE9" i="1"/>
  <c r="EE12" i="1"/>
  <c r="CT8" i="10"/>
  <c r="CT11" i="10"/>
  <c r="CR8" i="10"/>
  <c r="CR9" i="10"/>
  <c r="EE8" i="1"/>
  <c r="EE10" i="1"/>
  <c r="CR11" i="10"/>
  <c r="CT9" i="10"/>
  <c r="EL19" i="1"/>
  <c r="KQ19" i="1"/>
  <c r="KI19" i="1"/>
  <c r="DR19" i="1"/>
  <c r="DQ19" i="1"/>
  <c r="DX19" i="1"/>
  <c r="DV19" i="1"/>
  <c r="DF19" i="1"/>
  <c r="EH19" i="1"/>
  <c r="DE19" i="1"/>
  <c r="CZ19" i="1"/>
  <c r="DB19" i="1"/>
  <c r="CY19" i="1"/>
  <c r="DK19" i="1"/>
  <c r="DL19" i="1"/>
  <c r="ED19" i="1"/>
  <c r="KK18" i="1"/>
  <c r="KJ18" i="1"/>
  <c r="LP18" i="1"/>
  <c r="LO18" i="1"/>
  <c r="EE13" i="1"/>
  <c r="EE7" i="1"/>
  <c r="EE14" i="1"/>
  <c r="LM18" i="1"/>
  <c r="LN18" i="1"/>
  <c r="KS18" i="1"/>
  <c r="KR18" i="1"/>
  <c r="JY18" i="1"/>
  <c r="JX18" i="1"/>
  <c r="OJ24" i="136" l="1"/>
  <c r="OD24" i="136"/>
  <c r="NG28" i="136"/>
  <c r="NI24" i="136"/>
  <c r="NG24" i="136"/>
  <c r="MY24" i="136"/>
  <c r="MZ24" i="136" s="1"/>
  <c r="NH24" i="136" s="1"/>
  <c r="OF24" i="136"/>
  <c r="OH24" i="136"/>
  <c r="MX24" i="136"/>
  <c r="NF24" i="136" s="1"/>
  <c r="OB24" i="136"/>
  <c r="HA19" i="1"/>
  <c r="GS19" i="1"/>
  <c r="EE19" i="1"/>
  <c r="DC19" i="1"/>
  <c r="DG19" i="1"/>
  <c r="DH19" i="1"/>
  <c r="DZ19" i="1"/>
  <c r="EB19" i="1"/>
  <c r="LG19" i="1"/>
  <c r="DS19" i="1"/>
  <c r="DT19" i="1"/>
  <c r="LK19" i="1"/>
  <c r="KS19" i="1"/>
  <c r="KR19" i="1"/>
  <c r="KT18" i="1"/>
  <c r="LI19" i="1"/>
  <c r="DM19" i="1"/>
  <c r="DN19" i="1"/>
  <c r="DA19" i="1"/>
  <c r="DW19" i="1"/>
  <c r="KK19" i="1"/>
  <c r="KJ19" i="1"/>
  <c r="LM19" i="1"/>
  <c r="LN19" i="1"/>
  <c r="DY19" i="1"/>
  <c r="LP19" i="1"/>
  <c r="LO19" i="1"/>
  <c r="EI19" i="1"/>
  <c r="LQ18" i="1"/>
  <c r="JZ18" i="1"/>
  <c r="LR18" i="1" s="1"/>
  <c r="KL18" i="1"/>
  <c r="GT19" i="1" l="1"/>
  <c r="LX19" i="1" s="1"/>
  <c r="HB19" i="1"/>
  <c r="MD19" i="1" s="1"/>
  <c r="DU19" i="1"/>
  <c r="LL19" i="1"/>
  <c r="LW19" i="1"/>
  <c r="KT19" i="1"/>
  <c r="LH19" i="1"/>
  <c r="DI19" i="1"/>
  <c r="MC19" i="1"/>
  <c r="EC19" i="1"/>
  <c r="DO19" i="1"/>
  <c r="LJ19" i="1"/>
  <c r="EA19" i="1"/>
  <c r="JQ19" i="1" l="1"/>
  <c r="JS19" i="1" l="1"/>
  <c r="KU19" i="1" s="1"/>
  <c r="KY19" i="1"/>
  <c r="JR19" i="1"/>
  <c r="MG19" i="1" l="1"/>
  <c r="LA19" i="1"/>
  <c r="KZ19" i="1"/>
  <c r="MH19" i="1" s="1"/>
  <c r="JW19" i="1"/>
  <c r="JT19" i="1"/>
  <c r="MH24" i="1" l="1"/>
  <c r="MG24" i="1"/>
  <c r="KV19" i="1"/>
  <c r="KW19" i="1"/>
  <c r="LB19" i="1"/>
  <c r="MJ19" i="1" s="1"/>
  <c r="MI19" i="1"/>
  <c r="JX19" i="1"/>
  <c r="KL19" i="1" s="1"/>
  <c r="JY19" i="1"/>
  <c r="JZ19" i="1" l="1"/>
  <c r="LR19" i="1" s="1"/>
  <c r="LQ19" i="1"/>
  <c r="ME19" i="1"/>
  <c r="KX19" i="1"/>
  <c r="MF19" i="1" s="1"/>
  <c r="MF24" i="1" l="1"/>
  <c r="ME24" i="1"/>
  <c r="EJ17" i="1"/>
  <c r="EL17" i="1" s="1"/>
  <c r="DD17" i="1"/>
  <c r="DF17" i="1" s="1"/>
  <c r="CX17" i="1"/>
  <c r="CY17" i="1" s="1"/>
  <c r="LG17" i="1" l="1"/>
  <c r="DH17" i="1"/>
  <c r="EH17" i="1"/>
  <c r="EK17" i="1"/>
  <c r="DE17" i="1"/>
  <c r="DG17" i="1" s="1"/>
  <c r="DI17" i="1" l="1"/>
  <c r="LH17" i="1"/>
  <c r="EI17" i="1"/>
  <c r="KQ17" i="1"/>
  <c r="KS17" i="1" s="1"/>
  <c r="HI17" i="1"/>
  <c r="LO17" i="1" s="1"/>
  <c r="DB17" i="1"/>
  <c r="DC17" i="1" s="1"/>
  <c r="HE17" i="1"/>
  <c r="LM17" i="1" s="1"/>
  <c r="JW17" i="1"/>
  <c r="JY17" i="1" s="1"/>
  <c r="KI17" i="1"/>
  <c r="KK17" i="1" s="1"/>
  <c r="DJ17" i="1"/>
  <c r="DK17" i="1" s="1"/>
  <c r="DP17" i="1"/>
  <c r="DQ17" i="1" s="1"/>
  <c r="CZ17" i="1"/>
  <c r="HA17" i="1" s="1"/>
  <c r="DV17" i="1" l="1"/>
  <c r="DW17" i="1" s="1"/>
  <c r="DL17" i="1"/>
  <c r="LI17" i="1" s="1"/>
  <c r="HF17" i="1"/>
  <c r="LN17" i="1" s="1"/>
  <c r="DR17" i="1"/>
  <c r="DS17" i="1" s="1"/>
  <c r="LQ17" i="1"/>
  <c r="MC17" i="1"/>
  <c r="DX17" i="1"/>
  <c r="DY17" i="1" s="1"/>
  <c r="GS17" i="1"/>
  <c r="KJ17" i="1"/>
  <c r="KR17" i="1"/>
  <c r="KT17" i="1" s="1"/>
  <c r="DA17" i="1"/>
  <c r="HB17" i="1" s="1"/>
  <c r="MD17" i="1" s="1"/>
  <c r="JX17" i="1"/>
  <c r="JZ17" i="1" s="1"/>
  <c r="LR17" i="1" s="1"/>
  <c r="LA17" i="1"/>
  <c r="HJ17" i="1"/>
  <c r="LP17" i="1" s="1"/>
  <c r="ED17" i="1"/>
  <c r="EE17" i="1" s="1"/>
  <c r="DZ17" i="1" l="1"/>
  <c r="DN17" i="1"/>
  <c r="LK17" i="1"/>
  <c r="DM17" i="1"/>
  <c r="DO17" i="1" s="1"/>
  <c r="DT17" i="1"/>
  <c r="KL17" i="1"/>
  <c r="EB17" i="1"/>
  <c r="EC17" i="1" s="1"/>
  <c r="LW17" i="1"/>
  <c r="GT17" i="1"/>
  <c r="LX17" i="1" s="1"/>
  <c r="LL17" i="1"/>
  <c r="DU17" i="1"/>
  <c r="LB17" i="1"/>
  <c r="MJ17" i="1" s="1"/>
  <c r="MI17" i="1"/>
  <c r="EJ18" i="1"/>
  <c r="EL18" i="1" s="1"/>
  <c r="DP18" i="1"/>
  <c r="DR18" i="1" s="1"/>
  <c r="DJ18" i="1"/>
  <c r="DK18" i="1" s="1"/>
  <c r="DD18" i="1"/>
  <c r="DF18" i="1" s="1"/>
  <c r="CX18" i="1"/>
  <c r="CY18" i="1" s="1"/>
  <c r="EA17" i="1" l="1"/>
  <c r="LJ17" i="1"/>
  <c r="EK18" i="1"/>
  <c r="EH18" i="1"/>
  <c r="DT18" i="1"/>
  <c r="LK18" i="1"/>
  <c r="DH18" i="1"/>
  <c r="EB18" i="1"/>
  <c r="LG18" i="1"/>
  <c r="DQ18" i="1"/>
  <c r="DS18" i="1" s="1"/>
  <c r="DX18" i="1"/>
  <c r="DE18" i="1"/>
  <c r="DG18" i="1" s="1"/>
  <c r="DV18" i="1"/>
  <c r="DL18" i="1"/>
  <c r="DZ18" i="1" s="1"/>
  <c r="ED18" i="1"/>
  <c r="EE18" i="1" s="1"/>
  <c r="CZ18" i="1"/>
  <c r="DB18" i="1"/>
  <c r="DC18" i="1" s="1"/>
  <c r="GS18" i="1" l="1"/>
  <c r="HA18" i="1"/>
  <c r="DW18" i="1"/>
  <c r="EI18" i="1"/>
  <c r="LL18" i="1"/>
  <c r="DU18" i="1"/>
  <c r="DY18" i="1"/>
  <c r="LH18" i="1"/>
  <c r="DI18" i="1"/>
  <c r="DA18" i="1"/>
  <c r="LA18" i="1"/>
  <c r="DN18" i="1"/>
  <c r="LI18" i="1"/>
  <c r="DM18" i="1"/>
  <c r="EC18" i="1"/>
  <c r="HB18" i="1" l="1"/>
  <c r="MD18" i="1" s="1"/>
  <c r="GT18" i="1"/>
  <c r="LX18" i="1" s="1"/>
  <c r="DO18" i="1"/>
  <c r="LJ18" i="1"/>
  <c r="MI18" i="1"/>
  <c r="LB18" i="1"/>
  <c r="MJ18" i="1" s="1"/>
  <c r="LW18" i="1"/>
  <c r="EA18" i="1"/>
  <c r="MC18" i="1"/>
  <c r="CI19" i="16"/>
  <c r="CR19" i="16"/>
  <c r="CS19" i="16" s="1"/>
  <c r="CL19" i="16"/>
  <c r="CM19" i="16" s="1"/>
  <c r="CX19" i="16"/>
  <c r="CY19" i="16" s="1"/>
  <c r="CH19" i="16"/>
  <c r="CP19" i="16" s="1"/>
  <c r="CD19" i="16"/>
  <c r="CE19" i="16" l="1"/>
  <c r="CF19" i="16"/>
  <c r="CT19" i="16"/>
  <c r="CV19" i="16"/>
  <c r="CZ19" i="16" s="1"/>
  <c r="CJ19" i="16"/>
  <c r="CN19" i="16" s="1"/>
  <c r="CQ19" i="16"/>
  <c r="CK19" i="16"/>
  <c r="CG19" i="16"/>
  <c r="CW19" i="16"/>
  <c r="CU19" i="16" l="1"/>
  <c r="CO19" i="16"/>
  <c r="DA19" i="1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Ray Burgess</author>
    <author>Ray</author>
  </authors>
  <commentList>
    <comment ref="F7" authorId="0" shapeId="0" xr:uid="{26B7747C-A25F-4566-9407-F63C42D15AD0}">
      <text>
        <r>
          <rPr>
            <b/>
            <sz val="9"/>
            <color indexed="81"/>
            <rFont val="Tahoma"/>
            <family val="2"/>
          </rPr>
          <t>Ray Burgess:</t>
        </r>
        <r>
          <rPr>
            <sz val="9"/>
            <color indexed="81"/>
            <rFont val="Tahoma"/>
            <family val="2"/>
          </rPr>
          <t xml:space="preserve">
Insert the height of the sample in millimeteres from the base of the tube.</t>
        </r>
      </text>
    </comment>
    <comment ref="P7" authorId="0" shapeId="0" xr:uid="{3B7F23BE-FB7B-4DE5-92ED-2373BE29A855}">
      <text>
        <r>
          <rPr>
            <b/>
            <sz val="9"/>
            <color indexed="81"/>
            <rFont val="Tahoma"/>
            <family val="2"/>
          </rPr>
          <t>Ray Burgess:</t>
        </r>
        <r>
          <rPr>
            <sz val="9"/>
            <color indexed="81"/>
            <rFont val="Tahoma"/>
            <family val="2"/>
          </rPr>
          <t xml:space="preserve">
Insert the height of the sample in millimeteres from the base of the tube.</t>
        </r>
      </text>
    </comment>
    <comment ref="Z7" authorId="0" shapeId="0" xr:uid="{92933449-62E8-4E09-B2CC-5D2E9547B9DA}">
      <text>
        <r>
          <rPr>
            <b/>
            <sz val="9"/>
            <color indexed="81"/>
            <rFont val="Tahoma"/>
            <family val="2"/>
          </rPr>
          <t>Ray Burgess:</t>
        </r>
        <r>
          <rPr>
            <sz val="9"/>
            <color indexed="81"/>
            <rFont val="Tahoma"/>
            <family val="2"/>
          </rPr>
          <t xml:space="preserve">
Insert the height of the sample in millimeteres from the base of the tube.</t>
        </r>
      </text>
    </comment>
    <comment ref="H12" authorId="1" shapeId="0" xr:uid="{1B0BF55D-562A-4CB4-A9D1-5B50167055FE}">
      <text>
        <r>
          <rPr>
            <b/>
            <sz val="9"/>
            <color indexed="81"/>
            <rFont val="Tahoma"/>
            <family val="2"/>
          </rPr>
          <t>Ray:</t>
        </r>
        <r>
          <rPr>
            <sz val="9"/>
            <color indexed="81"/>
            <rFont val="Tahoma"/>
            <family val="2"/>
          </rPr>
          <t xml:space="preserve">
Use this J value and the error for the desired position - press F9 to recalculate.</t>
        </r>
      </text>
    </comment>
    <comment ref="R12" authorId="1" shapeId="0" xr:uid="{AAEE4D79-F90B-4412-8D27-DFA731E60C0D}">
      <text>
        <r>
          <rPr>
            <b/>
            <sz val="9"/>
            <color indexed="81"/>
            <rFont val="Tahoma"/>
            <family val="2"/>
          </rPr>
          <t>Ray:</t>
        </r>
        <r>
          <rPr>
            <sz val="9"/>
            <color indexed="81"/>
            <rFont val="Tahoma"/>
            <family val="2"/>
          </rPr>
          <t xml:space="preserve">
Use this J value and the error for the desired position - press F9 to recalculate.</t>
        </r>
      </text>
    </comment>
    <comment ref="AB12" authorId="1" shapeId="0" xr:uid="{7AB5BE3F-E6A8-453B-B4C7-1B3015A82B6A}">
      <text>
        <r>
          <rPr>
            <b/>
            <sz val="9"/>
            <color indexed="81"/>
            <rFont val="Tahoma"/>
            <family val="2"/>
          </rPr>
          <t>Ray:</t>
        </r>
        <r>
          <rPr>
            <sz val="9"/>
            <color indexed="81"/>
            <rFont val="Tahoma"/>
            <family val="2"/>
          </rPr>
          <t xml:space="preserve">
Use this J value and the error for the desired position - press F9 to recalculate.</t>
        </r>
      </text>
    </comment>
    <comment ref="H14" authorId="1" shapeId="0" xr:uid="{60295FB8-8C1E-4486-9472-299AB1ED32A2}">
      <text>
        <r>
          <rPr>
            <b/>
            <sz val="9"/>
            <color indexed="81"/>
            <rFont val="Tahoma"/>
            <family val="2"/>
          </rPr>
          <t>Ray:</t>
        </r>
        <r>
          <rPr>
            <sz val="9"/>
            <color indexed="81"/>
            <rFont val="Tahoma"/>
            <family val="2"/>
          </rPr>
          <t xml:space="preserve">
This is the % diffrence between the J values obtained by the analytical solution (cell G9) and the simulated value
 (cell H13).</t>
        </r>
      </text>
    </comment>
    <comment ref="R14" authorId="1" shapeId="0" xr:uid="{88EE601D-9C32-49C3-A8FF-6E22775FA930}">
      <text>
        <r>
          <rPr>
            <b/>
            <sz val="9"/>
            <color indexed="81"/>
            <rFont val="Tahoma"/>
            <family val="2"/>
          </rPr>
          <t>Ray:</t>
        </r>
        <r>
          <rPr>
            <sz val="9"/>
            <color indexed="81"/>
            <rFont val="Tahoma"/>
            <family val="2"/>
          </rPr>
          <t xml:space="preserve">
This is the % diffrence between the J values obtained by the analytical solution (cell Q9) and the simulated value (cell R13) only relevant when the same heights (i.e. P7=P11)
</t>
        </r>
      </text>
    </comment>
    <comment ref="AB14" authorId="1" shapeId="0" xr:uid="{5404BDF9-9296-481F-8F5B-10B2D7D7F23F}">
      <text>
        <r>
          <rPr>
            <b/>
            <sz val="9"/>
            <color indexed="81"/>
            <rFont val="Tahoma"/>
            <family val="2"/>
          </rPr>
          <t>Ray:</t>
        </r>
        <r>
          <rPr>
            <sz val="9"/>
            <color indexed="81"/>
            <rFont val="Tahoma"/>
            <family val="2"/>
          </rPr>
          <t xml:space="preserve">
This is the % diffrence between the J values obtained by the analytical solution (cell AA9) and the simulated value (cell AB13) only relevant when the same heights (i.e. Z7=Z11)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Argus</author>
  </authors>
  <commentList>
    <comment ref="B25" authorId="0" shapeId="0" xr:uid="{00000000-0006-0000-0F00-000002000000}">
      <text>
        <r>
          <rPr>
            <b/>
            <sz val="9"/>
            <color indexed="81"/>
            <rFont val="Tahoma"/>
            <family val="2"/>
          </rPr>
          <t>Argus:</t>
        </r>
        <r>
          <rPr>
            <sz val="9"/>
            <color indexed="81"/>
            <rFont val="Tahoma"/>
            <family val="2"/>
          </rPr>
          <t xml:space="preserve">
2 grains jumped out approx 0.1 mg</t>
        </r>
      </text>
    </comment>
    <comment ref="B37" authorId="0" shapeId="0" xr:uid="{00000000-0006-0000-0F00-000001000000}">
      <text>
        <r>
          <rPr>
            <b/>
            <sz val="9"/>
            <color indexed="81"/>
            <rFont val="Tahoma"/>
            <family val="2"/>
          </rPr>
          <t>Argus:</t>
        </r>
        <r>
          <rPr>
            <sz val="9"/>
            <color indexed="81"/>
            <rFont val="Tahoma"/>
            <family val="2"/>
          </rPr>
          <t xml:space="preserve">
lost some grains - minimum concentration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<sst xmlns="http://schemas.openxmlformats.org/spreadsheetml/2006/main" count="3429" uniqueCount="1027">
  <si>
    <t>Tube</t>
  </si>
  <si>
    <t>40Ar</t>
  </si>
  <si>
    <t>±</t>
  </si>
  <si>
    <t>39Ar</t>
  </si>
  <si>
    <t>38Ar</t>
  </si>
  <si>
    <t>37Ar</t>
  </si>
  <si>
    <t>36Ar</t>
  </si>
  <si>
    <t>80Kr</t>
  </si>
  <si>
    <t>82Kr</t>
  </si>
  <si>
    <t>84Kr</t>
  </si>
  <si>
    <t>86Kr</t>
  </si>
  <si>
    <t>128Xe</t>
  </si>
  <si>
    <t>129Xe</t>
  </si>
  <si>
    <t>130Xe</t>
  </si>
  <si>
    <t>131Xe</t>
  </si>
  <si>
    <t>132Xe</t>
  </si>
  <si>
    <t>134Xe</t>
  </si>
  <si>
    <t>136Xe</t>
  </si>
  <si>
    <t>J</t>
  </si>
  <si>
    <t>K/Cl</t>
  </si>
  <si>
    <t>K/Ca</t>
  </si>
  <si>
    <t>π</t>
  </si>
  <si>
    <t>ω</t>
  </si>
  <si>
    <t>Ratios</t>
  </si>
  <si>
    <t>Cl</t>
  </si>
  <si>
    <t>%</t>
  </si>
  <si>
    <t>Decay Corrected</t>
  </si>
  <si>
    <t>Discrimination-corrected</t>
  </si>
  <si>
    <t>±40Ar</t>
  </si>
  <si>
    <t>Irradiation</t>
  </si>
  <si>
    <t>Reference</t>
  </si>
  <si>
    <t>Q</t>
  </si>
  <si>
    <t>AIR</t>
  </si>
  <si>
    <t>Yield (Y)</t>
  </si>
  <si>
    <t>35Cl--&gt; 36Cl: 35Cl(n,g)36Cl(β)36Ar</t>
  </si>
  <si>
    <t>37Cl --&gt; 38Ar: 37Cl(n,g)39Cl(β)38Ar</t>
  </si>
  <si>
    <t>39K--&gt; 39Ar: 39K(n,p)39Ar</t>
  </si>
  <si>
    <t>40Ca--&gt;37Ar: 40Ca(n,α)37Ar</t>
  </si>
  <si>
    <t>79Br--&gt;80Kr:79Br(n,g)80Br(β)80Kr</t>
  </si>
  <si>
    <t>81Br--&gt;82Kr: 81Br(n,g)82Br(β)82Kr</t>
  </si>
  <si>
    <t>127I--&gt;128Xe: 127I(n,g)128IBr(β)128Xe</t>
  </si>
  <si>
    <t>130Ba--&gt;131Xe:130Ba(n,g)131Ba(EC)131Cs(EC)131Xe</t>
  </si>
  <si>
    <t>130Te--&gt;131Xe:131Te(n,g)131Te(β)131I(β)131Xe</t>
  </si>
  <si>
    <t>235U--&gt;134Xe: Fission</t>
  </si>
  <si>
    <t>Hb3Gr</t>
  </si>
  <si>
    <t>K</t>
  </si>
  <si>
    <t>Ca</t>
  </si>
  <si>
    <t>Br</t>
  </si>
  <si>
    <t>I</t>
  </si>
  <si>
    <t>BB1</t>
  </si>
  <si>
    <t>Br/Cl</t>
  </si>
  <si>
    <t>I/Cl</t>
  </si>
  <si>
    <t>Neutron Production</t>
  </si>
  <si>
    <t>ppm</t>
  </si>
  <si>
    <t>Molecular Weights</t>
  </si>
  <si>
    <t>Ba</t>
  </si>
  <si>
    <t>g/mol</t>
  </si>
  <si>
    <t>F</t>
  </si>
  <si>
    <t>Noble Gas Ratios for Corrections</t>
  </si>
  <si>
    <t>Salts</t>
  </si>
  <si>
    <t xml:space="preserve">Lee et al. 2006 </t>
  </si>
  <si>
    <t>*Typo in Kendrick et al 2013 lists K as 990 ppm</t>
  </si>
  <si>
    <t>Ozima &amp; Podosek (2002)</t>
  </si>
  <si>
    <t xml:space="preserve">α          </t>
  </si>
  <si>
    <t xml:space="preserve">±α        </t>
  </si>
  <si>
    <t xml:space="preserve">β          </t>
  </si>
  <si>
    <t>±S40</t>
  </si>
  <si>
    <t>S84 (cc/div)</t>
  </si>
  <si>
    <t>±S84</t>
  </si>
  <si>
    <t>S132 (cc/div)</t>
  </si>
  <si>
    <t>±S132</t>
  </si>
  <si>
    <t>Age (Ma)</t>
  </si>
  <si>
    <t xml:space="preserve">± Age (Ma) </t>
  </si>
  <si>
    <t>Value</t>
  </si>
  <si>
    <t>Unit</t>
  </si>
  <si>
    <t>Renne et al. 2011</t>
  </si>
  <si>
    <t xml:space="preserve">λe </t>
  </si>
  <si>
    <t xml:space="preserve">λB- </t>
  </si>
  <si>
    <t>day</t>
  </si>
  <si>
    <t>a</t>
  </si>
  <si>
    <t>39ArK</t>
  </si>
  <si>
    <t>37ArCa</t>
  </si>
  <si>
    <t>day-1</t>
  </si>
  <si>
    <t>40KAr</t>
  </si>
  <si>
    <t>λ37Ar</t>
  </si>
  <si>
    <t>λ39Ar</t>
  </si>
  <si>
    <t>λ40K total</t>
  </si>
  <si>
    <t>λ36Cl</t>
  </si>
  <si>
    <t>from half-life</t>
  </si>
  <si>
    <t>36ClAr</t>
  </si>
  <si>
    <t>Monitors-Chemistry, Ages &amp; Ratios</t>
  </si>
  <si>
    <t>Age</t>
  </si>
  <si>
    <t>129I/127I</t>
  </si>
  <si>
    <t>Half-lives (=0.693/λ)</t>
  </si>
  <si>
    <t>Turner (1965) Hohenberg (1967)</t>
  </si>
  <si>
    <t>Brazzle et al (1999)</t>
  </si>
  <si>
    <t xml:space="preserve">Age Hb3Gr  </t>
  </si>
  <si>
    <t>Air Ratios</t>
  </si>
  <si>
    <t>IUPAC 2011</t>
  </si>
  <si>
    <t>Isotopic Abundance Ratios</t>
  </si>
  <si>
    <t xml:space="preserve">Wieser et al (2013) IUPAC </t>
  </si>
  <si>
    <t>*Pure Appl. Chem. 85, 1047-1078</t>
  </si>
  <si>
    <t>Wieser et al (2013) IUPAC *</t>
  </si>
  <si>
    <t>Berglund &amp; Wieser (2011) IUPAC*</t>
  </si>
  <si>
    <t>*Pure Appl. Chem. 83(2) 397–410</t>
  </si>
  <si>
    <t>Goldstein (1965)</t>
  </si>
  <si>
    <t>Stoenner et al.(1965)</t>
  </si>
  <si>
    <t>Abun. (Xi)</t>
  </si>
  <si>
    <t>BB2/SP*</t>
  </si>
  <si>
    <t>Analysis Date</t>
  </si>
  <si>
    <t>Can</t>
  </si>
  <si>
    <t>Laser Power</t>
  </si>
  <si>
    <t>Step Duration</t>
  </si>
  <si>
    <t xml:space="preserve">Spec. </t>
  </si>
  <si>
    <t>Constants</t>
  </si>
  <si>
    <t>Molar vol. gas @STP</t>
  </si>
  <si>
    <t>Interference Corrections</t>
  </si>
  <si>
    <t>K (ppm)</t>
  </si>
  <si>
    <t>K (mole)</t>
  </si>
  <si>
    <t>Scapolite: Potassium</t>
  </si>
  <si>
    <t>Scapolite: Calcium</t>
  </si>
  <si>
    <t>Ca (mole)</t>
  </si>
  <si>
    <t>Ca (ppm)</t>
  </si>
  <si>
    <t>Scapolite: Chlorine</t>
  </si>
  <si>
    <t>Cl (mole)</t>
  </si>
  <si>
    <t>Cl (ppm)</t>
  </si>
  <si>
    <t xml:space="preserve"> Cl (wt. %)</t>
  </si>
  <si>
    <t>±J</t>
  </si>
  <si>
    <t>Constant, Cl calculation</t>
  </si>
  <si>
    <t>Constant, Ca calcualtion</t>
  </si>
  <si>
    <t>Cell Name</t>
  </si>
  <si>
    <t>MW_F</t>
  </si>
  <si>
    <t>MW_Ba</t>
  </si>
  <si>
    <t>MW_K</t>
  </si>
  <si>
    <t>MW_Ca</t>
  </si>
  <si>
    <t>MW_I</t>
  </si>
  <si>
    <t>MW_Br</t>
  </si>
  <si>
    <t>MW_Cl</t>
  </si>
  <si>
    <t>lambda</t>
  </si>
  <si>
    <t>K40_Abun</t>
  </si>
  <si>
    <t xml:space="preserve"> lambda_e</t>
  </si>
  <si>
    <t>lambda_B</t>
  </si>
  <si>
    <t>-</t>
  </si>
  <si>
    <t>Ar4036_Air</t>
  </si>
  <si>
    <t>Ar3836_Air</t>
  </si>
  <si>
    <t>Hb3Gr_Age</t>
  </si>
  <si>
    <t>NIST CODATA 2014</t>
  </si>
  <si>
    <t>MV</t>
  </si>
  <si>
    <t>Reaction</t>
  </si>
  <si>
    <t xml:space="preserve">39K--&gt; 39Ar </t>
  </si>
  <si>
    <t xml:space="preserve">40Ca--&gt;37Ar </t>
  </si>
  <si>
    <t>79Br--&gt;80Kr</t>
  </si>
  <si>
    <t xml:space="preserve">81Br--&gt;82Kr </t>
  </si>
  <si>
    <t xml:space="preserve">127I--&gt;128Xe </t>
  </si>
  <si>
    <t xml:space="preserve">130Ba--&gt;131Xe </t>
  </si>
  <si>
    <t xml:space="preserve">130Te--&gt;131Xe </t>
  </si>
  <si>
    <t xml:space="preserve">235U--&gt;134Xe </t>
  </si>
  <si>
    <t>35Cl--&gt;36Ar</t>
  </si>
  <si>
    <t>Kendrick et al. (2013)</t>
  </si>
  <si>
    <t>Roddick (1983)</t>
  </si>
  <si>
    <t>Y_Isotope</t>
  </si>
  <si>
    <t>Therm_CS_Isotope</t>
  </si>
  <si>
    <t>EpiTherm_CS_Isotope</t>
  </si>
  <si>
    <t>wt. ratio</t>
  </si>
  <si>
    <t>K(wt.%)</t>
  </si>
  <si>
    <t>±K (mole)</t>
  </si>
  <si>
    <t>±K (ppm)</t>
  </si>
  <si>
    <t>±K (wt.%)</t>
  </si>
  <si>
    <t>lambda_37Ar</t>
  </si>
  <si>
    <t>lambda_36Ar</t>
  </si>
  <si>
    <t>lambda_39Ar</t>
  </si>
  <si>
    <t>Hb3Gr_K</t>
  </si>
  <si>
    <t>Hb3Gr_Cl</t>
  </si>
  <si>
    <t>Hb3Gr_Ca</t>
  </si>
  <si>
    <t>BB1_K</t>
  </si>
  <si>
    <t>BB2_SP_K</t>
  </si>
  <si>
    <t>BB1_I</t>
  </si>
  <si>
    <t>BB2_SP_I</t>
  </si>
  <si>
    <t>BB1_Br</t>
  </si>
  <si>
    <t>BB2_SP_Br</t>
  </si>
  <si>
    <t>BB1_Cl</t>
  </si>
  <si>
    <t>BB2_SP_Cl</t>
  </si>
  <si>
    <t>BB1_Ca</t>
  </si>
  <si>
    <t>BB2_SP_Ca</t>
  </si>
  <si>
    <t>BB1_BrCl</t>
  </si>
  <si>
    <t>BB1_KCl</t>
  </si>
  <si>
    <t>Hb3Gr_KCl</t>
  </si>
  <si>
    <t>BB1_KCa</t>
  </si>
  <si>
    <t>SW_initial</t>
  </si>
  <si>
    <t>K_Constant</t>
  </si>
  <si>
    <t>Cl_Constant</t>
  </si>
  <si>
    <t>Ca_Constant</t>
  </si>
  <si>
    <t>Isotope_Abun</t>
  </si>
  <si>
    <t xml:space="preserve">37Cl --&gt; 38Ar </t>
  </si>
  <si>
    <t>Calculated</t>
  </si>
  <si>
    <t xml:space="preserve">Decay Constants  </t>
  </si>
  <si>
    <t>Salt_40Ar39Ar_K</t>
  </si>
  <si>
    <t>Salt_38Ar39Ar_K</t>
  </si>
  <si>
    <t>Salt_36Ar37Ar_Ca</t>
  </si>
  <si>
    <t>Salt_39Ar37Ar_Ca</t>
  </si>
  <si>
    <t>Hb3Gr_KCa</t>
  </si>
  <si>
    <t>BB2_SP_BrCl</t>
  </si>
  <si>
    <t>BB2_SP_KCl</t>
  </si>
  <si>
    <t>BB2__SP_KCa</t>
  </si>
  <si>
    <t>BB1_ICl</t>
  </si>
  <si>
    <t>BB2_SP_ICl</t>
  </si>
  <si>
    <t>Iodine</t>
  </si>
  <si>
    <t>Age Calculation</t>
  </si>
  <si>
    <t>Air correction</t>
  </si>
  <si>
    <t xml:space="preserve">±β        </t>
  </si>
  <si>
    <t>ARGUS</t>
  </si>
  <si>
    <t>Ca (wt.%)</t>
  </si>
  <si>
    <t xml:space="preserve">Constant, K calculation </t>
  </si>
  <si>
    <t>Thermal Flux Constant</t>
  </si>
  <si>
    <t>Fast Flux Constant</t>
  </si>
  <si>
    <t>0.025-1 eV</t>
  </si>
  <si>
    <t>1eV-1keV</t>
  </si>
  <si>
    <t>Fast_CS_39K</t>
  </si>
  <si>
    <t>Thermal_Flux_Constant</t>
  </si>
  <si>
    <t>Fast_Flux_Constant</t>
  </si>
  <si>
    <t>Scapolite: Ratios</t>
  </si>
  <si>
    <t>K/Cl (molar)</t>
  </si>
  <si>
    <t>±K/Cl (molar)</t>
  </si>
  <si>
    <t>K/Ca(molar)</t>
  </si>
  <si>
    <t>±K/Ca(molar)</t>
  </si>
  <si>
    <t>± Age (Ma) ext</t>
  </si>
  <si>
    <t>Production Ratios from Hb3Gr</t>
  </si>
  <si>
    <t>Solar Wind</t>
  </si>
  <si>
    <t>Pepin et al (2012)</t>
  </si>
  <si>
    <t>Busemann et al (2000)</t>
  </si>
  <si>
    <t>SW+Q+Air</t>
  </si>
  <si>
    <t>Kr8084_Air</t>
  </si>
  <si>
    <t>Kr8284_Air</t>
  </si>
  <si>
    <t>Kr8684_Air</t>
  </si>
  <si>
    <t>Xe128130_Air</t>
  </si>
  <si>
    <t>Xe129130_Air</t>
  </si>
  <si>
    <t>Xe131130_Air</t>
  </si>
  <si>
    <t>Xe132130_Air</t>
  </si>
  <si>
    <t>Xe134130_Air</t>
  </si>
  <si>
    <t>Xe136130_Air</t>
  </si>
  <si>
    <t>Kr8084_SW</t>
  </si>
  <si>
    <t>Kr8284_SW</t>
  </si>
  <si>
    <t>Kr8684_SW</t>
  </si>
  <si>
    <t>Xe128130_SW</t>
  </si>
  <si>
    <t>Xe129130_SW</t>
  </si>
  <si>
    <t>Xe131130_SW</t>
  </si>
  <si>
    <t>Xe132130_SW</t>
  </si>
  <si>
    <t>Xe134130_SW</t>
  </si>
  <si>
    <t>Xe136130_SW</t>
  </si>
  <si>
    <t>Kr8084_Q</t>
  </si>
  <si>
    <t>Kr8284_Q</t>
  </si>
  <si>
    <t>Kr8684_Q</t>
  </si>
  <si>
    <t>Xe128130_Q</t>
  </si>
  <si>
    <t>Xe129130_Q</t>
  </si>
  <si>
    <t>Xe131130_Q</t>
  </si>
  <si>
    <t>Xe132130_Q</t>
  </si>
  <si>
    <t>Xe134130_Q</t>
  </si>
  <si>
    <t>Xe136130_Q</t>
  </si>
  <si>
    <t>Kr8084_Mix</t>
  </si>
  <si>
    <t>Kr8284_Mix</t>
  </si>
  <si>
    <t>Kr8684_Mix</t>
  </si>
  <si>
    <t>Xe128130_Mix</t>
  </si>
  <si>
    <t>Xe129130_Mix</t>
  </si>
  <si>
    <t>Xe131130_Mix</t>
  </si>
  <si>
    <t>Xe132130_Mix</t>
  </si>
  <si>
    <t>Xe134130_Mix</t>
  </si>
  <si>
    <t>Xe136130_Mix</t>
  </si>
  <si>
    <t>Y86Kr</t>
  </si>
  <si>
    <t>Fission (235U)</t>
  </si>
  <si>
    <r>
      <rPr>
        <vertAlign val="superscript"/>
        <sz val="14"/>
        <color theme="1"/>
        <rFont val="Arial"/>
        <family val="2"/>
      </rPr>
      <t>84</t>
    </r>
    <r>
      <rPr>
        <sz val="14"/>
        <color theme="1"/>
        <rFont val="Arial"/>
        <family val="2"/>
      </rPr>
      <t>Kr/</t>
    </r>
    <r>
      <rPr>
        <vertAlign val="superscript"/>
        <sz val="14"/>
        <color theme="1"/>
        <rFont val="Arial"/>
        <family val="2"/>
      </rPr>
      <t>86</t>
    </r>
    <r>
      <rPr>
        <sz val="14"/>
        <color theme="1"/>
        <rFont val="Arial"/>
        <family val="2"/>
      </rPr>
      <t>Kr</t>
    </r>
    <r>
      <rPr>
        <vertAlign val="subscript"/>
        <sz val="14"/>
        <color theme="1"/>
        <rFont val="Arial"/>
        <family val="2"/>
      </rPr>
      <t>nf</t>
    </r>
  </si>
  <si>
    <r>
      <rPr>
        <vertAlign val="superscript"/>
        <sz val="14"/>
        <color theme="1"/>
        <rFont val="Arial"/>
        <family val="2"/>
      </rPr>
      <t>134</t>
    </r>
    <r>
      <rPr>
        <sz val="14"/>
        <color theme="1"/>
        <rFont val="Arial"/>
        <family val="2"/>
      </rPr>
      <t>Xe/</t>
    </r>
    <r>
      <rPr>
        <vertAlign val="superscript"/>
        <sz val="14"/>
        <color theme="1"/>
        <rFont val="Arial"/>
        <family val="2"/>
      </rPr>
      <t>136</t>
    </r>
    <r>
      <rPr>
        <sz val="14"/>
        <color theme="1"/>
        <rFont val="Arial"/>
        <family val="2"/>
      </rPr>
      <t>Xe</t>
    </r>
    <r>
      <rPr>
        <vertAlign val="subscript"/>
        <sz val="14"/>
        <color theme="1"/>
        <rFont val="Arial"/>
        <family val="2"/>
      </rPr>
      <t>nf</t>
    </r>
  </si>
  <si>
    <r>
      <t>Y</t>
    </r>
    <r>
      <rPr>
        <vertAlign val="superscript"/>
        <sz val="14"/>
        <color theme="1"/>
        <rFont val="Arial"/>
        <family val="2"/>
      </rPr>
      <t>86</t>
    </r>
    <r>
      <rPr>
        <sz val="14"/>
        <color theme="1"/>
        <rFont val="Arial"/>
        <family val="2"/>
      </rPr>
      <t>Kr</t>
    </r>
  </si>
  <si>
    <r>
      <t>Y</t>
    </r>
    <r>
      <rPr>
        <vertAlign val="superscript"/>
        <sz val="14"/>
        <color theme="1"/>
        <rFont val="Arial"/>
        <family val="2"/>
      </rPr>
      <t>136</t>
    </r>
    <r>
      <rPr>
        <sz val="14"/>
        <color theme="1"/>
        <rFont val="Arial"/>
        <family val="2"/>
      </rPr>
      <t>Xe</t>
    </r>
  </si>
  <si>
    <r>
      <rPr>
        <vertAlign val="superscript"/>
        <sz val="14"/>
        <color theme="1"/>
        <rFont val="Arial"/>
        <family val="2"/>
      </rPr>
      <t>80</t>
    </r>
    <r>
      <rPr>
        <sz val="14"/>
        <color theme="1"/>
        <rFont val="Arial"/>
        <family val="2"/>
      </rPr>
      <t>Kr/</t>
    </r>
    <r>
      <rPr>
        <vertAlign val="superscript"/>
        <sz val="14"/>
        <color theme="1"/>
        <rFont val="Arial"/>
        <family val="2"/>
      </rPr>
      <t>84</t>
    </r>
    <r>
      <rPr>
        <sz val="14"/>
        <color theme="1"/>
        <rFont val="Arial"/>
        <family val="2"/>
      </rPr>
      <t>Kr</t>
    </r>
  </si>
  <si>
    <r>
      <rPr>
        <vertAlign val="superscript"/>
        <sz val="14"/>
        <color theme="1"/>
        <rFont val="Arial"/>
        <family val="2"/>
      </rPr>
      <t>82</t>
    </r>
    <r>
      <rPr>
        <sz val="14"/>
        <color theme="1"/>
        <rFont val="Arial"/>
        <family val="2"/>
      </rPr>
      <t>Kr/</t>
    </r>
    <r>
      <rPr>
        <vertAlign val="superscript"/>
        <sz val="14"/>
        <color theme="1"/>
        <rFont val="Arial"/>
        <family val="2"/>
      </rPr>
      <t>84</t>
    </r>
    <r>
      <rPr>
        <sz val="14"/>
        <color theme="1"/>
        <rFont val="Arial"/>
        <family val="2"/>
      </rPr>
      <t>Kr</t>
    </r>
  </si>
  <si>
    <r>
      <rPr>
        <vertAlign val="superscript"/>
        <sz val="14"/>
        <color theme="1"/>
        <rFont val="Arial"/>
        <family val="2"/>
      </rPr>
      <t>86</t>
    </r>
    <r>
      <rPr>
        <sz val="14"/>
        <color theme="1"/>
        <rFont val="Arial"/>
        <family val="2"/>
      </rPr>
      <t>Kr/</t>
    </r>
    <r>
      <rPr>
        <vertAlign val="superscript"/>
        <sz val="14"/>
        <color theme="1"/>
        <rFont val="Arial"/>
        <family val="2"/>
      </rPr>
      <t>84</t>
    </r>
    <r>
      <rPr>
        <sz val="14"/>
        <color theme="1"/>
        <rFont val="Arial"/>
        <family val="2"/>
      </rPr>
      <t>Kr</t>
    </r>
  </si>
  <si>
    <r>
      <rPr>
        <vertAlign val="superscript"/>
        <sz val="14"/>
        <color theme="1"/>
        <rFont val="Arial"/>
        <family val="2"/>
      </rPr>
      <t>128</t>
    </r>
    <r>
      <rPr>
        <sz val="14"/>
        <color theme="1"/>
        <rFont val="Arial"/>
        <family val="2"/>
      </rPr>
      <t>Xe/</t>
    </r>
    <r>
      <rPr>
        <vertAlign val="superscript"/>
        <sz val="14"/>
        <color theme="1"/>
        <rFont val="Arial"/>
        <family val="2"/>
      </rPr>
      <t>130</t>
    </r>
    <r>
      <rPr>
        <sz val="14"/>
        <color theme="1"/>
        <rFont val="Arial"/>
        <family val="2"/>
      </rPr>
      <t>Xe</t>
    </r>
  </si>
  <si>
    <r>
      <rPr>
        <vertAlign val="superscript"/>
        <sz val="14"/>
        <color theme="1"/>
        <rFont val="Arial"/>
        <family val="2"/>
      </rPr>
      <t>129</t>
    </r>
    <r>
      <rPr>
        <sz val="14"/>
        <color theme="1"/>
        <rFont val="Arial"/>
        <family val="2"/>
      </rPr>
      <t>Xe/</t>
    </r>
    <r>
      <rPr>
        <vertAlign val="superscript"/>
        <sz val="14"/>
        <color theme="1"/>
        <rFont val="Arial"/>
        <family val="2"/>
      </rPr>
      <t>130</t>
    </r>
    <r>
      <rPr>
        <sz val="14"/>
        <color theme="1"/>
        <rFont val="Arial"/>
        <family val="2"/>
      </rPr>
      <t>Xe</t>
    </r>
  </si>
  <si>
    <r>
      <rPr>
        <vertAlign val="superscript"/>
        <sz val="14"/>
        <color theme="1"/>
        <rFont val="Arial"/>
        <family val="2"/>
      </rPr>
      <t>131</t>
    </r>
    <r>
      <rPr>
        <sz val="14"/>
        <color theme="1"/>
        <rFont val="Arial"/>
        <family val="2"/>
      </rPr>
      <t>Xe/</t>
    </r>
    <r>
      <rPr>
        <vertAlign val="superscript"/>
        <sz val="14"/>
        <color theme="1"/>
        <rFont val="Arial"/>
        <family val="2"/>
      </rPr>
      <t>130</t>
    </r>
    <r>
      <rPr>
        <sz val="14"/>
        <color theme="1"/>
        <rFont val="Arial"/>
        <family val="2"/>
      </rPr>
      <t>Xe</t>
    </r>
  </si>
  <si>
    <r>
      <rPr>
        <vertAlign val="superscript"/>
        <sz val="14"/>
        <color theme="1"/>
        <rFont val="Arial"/>
        <family val="2"/>
      </rPr>
      <t>132</t>
    </r>
    <r>
      <rPr>
        <sz val="14"/>
        <color theme="1"/>
        <rFont val="Arial"/>
        <family val="2"/>
      </rPr>
      <t>Xe/</t>
    </r>
    <r>
      <rPr>
        <vertAlign val="superscript"/>
        <sz val="14"/>
        <color theme="1"/>
        <rFont val="Arial"/>
        <family val="2"/>
      </rPr>
      <t>130</t>
    </r>
    <r>
      <rPr>
        <sz val="14"/>
        <color theme="1"/>
        <rFont val="Arial"/>
        <family val="2"/>
      </rPr>
      <t>Xe</t>
    </r>
  </si>
  <si>
    <r>
      <rPr>
        <vertAlign val="superscript"/>
        <sz val="14"/>
        <color theme="1"/>
        <rFont val="Arial"/>
        <family val="2"/>
      </rPr>
      <t>134</t>
    </r>
    <r>
      <rPr>
        <sz val="14"/>
        <color theme="1"/>
        <rFont val="Arial"/>
        <family val="2"/>
      </rPr>
      <t>Xe/</t>
    </r>
    <r>
      <rPr>
        <vertAlign val="superscript"/>
        <sz val="14"/>
        <color theme="1"/>
        <rFont val="Arial"/>
        <family val="2"/>
      </rPr>
      <t>130</t>
    </r>
    <r>
      <rPr>
        <sz val="14"/>
        <color theme="1"/>
        <rFont val="Arial"/>
        <family val="2"/>
      </rPr>
      <t>Xe</t>
    </r>
  </si>
  <si>
    <r>
      <rPr>
        <vertAlign val="superscript"/>
        <sz val="14"/>
        <color theme="1"/>
        <rFont val="Arial"/>
        <family val="2"/>
      </rPr>
      <t>136</t>
    </r>
    <r>
      <rPr>
        <sz val="14"/>
        <color theme="1"/>
        <rFont val="Arial"/>
        <family val="2"/>
      </rPr>
      <t>Xe/</t>
    </r>
    <r>
      <rPr>
        <vertAlign val="superscript"/>
        <sz val="14"/>
        <color theme="1"/>
        <rFont val="Arial"/>
        <family val="2"/>
      </rPr>
      <t>130</t>
    </r>
    <r>
      <rPr>
        <sz val="14"/>
        <color theme="1"/>
        <rFont val="Arial"/>
        <family val="2"/>
      </rPr>
      <t>Xe</t>
    </r>
  </si>
  <si>
    <r>
      <t>a</t>
    </r>
    <r>
      <rPr>
        <vertAlign val="superscript"/>
        <sz val="14"/>
        <color theme="1"/>
        <rFont val="Arial"/>
        <family val="2"/>
      </rPr>
      <t>-1</t>
    </r>
  </si>
  <si>
    <r>
      <t>x 10</t>
    </r>
    <r>
      <rPr>
        <vertAlign val="superscript"/>
        <sz val="14"/>
        <color theme="1"/>
        <rFont val="Arial"/>
        <family val="2"/>
      </rPr>
      <t>9</t>
    </r>
    <r>
      <rPr>
        <sz val="14"/>
        <color theme="1"/>
        <rFont val="Arial"/>
        <family val="2"/>
      </rPr>
      <t xml:space="preserve"> a</t>
    </r>
  </si>
  <si>
    <r>
      <rPr>
        <vertAlign val="superscript"/>
        <sz val="14"/>
        <color theme="1"/>
        <rFont val="Arial"/>
        <family val="2"/>
      </rPr>
      <t>40</t>
    </r>
    <r>
      <rPr>
        <sz val="14"/>
        <color theme="1"/>
        <rFont val="Arial"/>
        <family val="2"/>
      </rPr>
      <t>Ar/</t>
    </r>
    <r>
      <rPr>
        <vertAlign val="superscript"/>
        <sz val="14"/>
        <color theme="1"/>
        <rFont val="Arial"/>
        <family val="2"/>
      </rPr>
      <t>36</t>
    </r>
    <r>
      <rPr>
        <sz val="14"/>
        <color theme="1"/>
        <rFont val="Arial"/>
        <family val="2"/>
      </rPr>
      <t>Ar</t>
    </r>
    <r>
      <rPr>
        <vertAlign val="subscript"/>
        <sz val="14"/>
        <color theme="1"/>
        <rFont val="Arial"/>
        <family val="2"/>
      </rPr>
      <t>air</t>
    </r>
  </si>
  <si>
    <r>
      <rPr>
        <vertAlign val="superscript"/>
        <sz val="14"/>
        <color theme="1"/>
        <rFont val="Arial"/>
        <family val="2"/>
      </rPr>
      <t>38</t>
    </r>
    <r>
      <rPr>
        <sz val="14"/>
        <color theme="1"/>
        <rFont val="Arial"/>
        <family val="2"/>
      </rPr>
      <t>Ar/</t>
    </r>
    <r>
      <rPr>
        <vertAlign val="superscript"/>
        <sz val="14"/>
        <color theme="1"/>
        <rFont val="Arial"/>
        <family val="2"/>
      </rPr>
      <t>36</t>
    </r>
    <r>
      <rPr>
        <sz val="14"/>
        <color theme="1"/>
        <rFont val="Arial"/>
        <family val="2"/>
      </rPr>
      <t>Ar</t>
    </r>
    <r>
      <rPr>
        <vertAlign val="subscript"/>
        <sz val="14"/>
        <color theme="1"/>
        <rFont val="Arial"/>
        <family val="2"/>
      </rPr>
      <t>air</t>
    </r>
  </si>
  <si>
    <r>
      <t>40</t>
    </r>
    <r>
      <rPr>
        <sz val="14"/>
        <color theme="1"/>
        <rFont val="Arial"/>
        <family val="2"/>
      </rPr>
      <t>K/K</t>
    </r>
  </si>
  <si>
    <r>
      <t>37</t>
    </r>
    <r>
      <rPr>
        <sz val="14"/>
        <color theme="1"/>
        <rFont val="Arial"/>
        <family val="2"/>
      </rPr>
      <t>Cl/Cl</t>
    </r>
  </si>
  <si>
    <r>
      <t>79</t>
    </r>
    <r>
      <rPr>
        <sz val="14"/>
        <color theme="1"/>
        <rFont val="Arial"/>
        <family val="2"/>
      </rPr>
      <t>Br/Br</t>
    </r>
  </si>
  <si>
    <r>
      <t>81</t>
    </r>
    <r>
      <rPr>
        <sz val="14"/>
        <color theme="1"/>
        <rFont val="Arial"/>
        <family val="2"/>
      </rPr>
      <t>B/Br</t>
    </r>
  </si>
  <si>
    <r>
      <rPr>
        <vertAlign val="superscript"/>
        <sz val="14"/>
        <color theme="1"/>
        <rFont val="Arial"/>
        <family val="2"/>
      </rPr>
      <t>40</t>
    </r>
    <r>
      <rPr>
        <sz val="14"/>
        <color theme="1"/>
        <rFont val="Arial"/>
        <family val="2"/>
      </rPr>
      <t>Ar/</t>
    </r>
    <r>
      <rPr>
        <vertAlign val="superscript"/>
        <sz val="14"/>
        <color theme="1"/>
        <rFont val="Arial"/>
        <family val="2"/>
      </rPr>
      <t>39</t>
    </r>
    <r>
      <rPr>
        <sz val="14"/>
        <color theme="1"/>
        <rFont val="Arial"/>
        <family val="2"/>
      </rPr>
      <t>ArK</t>
    </r>
  </si>
  <si>
    <r>
      <t>calc. from K</t>
    </r>
    <r>
      <rPr>
        <vertAlign val="subscript"/>
        <sz val="14"/>
        <color theme="1"/>
        <rFont val="Arial"/>
        <family val="2"/>
      </rPr>
      <t>2</t>
    </r>
    <r>
      <rPr>
        <sz val="14"/>
        <color theme="1"/>
        <rFont val="Arial"/>
        <family val="2"/>
      </rPr>
      <t>SO</t>
    </r>
    <r>
      <rPr>
        <vertAlign val="subscript"/>
        <sz val="14"/>
        <color theme="1"/>
        <rFont val="Arial"/>
        <family val="2"/>
      </rPr>
      <t>4</t>
    </r>
    <r>
      <rPr>
        <sz val="14"/>
        <color theme="1"/>
        <rFont val="Arial"/>
        <family val="2"/>
      </rPr>
      <t xml:space="preserve"> (see Salts Sheet)</t>
    </r>
  </si>
  <si>
    <r>
      <rPr>
        <vertAlign val="superscript"/>
        <sz val="14"/>
        <color theme="1"/>
        <rFont val="Arial"/>
        <family val="2"/>
      </rPr>
      <t>38</t>
    </r>
    <r>
      <rPr>
        <sz val="14"/>
        <color theme="1"/>
        <rFont val="Arial"/>
        <family val="2"/>
      </rPr>
      <t>Ar/</t>
    </r>
    <r>
      <rPr>
        <vertAlign val="superscript"/>
        <sz val="14"/>
        <color theme="1"/>
        <rFont val="Arial"/>
        <family val="2"/>
      </rPr>
      <t>39</t>
    </r>
    <r>
      <rPr>
        <sz val="14"/>
        <color theme="1"/>
        <rFont val="Arial"/>
        <family val="2"/>
      </rPr>
      <t>ArK</t>
    </r>
  </si>
  <si>
    <r>
      <t>calc. from K</t>
    </r>
    <r>
      <rPr>
        <vertAlign val="subscript"/>
        <sz val="14"/>
        <color theme="1"/>
        <rFont val="Arial"/>
        <family val="2"/>
      </rPr>
      <t>2</t>
    </r>
    <r>
      <rPr>
        <sz val="14"/>
        <color theme="1"/>
        <rFont val="Arial"/>
        <family val="2"/>
      </rPr>
      <t>SO</t>
    </r>
    <r>
      <rPr>
        <vertAlign val="subscript"/>
        <sz val="14"/>
        <color theme="1"/>
        <rFont val="Arial"/>
        <family val="2"/>
      </rPr>
      <t>4</t>
    </r>
  </si>
  <si>
    <r>
      <rPr>
        <vertAlign val="superscript"/>
        <sz val="14"/>
        <color theme="1"/>
        <rFont val="Arial"/>
        <family val="2"/>
      </rPr>
      <t>36</t>
    </r>
    <r>
      <rPr>
        <sz val="14"/>
        <color theme="1"/>
        <rFont val="Arial"/>
        <family val="2"/>
      </rPr>
      <t>Ar/</t>
    </r>
    <r>
      <rPr>
        <vertAlign val="superscript"/>
        <sz val="14"/>
        <color theme="1"/>
        <rFont val="Arial"/>
        <family val="2"/>
      </rPr>
      <t>37</t>
    </r>
    <r>
      <rPr>
        <sz val="14"/>
        <color theme="1"/>
        <rFont val="Arial"/>
        <family val="2"/>
      </rPr>
      <t>ArCa</t>
    </r>
  </si>
  <si>
    <r>
      <t>calc. from CaF</t>
    </r>
    <r>
      <rPr>
        <vertAlign val="subscript"/>
        <sz val="14"/>
        <color theme="1"/>
        <rFont val="Arial"/>
        <family val="2"/>
      </rPr>
      <t>2</t>
    </r>
    <r>
      <rPr>
        <sz val="16"/>
        <color theme="1"/>
        <rFont val="Arial"/>
        <family val="2"/>
      </rPr>
      <t/>
    </r>
  </si>
  <si>
    <r>
      <rPr>
        <vertAlign val="superscript"/>
        <sz val="14"/>
        <color theme="1"/>
        <rFont val="Arial"/>
        <family val="2"/>
      </rPr>
      <t>39</t>
    </r>
    <r>
      <rPr>
        <sz val="14"/>
        <color theme="1"/>
        <rFont val="Arial"/>
        <family val="2"/>
      </rPr>
      <t>Ar/</t>
    </r>
    <r>
      <rPr>
        <vertAlign val="superscript"/>
        <sz val="14"/>
        <color theme="1"/>
        <rFont val="Arial"/>
        <family val="2"/>
      </rPr>
      <t>37</t>
    </r>
    <r>
      <rPr>
        <sz val="14"/>
        <color theme="1"/>
        <rFont val="Arial"/>
        <family val="2"/>
      </rPr>
      <t>ArCa</t>
    </r>
  </si>
  <si>
    <r>
      <t>(</t>
    </r>
    <r>
      <rPr>
        <vertAlign val="superscript"/>
        <sz val="14"/>
        <color theme="1"/>
        <rFont val="Arial"/>
        <family val="2"/>
      </rPr>
      <t>129</t>
    </r>
    <r>
      <rPr>
        <sz val="14"/>
        <color theme="1"/>
        <rFont val="Arial"/>
        <family val="2"/>
      </rPr>
      <t>Xe/I)</t>
    </r>
    <r>
      <rPr>
        <vertAlign val="subscript"/>
        <sz val="14"/>
        <color theme="1"/>
        <rFont val="Arial"/>
        <family val="2"/>
      </rPr>
      <t xml:space="preserve">0 </t>
    </r>
    <r>
      <rPr>
        <sz val="14"/>
        <color theme="1"/>
        <rFont val="Arial"/>
        <family val="2"/>
      </rPr>
      <t>Shallowater</t>
    </r>
  </si>
  <si>
    <r>
      <t xml:space="preserve"> (σ</t>
    </r>
    <r>
      <rPr>
        <b/>
        <vertAlign val="subscript"/>
        <sz val="14"/>
        <color theme="1"/>
        <rFont val="Arial"/>
        <family val="2"/>
      </rPr>
      <t>therm</t>
    </r>
    <r>
      <rPr>
        <b/>
        <sz val="14"/>
        <color theme="1"/>
        <rFont val="Arial"/>
        <family val="2"/>
      </rPr>
      <t>) cm</t>
    </r>
    <r>
      <rPr>
        <b/>
        <vertAlign val="superscript"/>
        <sz val="14"/>
        <color theme="1"/>
        <rFont val="Arial"/>
        <family val="2"/>
      </rPr>
      <t>2</t>
    </r>
  </si>
  <si>
    <r>
      <t xml:space="preserve"> (σ</t>
    </r>
    <r>
      <rPr>
        <b/>
        <vertAlign val="subscript"/>
        <sz val="14"/>
        <color theme="1"/>
        <rFont val="Arial"/>
        <family val="2"/>
      </rPr>
      <t>res</t>
    </r>
    <r>
      <rPr>
        <b/>
        <sz val="14"/>
        <color theme="1"/>
        <rFont val="Arial"/>
        <family val="2"/>
      </rPr>
      <t>) cm</t>
    </r>
    <r>
      <rPr>
        <b/>
        <vertAlign val="superscript"/>
        <sz val="14"/>
        <color theme="1"/>
        <rFont val="Arial"/>
        <family val="2"/>
      </rPr>
      <t>2</t>
    </r>
  </si>
  <si>
    <r>
      <t xml:space="preserve"> (σ</t>
    </r>
    <r>
      <rPr>
        <b/>
        <vertAlign val="subscript"/>
        <sz val="14"/>
        <color theme="1"/>
        <rFont val="Arial"/>
        <family val="2"/>
      </rPr>
      <t>therm</t>
    </r>
    <r>
      <rPr>
        <b/>
        <sz val="14"/>
        <color theme="1"/>
        <rFont val="Arial"/>
        <family val="2"/>
      </rPr>
      <t>) barns</t>
    </r>
  </si>
  <si>
    <r>
      <t xml:space="preserve"> (σ</t>
    </r>
    <r>
      <rPr>
        <b/>
        <vertAlign val="subscript"/>
        <sz val="14"/>
        <color theme="1"/>
        <rFont val="Arial"/>
        <family val="2"/>
      </rPr>
      <t>res</t>
    </r>
    <r>
      <rPr>
        <b/>
        <sz val="14"/>
        <color theme="1"/>
        <rFont val="Arial"/>
        <family val="2"/>
      </rPr>
      <t>) barns</t>
    </r>
  </si>
  <si>
    <r>
      <t xml:space="preserve"> (σ</t>
    </r>
    <r>
      <rPr>
        <b/>
        <vertAlign val="subscript"/>
        <sz val="14"/>
        <color theme="1"/>
        <rFont val="Arial"/>
        <family val="2"/>
      </rPr>
      <t>fast</t>
    </r>
    <r>
      <rPr>
        <b/>
        <sz val="14"/>
        <color theme="1"/>
        <rFont val="Arial"/>
        <family val="2"/>
      </rPr>
      <t>) cm</t>
    </r>
    <r>
      <rPr>
        <b/>
        <vertAlign val="superscript"/>
        <sz val="14"/>
        <color theme="1"/>
        <rFont val="Arial"/>
        <family val="2"/>
      </rPr>
      <t>2</t>
    </r>
  </si>
  <si>
    <r>
      <t>*note the unit barn is a cross-sectional area and 1 barn = 10</t>
    </r>
    <r>
      <rPr>
        <i/>
        <vertAlign val="superscript"/>
        <sz val="14"/>
        <color theme="1"/>
        <rFont val="Arial"/>
        <family val="2"/>
      </rPr>
      <t>-24</t>
    </r>
    <r>
      <rPr>
        <i/>
        <sz val="14"/>
        <color theme="1"/>
        <rFont val="Arial"/>
        <family val="2"/>
      </rPr>
      <t xml:space="preserve"> cm</t>
    </r>
    <r>
      <rPr>
        <i/>
        <vertAlign val="superscript"/>
        <sz val="14"/>
        <color theme="1"/>
        <rFont val="Arial"/>
        <family val="2"/>
      </rPr>
      <t>2</t>
    </r>
    <r>
      <rPr>
        <i/>
        <sz val="11"/>
        <color theme="1"/>
        <rFont val="Calibri"/>
        <family val="2"/>
        <scheme val="minor"/>
      </rPr>
      <t/>
    </r>
  </si>
  <si>
    <r>
      <t>cc mol</t>
    </r>
    <r>
      <rPr>
        <vertAlign val="superscript"/>
        <sz val="14"/>
        <color theme="1"/>
        <rFont val="Arial"/>
        <family val="2"/>
      </rPr>
      <t>-1</t>
    </r>
  </si>
  <si>
    <r>
      <t>40</t>
    </r>
    <r>
      <rPr>
        <sz val="14"/>
        <color theme="1"/>
        <rFont val="Arial"/>
        <family val="2"/>
      </rPr>
      <t>Ar/</t>
    </r>
    <r>
      <rPr>
        <vertAlign val="superscript"/>
        <sz val="14"/>
        <color theme="1"/>
        <rFont val="Arial"/>
        <family val="2"/>
      </rPr>
      <t>36</t>
    </r>
    <r>
      <rPr>
        <sz val="14"/>
        <color theme="1"/>
        <rFont val="Arial"/>
        <family val="2"/>
      </rPr>
      <t>Ar</t>
    </r>
  </si>
  <si>
    <r>
      <t>38</t>
    </r>
    <r>
      <rPr>
        <sz val="14"/>
        <color theme="1"/>
        <rFont val="Arial"/>
        <family val="2"/>
      </rPr>
      <t>Ar/</t>
    </r>
    <r>
      <rPr>
        <vertAlign val="superscript"/>
        <sz val="14"/>
        <color theme="1"/>
        <rFont val="Arial"/>
        <family val="2"/>
      </rPr>
      <t>36</t>
    </r>
    <r>
      <rPr>
        <sz val="14"/>
        <color theme="1"/>
        <rFont val="Arial"/>
        <family val="2"/>
      </rPr>
      <t>Ar</t>
    </r>
  </si>
  <si>
    <t>Kr8684_nf</t>
  </si>
  <si>
    <t>Xe134136_nf</t>
  </si>
  <si>
    <t>Y134Xe</t>
  </si>
  <si>
    <t>Associated uncertainty is named CellName_err</t>
  </si>
  <si>
    <t>Argon Sensitivity (cc/fA)</t>
  </si>
  <si>
    <t>cc Krypton</t>
  </si>
  <si>
    <t>cc Argon</t>
  </si>
  <si>
    <t>K/Cl (wt.)</t>
  </si>
  <si>
    <t>±K/Cl (wt.)</t>
  </si>
  <si>
    <t>K/Ca (wt.)</t>
  </si>
  <si>
    <t>±K/Ca (wt.)</t>
  </si>
  <si>
    <t>Scapolite Mass (g)</t>
  </si>
  <si>
    <t>±Scapolite Mass (g)</t>
  </si>
  <si>
    <t>Moles Krypton</t>
  </si>
  <si>
    <t>Irrad. Date</t>
  </si>
  <si>
    <t>Stepped</t>
  </si>
  <si>
    <t>Irradiation Details</t>
  </si>
  <si>
    <t>W</t>
  </si>
  <si>
    <t>Laser Details</t>
  </si>
  <si>
    <t>Cl3638_PR</t>
  </si>
  <si>
    <t>Experimentally Determined Production Ratios</t>
  </si>
  <si>
    <r>
      <rPr>
        <vertAlign val="superscript"/>
        <sz val="14"/>
        <color theme="1"/>
        <rFont val="Arial"/>
        <family val="2"/>
      </rPr>
      <t>36</t>
    </r>
    <r>
      <rPr>
        <sz val="14"/>
        <color theme="1"/>
        <rFont val="Arial"/>
        <family val="2"/>
      </rPr>
      <t>Cl/</t>
    </r>
    <r>
      <rPr>
        <vertAlign val="superscript"/>
        <sz val="14"/>
        <color theme="1"/>
        <rFont val="Arial"/>
        <family val="2"/>
      </rPr>
      <t>38</t>
    </r>
    <r>
      <rPr>
        <sz val="14"/>
        <color theme="1"/>
        <rFont val="Arial"/>
        <family val="2"/>
      </rPr>
      <t>Cl</t>
    </r>
  </si>
  <si>
    <t>Type (Stepped or Continuous)</t>
  </si>
  <si>
    <t>Column K must read 'Continuous' or 'Stepped'</t>
  </si>
  <si>
    <t>79Br Constant</t>
  </si>
  <si>
    <t xml:space="preserve">81Br Constant </t>
  </si>
  <si>
    <t>127I Constant</t>
  </si>
  <si>
    <t>Br79_Constant</t>
  </si>
  <si>
    <t>I127_Constant</t>
  </si>
  <si>
    <t>Br81_Constant</t>
  </si>
  <si>
    <t xml:space="preserve">Krypton Sensitivity and Yield </t>
  </si>
  <si>
    <t>Moles Ar</t>
  </si>
  <si>
    <t>Details</t>
  </si>
  <si>
    <t>π'</t>
  </si>
  <si>
    <t>Change ratio chemistry for BB1 or BB2/SP columns KM-KP</t>
  </si>
  <si>
    <t>±Br (ppm)</t>
  </si>
  <si>
    <t>Corrected Scapolite Br: Shallowater-Determined Br Factors</t>
  </si>
  <si>
    <t>Scapolite: Raw Kr Data</t>
  </si>
  <si>
    <t>Scapolite: Blank Kr Data</t>
  </si>
  <si>
    <t>Scapolite: Blank Corrected Kr Data</t>
  </si>
  <si>
    <t>Scapolite: Raw Ar Data</t>
  </si>
  <si>
    <t>Scapolite: Blank Ar Data</t>
  </si>
  <si>
    <t>Scapolite: Blank Corrected Ar Data</t>
  </si>
  <si>
    <t>Scapolite: Raw Xe Data</t>
  </si>
  <si>
    <t>Scapolite: Blank Xe Data</t>
  </si>
  <si>
    <t>Scapolite: BlankCorrected  Xe Data</t>
  </si>
  <si>
    <t>Air Correction</t>
  </si>
  <si>
    <t>YXe</t>
  </si>
  <si>
    <t>±YXe</t>
  </si>
  <si>
    <t>YKr</t>
  </si>
  <si>
    <t>±YKr</t>
  </si>
  <si>
    <t xml:space="preserve">Xenon Sensitivity and Yield </t>
  </si>
  <si>
    <t xml:space="preserve">I (ppb)  </t>
  </si>
  <si>
    <t>±I (ppb)</t>
  </si>
  <si>
    <t>U</t>
  </si>
  <si>
    <r>
      <rPr>
        <vertAlign val="superscript"/>
        <sz val="14"/>
        <color theme="1"/>
        <rFont val="Arial"/>
        <family val="2"/>
      </rPr>
      <t>131</t>
    </r>
    <r>
      <rPr>
        <sz val="14"/>
        <color theme="1"/>
        <rFont val="Arial"/>
        <family val="2"/>
      </rPr>
      <t>Xe/</t>
    </r>
    <r>
      <rPr>
        <vertAlign val="superscript"/>
        <sz val="14"/>
        <color theme="1"/>
        <rFont val="Arial"/>
        <family val="2"/>
      </rPr>
      <t>136</t>
    </r>
    <r>
      <rPr>
        <sz val="14"/>
        <color theme="1"/>
        <rFont val="Arial"/>
        <family val="2"/>
      </rPr>
      <t>Xe</t>
    </r>
    <r>
      <rPr>
        <vertAlign val="subscript"/>
        <sz val="14"/>
        <color theme="1"/>
        <rFont val="Arial"/>
        <family val="2"/>
      </rPr>
      <t>nf</t>
    </r>
  </si>
  <si>
    <t>Xe131136_nf</t>
  </si>
  <si>
    <t xml:space="preserve">I (mole)  </t>
  </si>
  <si>
    <t>±I (mole)</t>
  </si>
  <si>
    <t xml:space="preserve">Ba (ppm)  </t>
  </si>
  <si>
    <t>±Ba (ppm)</t>
  </si>
  <si>
    <t>Uranium</t>
  </si>
  <si>
    <t>Barium</t>
  </si>
  <si>
    <t>Ba (mole)</t>
  </si>
  <si>
    <t>±Ba (mole)</t>
  </si>
  <si>
    <t>I Correction Factor, Omega &amp; Production Ratio</t>
  </si>
  <si>
    <t>U (mole)</t>
  </si>
  <si>
    <t>U (ppb)</t>
  </si>
  <si>
    <t>±U (ppb)</t>
  </si>
  <si>
    <t>±U (mole)</t>
  </si>
  <si>
    <t>Scapolite Details</t>
  </si>
  <si>
    <t xml:space="preserve">must be filled in </t>
  </si>
  <si>
    <t xml:space="preserve">All named cells local to the sheet except those in the Ref Values Sheet </t>
  </si>
  <si>
    <t>Red = Fill in Information</t>
  </si>
  <si>
    <t>Irradiation Parameters from Hb3Gr Sheet</t>
  </si>
  <si>
    <r>
      <t>S</t>
    </r>
    <r>
      <rPr>
        <b/>
        <vertAlign val="superscript"/>
        <sz val="14"/>
        <color rgb="FFFF0000"/>
        <rFont val="Arial"/>
        <family val="2"/>
      </rPr>
      <t>84</t>
    </r>
    <r>
      <rPr>
        <b/>
        <sz val="14"/>
        <color rgb="FFFF0000"/>
        <rFont val="Arial"/>
        <family val="2"/>
      </rPr>
      <t>Kr (cc/fA)</t>
    </r>
  </si>
  <si>
    <r>
      <t>±S</t>
    </r>
    <r>
      <rPr>
        <b/>
        <vertAlign val="superscript"/>
        <sz val="14"/>
        <color rgb="FFFF0000"/>
        <rFont val="Arial"/>
        <family val="2"/>
      </rPr>
      <t>84</t>
    </r>
    <r>
      <rPr>
        <b/>
        <sz val="14"/>
        <color rgb="FFFF0000"/>
        <rFont val="Arial"/>
        <family val="2"/>
      </rPr>
      <t>Kr</t>
    </r>
  </si>
  <si>
    <r>
      <t>80</t>
    </r>
    <r>
      <rPr>
        <b/>
        <sz val="14"/>
        <color rgb="FFFF0000"/>
        <rFont val="Arial"/>
        <family val="2"/>
      </rPr>
      <t>Kr</t>
    </r>
  </si>
  <si>
    <r>
      <t>±</t>
    </r>
    <r>
      <rPr>
        <b/>
        <vertAlign val="superscript"/>
        <sz val="14"/>
        <color rgb="FFFF0000"/>
        <rFont val="Arial"/>
        <family val="2"/>
      </rPr>
      <t>80</t>
    </r>
    <r>
      <rPr>
        <b/>
        <sz val="14"/>
        <color rgb="FFFF0000"/>
        <rFont val="Arial"/>
        <family val="2"/>
      </rPr>
      <t>Kr</t>
    </r>
  </si>
  <si>
    <r>
      <t>82</t>
    </r>
    <r>
      <rPr>
        <b/>
        <sz val="14"/>
        <color rgb="FFFF0000"/>
        <rFont val="Arial"/>
        <family val="2"/>
      </rPr>
      <t>Kr</t>
    </r>
  </si>
  <si>
    <r>
      <t>±</t>
    </r>
    <r>
      <rPr>
        <b/>
        <vertAlign val="superscript"/>
        <sz val="14"/>
        <color rgb="FFFF0000"/>
        <rFont val="Arial"/>
        <family val="2"/>
      </rPr>
      <t>82</t>
    </r>
    <r>
      <rPr>
        <b/>
        <sz val="14"/>
        <color rgb="FFFF0000"/>
        <rFont val="Arial"/>
        <family val="2"/>
      </rPr>
      <t>Kr</t>
    </r>
  </si>
  <si>
    <r>
      <t>84</t>
    </r>
    <r>
      <rPr>
        <b/>
        <sz val="14"/>
        <color rgb="FFFF0000"/>
        <rFont val="Arial"/>
        <family val="2"/>
      </rPr>
      <t>Kr</t>
    </r>
  </si>
  <si>
    <r>
      <t>±</t>
    </r>
    <r>
      <rPr>
        <b/>
        <vertAlign val="superscript"/>
        <sz val="14"/>
        <color rgb="FFFF0000"/>
        <rFont val="Arial"/>
        <family val="2"/>
      </rPr>
      <t>84</t>
    </r>
    <r>
      <rPr>
        <b/>
        <sz val="14"/>
        <color rgb="FFFF0000"/>
        <rFont val="Arial"/>
        <family val="2"/>
      </rPr>
      <t>Kr</t>
    </r>
  </si>
  <si>
    <r>
      <t>86</t>
    </r>
    <r>
      <rPr>
        <b/>
        <sz val="14"/>
        <color rgb="FFFF0000"/>
        <rFont val="Arial"/>
        <family val="2"/>
      </rPr>
      <t>Kr</t>
    </r>
  </si>
  <si>
    <r>
      <t>±</t>
    </r>
    <r>
      <rPr>
        <b/>
        <vertAlign val="superscript"/>
        <sz val="14"/>
        <color rgb="FFFF0000"/>
        <rFont val="Arial"/>
        <family val="2"/>
      </rPr>
      <t>86</t>
    </r>
    <r>
      <rPr>
        <b/>
        <sz val="14"/>
        <color rgb="FFFF0000"/>
        <rFont val="Arial"/>
        <family val="2"/>
      </rPr>
      <t>Kr</t>
    </r>
  </si>
  <si>
    <r>
      <t xml:space="preserve">ɸ </t>
    </r>
    <r>
      <rPr>
        <b/>
        <vertAlign val="subscript"/>
        <sz val="14"/>
        <color rgb="FFFF0000"/>
        <rFont val="Arial"/>
        <family val="2"/>
      </rPr>
      <t>therm</t>
    </r>
  </si>
  <si>
    <r>
      <t xml:space="preserve">± ɸ </t>
    </r>
    <r>
      <rPr>
        <b/>
        <vertAlign val="subscript"/>
        <sz val="14"/>
        <color rgb="FFFF0000"/>
        <rFont val="Arial"/>
        <family val="2"/>
      </rPr>
      <t>therm</t>
    </r>
  </si>
  <si>
    <r>
      <t xml:space="preserve">ɸ </t>
    </r>
    <r>
      <rPr>
        <b/>
        <vertAlign val="subscript"/>
        <sz val="14"/>
        <color rgb="FFFF0000"/>
        <rFont val="Arial"/>
        <family val="2"/>
      </rPr>
      <t>fast</t>
    </r>
  </si>
  <si>
    <r>
      <t xml:space="preserve">± ɸ </t>
    </r>
    <r>
      <rPr>
        <b/>
        <vertAlign val="subscript"/>
        <sz val="14"/>
        <color rgb="FFFF0000"/>
        <rFont val="Arial"/>
        <family val="2"/>
      </rPr>
      <t>fast</t>
    </r>
  </si>
  <si>
    <r>
      <t>S</t>
    </r>
    <r>
      <rPr>
        <b/>
        <vertAlign val="superscript"/>
        <sz val="14"/>
        <color rgb="FFFF0000"/>
        <rFont val="Arial"/>
        <family val="2"/>
      </rPr>
      <t>40</t>
    </r>
    <r>
      <rPr>
        <b/>
        <sz val="14"/>
        <color rgb="FFFF0000"/>
        <rFont val="Arial"/>
        <family val="2"/>
      </rPr>
      <t>Ar (cc/fA)</t>
    </r>
  </si>
  <si>
    <r>
      <t>±S</t>
    </r>
    <r>
      <rPr>
        <b/>
        <vertAlign val="superscript"/>
        <sz val="14"/>
        <color rgb="FFFF0000"/>
        <rFont val="Arial"/>
        <family val="2"/>
      </rPr>
      <t>40</t>
    </r>
    <r>
      <rPr>
        <b/>
        <sz val="14"/>
        <color rgb="FFFF0000"/>
        <rFont val="Arial"/>
        <family val="2"/>
      </rPr>
      <t>Ar</t>
    </r>
  </si>
  <si>
    <r>
      <t>36</t>
    </r>
    <r>
      <rPr>
        <b/>
        <sz val="14"/>
        <color rgb="FFFF0000"/>
        <rFont val="Arial"/>
        <family val="2"/>
      </rPr>
      <t>Ar</t>
    </r>
  </si>
  <si>
    <r>
      <t>37</t>
    </r>
    <r>
      <rPr>
        <b/>
        <sz val="14"/>
        <color rgb="FFFF0000"/>
        <rFont val="Arial"/>
        <family val="2"/>
      </rPr>
      <t>Ar</t>
    </r>
  </si>
  <si>
    <r>
      <t>39</t>
    </r>
    <r>
      <rPr>
        <b/>
        <sz val="14"/>
        <color rgb="FFFF0000"/>
        <rFont val="Arial"/>
        <family val="2"/>
      </rPr>
      <t>Ar</t>
    </r>
  </si>
  <si>
    <r>
      <rPr>
        <b/>
        <vertAlign val="superscript"/>
        <sz val="14"/>
        <color rgb="FFFF0000"/>
        <rFont val="Arial"/>
        <family val="2"/>
      </rPr>
      <t>40</t>
    </r>
    <r>
      <rPr>
        <b/>
        <sz val="14"/>
        <color rgb="FFFF0000"/>
        <rFont val="Arial"/>
        <family val="2"/>
      </rPr>
      <t>Ar/</t>
    </r>
    <r>
      <rPr>
        <b/>
        <vertAlign val="superscript"/>
        <sz val="14"/>
        <color rgb="FFFF0000"/>
        <rFont val="Arial"/>
        <family val="2"/>
      </rPr>
      <t>36</t>
    </r>
    <r>
      <rPr>
        <b/>
        <sz val="14"/>
        <color rgb="FFFF0000"/>
        <rFont val="Arial"/>
        <family val="2"/>
      </rPr>
      <t>Ar</t>
    </r>
    <r>
      <rPr>
        <b/>
        <vertAlign val="subscript"/>
        <sz val="14"/>
        <color rgb="FFFF0000"/>
        <rFont val="Arial"/>
        <family val="2"/>
      </rPr>
      <t xml:space="preserve"> aircal</t>
    </r>
  </si>
  <si>
    <t>Decay Factors*</t>
  </si>
  <si>
    <t>*only for stepped irradiation</t>
  </si>
  <si>
    <r>
      <t>40</t>
    </r>
    <r>
      <rPr>
        <b/>
        <sz val="14"/>
        <color rgb="FFFF0000"/>
        <rFont val="Arial"/>
        <family val="2"/>
      </rPr>
      <t>Ar</t>
    </r>
  </si>
  <si>
    <r>
      <t>±</t>
    </r>
    <r>
      <rPr>
        <b/>
        <vertAlign val="superscript"/>
        <sz val="14"/>
        <color rgb="FFFF0000"/>
        <rFont val="Arial"/>
        <family val="2"/>
      </rPr>
      <t>40</t>
    </r>
    <r>
      <rPr>
        <b/>
        <sz val="14"/>
        <color rgb="FFFF0000"/>
        <rFont val="Arial"/>
        <family val="2"/>
      </rPr>
      <t>Ar</t>
    </r>
  </si>
  <si>
    <r>
      <t>±</t>
    </r>
    <r>
      <rPr>
        <b/>
        <vertAlign val="superscript"/>
        <sz val="14"/>
        <color rgb="FFFF0000"/>
        <rFont val="Arial"/>
        <family val="2"/>
      </rPr>
      <t>39</t>
    </r>
    <r>
      <rPr>
        <b/>
        <sz val="14"/>
        <color rgb="FFFF0000"/>
        <rFont val="Arial"/>
        <family val="2"/>
      </rPr>
      <t>Ar</t>
    </r>
  </si>
  <si>
    <r>
      <t>38</t>
    </r>
    <r>
      <rPr>
        <b/>
        <sz val="14"/>
        <color rgb="FFFF0000"/>
        <rFont val="Arial"/>
        <family val="2"/>
      </rPr>
      <t>Ar</t>
    </r>
  </si>
  <si>
    <r>
      <t>±</t>
    </r>
    <r>
      <rPr>
        <b/>
        <vertAlign val="superscript"/>
        <sz val="14"/>
        <color rgb="FFFF0000"/>
        <rFont val="Arial"/>
        <family val="2"/>
      </rPr>
      <t>38</t>
    </r>
    <r>
      <rPr>
        <b/>
        <sz val="14"/>
        <color rgb="FFFF0000"/>
        <rFont val="Arial"/>
        <family val="2"/>
      </rPr>
      <t>Ar</t>
    </r>
  </si>
  <si>
    <r>
      <t>±</t>
    </r>
    <r>
      <rPr>
        <b/>
        <vertAlign val="superscript"/>
        <sz val="14"/>
        <color rgb="FFFF0000"/>
        <rFont val="Arial"/>
        <family val="2"/>
      </rPr>
      <t>37</t>
    </r>
    <r>
      <rPr>
        <b/>
        <sz val="14"/>
        <color rgb="FFFF0000"/>
        <rFont val="Arial"/>
        <family val="2"/>
      </rPr>
      <t>Ar</t>
    </r>
  </si>
  <si>
    <r>
      <t>±</t>
    </r>
    <r>
      <rPr>
        <b/>
        <vertAlign val="superscript"/>
        <sz val="14"/>
        <color rgb="FFFF0000"/>
        <rFont val="Arial"/>
        <family val="2"/>
      </rPr>
      <t>36</t>
    </r>
    <r>
      <rPr>
        <b/>
        <sz val="14"/>
        <color rgb="FFFF0000"/>
        <rFont val="Arial"/>
        <family val="2"/>
      </rPr>
      <t>Ar</t>
    </r>
  </si>
  <si>
    <t>Decay Factor*</t>
  </si>
  <si>
    <r>
      <t>F</t>
    </r>
    <r>
      <rPr>
        <b/>
        <vertAlign val="subscript"/>
        <sz val="14"/>
        <color rgb="FFFF0000"/>
        <rFont val="Arial"/>
        <family val="2"/>
      </rPr>
      <t>81BrSW</t>
    </r>
  </si>
  <si>
    <r>
      <rPr>
        <b/>
        <sz val="14"/>
        <color rgb="FFFF0000"/>
        <rFont val="Calibri"/>
        <family val="2"/>
      </rPr>
      <t>±</t>
    </r>
    <r>
      <rPr>
        <b/>
        <sz val="14"/>
        <color rgb="FFFF0000"/>
        <rFont val="Arial"/>
        <family val="2"/>
      </rPr>
      <t>F</t>
    </r>
    <r>
      <rPr>
        <b/>
        <vertAlign val="subscript"/>
        <sz val="14"/>
        <color rgb="FFFF0000"/>
        <rFont val="Arial"/>
        <family val="2"/>
      </rPr>
      <t>81BrSW</t>
    </r>
  </si>
  <si>
    <r>
      <t>F</t>
    </r>
    <r>
      <rPr>
        <b/>
        <vertAlign val="subscript"/>
        <sz val="14"/>
        <color rgb="FFFF0000"/>
        <rFont val="Arial"/>
        <family val="2"/>
      </rPr>
      <t>79BrSW</t>
    </r>
  </si>
  <si>
    <r>
      <rPr>
        <b/>
        <sz val="14"/>
        <color rgb="FFFF0000"/>
        <rFont val="Calibri"/>
        <family val="2"/>
      </rPr>
      <t>±</t>
    </r>
    <r>
      <rPr>
        <b/>
        <sz val="14"/>
        <color rgb="FFFF0000"/>
        <rFont val="Arial"/>
        <family val="2"/>
      </rPr>
      <t>F</t>
    </r>
    <r>
      <rPr>
        <b/>
        <vertAlign val="subscript"/>
        <sz val="14"/>
        <color rgb="FFFF0000"/>
        <rFont val="Arial"/>
        <family val="2"/>
      </rPr>
      <t>79BrSW</t>
    </r>
  </si>
  <si>
    <r>
      <t>128</t>
    </r>
    <r>
      <rPr>
        <b/>
        <sz val="14"/>
        <color rgb="FFFF0000"/>
        <rFont val="Arial"/>
        <family val="2"/>
      </rPr>
      <t>Xe</t>
    </r>
  </si>
  <si>
    <r>
      <t>±</t>
    </r>
    <r>
      <rPr>
        <b/>
        <vertAlign val="superscript"/>
        <sz val="14"/>
        <color rgb="FFFF0000"/>
        <rFont val="Arial"/>
        <family val="2"/>
      </rPr>
      <t>128</t>
    </r>
    <r>
      <rPr>
        <b/>
        <sz val="14"/>
        <color rgb="FFFF0000"/>
        <rFont val="Arial"/>
        <family val="2"/>
      </rPr>
      <t>Xe</t>
    </r>
  </si>
  <si>
    <r>
      <t>129</t>
    </r>
    <r>
      <rPr>
        <b/>
        <sz val="14"/>
        <color rgb="FFFF0000"/>
        <rFont val="Arial"/>
        <family val="2"/>
      </rPr>
      <t>Xe</t>
    </r>
  </si>
  <si>
    <r>
      <t>±</t>
    </r>
    <r>
      <rPr>
        <b/>
        <vertAlign val="superscript"/>
        <sz val="14"/>
        <color rgb="FFFF0000"/>
        <rFont val="Arial"/>
        <family val="2"/>
      </rPr>
      <t>129</t>
    </r>
    <r>
      <rPr>
        <b/>
        <sz val="14"/>
        <color rgb="FFFF0000"/>
        <rFont val="Arial"/>
        <family val="2"/>
      </rPr>
      <t>Xe</t>
    </r>
  </si>
  <si>
    <r>
      <t>130</t>
    </r>
    <r>
      <rPr>
        <b/>
        <sz val="14"/>
        <color rgb="FFFF0000"/>
        <rFont val="Arial"/>
        <family val="2"/>
      </rPr>
      <t>Xe</t>
    </r>
  </si>
  <si>
    <r>
      <t>±</t>
    </r>
    <r>
      <rPr>
        <b/>
        <vertAlign val="superscript"/>
        <sz val="14"/>
        <color rgb="FFFF0000"/>
        <rFont val="Arial"/>
        <family val="2"/>
      </rPr>
      <t>130</t>
    </r>
    <r>
      <rPr>
        <b/>
        <sz val="14"/>
        <color rgb="FFFF0000"/>
        <rFont val="Arial"/>
        <family val="2"/>
      </rPr>
      <t>Xe</t>
    </r>
  </si>
  <si>
    <r>
      <t>131</t>
    </r>
    <r>
      <rPr>
        <b/>
        <sz val="14"/>
        <color rgb="FFFF0000"/>
        <rFont val="Arial"/>
        <family val="2"/>
      </rPr>
      <t>Xe</t>
    </r>
  </si>
  <si>
    <r>
      <t>±</t>
    </r>
    <r>
      <rPr>
        <b/>
        <vertAlign val="superscript"/>
        <sz val="14"/>
        <color rgb="FFFF0000"/>
        <rFont val="Arial"/>
        <family val="2"/>
      </rPr>
      <t>131</t>
    </r>
    <r>
      <rPr>
        <b/>
        <sz val="14"/>
        <color rgb="FFFF0000"/>
        <rFont val="Arial"/>
        <family val="2"/>
      </rPr>
      <t>Xe</t>
    </r>
  </si>
  <si>
    <r>
      <t>132</t>
    </r>
    <r>
      <rPr>
        <b/>
        <sz val="14"/>
        <color rgb="FFFF0000"/>
        <rFont val="Arial"/>
        <family val="2"/>
      </rPr>
      <t>Xe</t>
    </r>
  </si>
  <si>
    <r>
      <t>±</t>
    </r>
    <r>
      <rPr>
        <b/>
        <vertAlign val="superscript"/>
        <sz val="14"/>
        <color rgb="FFFF0000"/>
        <rFont val="Arial"/>
        <family val="2"/>
      </rPr>
      <t>132</t>
    </r>
    <r>
      <rPr>
        <b/>
        <sz val="14"/>
        <color rgb="FFFF0000"/>
        <rFont val="Arial"/>
        <family val="2"/>
      </rPr>
      <t>Xe</t>
    </r>
  </si>
  <si>
    <r>
      <t>134</t>
    </r>
    <r>
      <rPr>
        <b/>
        <sz val="14"/>
        <color rgb="FFFF0000"/>
        <rFont val="Arial"/>
        <family val="2"/>
      </rPr>
      <t>Xe</t>
    </r>
  </si>
  <si>
    <r>
      <t>±</t>
    </r>
    <r>
      <rPr>
        <b/>
        <vertAlign val="superscript"/>
        <sz val="14"/>
        <color rgb="FFFF0000"/>
        <rFont val="Arial"/>
        <family val="2"/>
      </rPr>
      <t>134</t>
    </r>
    <r>
      <rPr>
        <b/>
        <sz val="14"/>
        <color rgb="FFFF0000"/>
        <rFont val="Arial"/>
        <family val="2"/>
      </rPr>
      <t>Xe</t>
    </r>
  </si>
  <si>
    <r>
      <t>136</t>
    </r>
    <r>
      <rPr>
        <b/>
        <sz val="14"/>
        <color rgb="FFFF0000"/>
        <rFont val="Arial"/>
        <family val="2"/>
      </rPr>
      <t>Xe</t>
    </r>
  </si>
  <si>
    <r>
      <t>±</t>
    </r>
    <r>
      <rPr>
        <b/>
        <vertAlign val="superscript"/>
        <sz val="14"/>
        <color rgb="FFFF0000"/>
        <rFont val="Arial"/>
        <family val="2"/>
      </rPr>
      <t>136</t>
    </r>
    <r>
      <rPr>
        <b/>
        <sz val="14"/>
        <color rgb="FFFF0000"/>
        <rFont val="Arial"/>
        <family val="2"/>
      </rPr>
      <t>Xe</t>
    </r>
  </si>
  <si>
    <r>
      <t>S</t>
    </r>
    <r>
      <rPr>
        <b/>
        <vertAlign val="superscript"/>
        <sz val="14"/>
        <color rgb="FFFF0000"/>
        <rFont val="Arial"/>
        <family val="2"/>
      </rPr>
      <t>132</t>
    </r>
    <r>
      <rPr>
        <b/>
        <sz val="14"/>
        <color rgb="FFFF0000"/>
        <rFont val="Arial"/>
        <family val="2"/>
      </rPr>
      <t>Xe (cc/fA)</t>
    </r>
  </si>
  <si>
    <r>
      <t>±S</t>
    </r>
    <r>
      <rPr>
        <b/>
        <vertAlign val="superscript"/>
        <sz val="14"/>
        <color rgb="FFFF0000"/>
        <rFont val="Arial"/>
        <family val="2"/>
      </rPr>
      <t>132</t>
    </r>
    <r>
      <rPr>
        <b/>
        <sz val="14"/>
        <color rgb="FFFF0000"/>
        <rFont val="Arial"/>
        <family val="2"/>
      </rPr>
      <t>Xe</t>
    </r>
  </si>
  <si>
    <r>
      <t>F</t>
    </r>
    <r>
      <rPr>
        <b/>
        <vertAlign val="subscript"/>
        <sz val="14"/>
        <color rgb="FFFF0000"/>
        <rFont val="Arial"/>
        <family val="2"/>
      </rPr>
      <t>ISW</t>
    </r>
  </si>
  <si>
    <r>
      <rPr>
        <b/>
        <sz val="14"/>
        <color rgb="FFFF0000"/>
        <rFont val="Calibri"/>
        <family val="2"/>
      </rPr>
      <t>±</t>
    </r>
    <r>
      <rPr>
        <b/>
        <sz val="14"/>
        <color rgb="FFFF0000"/>
        <rFont val="Arial"/>
        <family val="2"/>
      </rPr>
      <t>F</t>
    </r>
    <r>
      <rPr>
        <b/>
        <vertAlign val="subscript"/>
        <sz val="14"/>
        <color rgb="FFFF0000"/>
        <rFont val="Arial"/>
        <family val="2"/>
      </rPr>
      <t>ISW</t>
    </r>
  </si>
  <si>
    <r>
      <t>F</t>
    </r>
    <r>
      <rPr>
        <b/>
        <vertAlign val="subscript"/>
        <sz val="14"/>
        <color rgb="FFFF0000"/>
        <rFont val="Arial"/>
        <family val="2"/>
      </rPr>
      <t>BaSW</t>
    </r>
  </si>
  <si>
    <r>
      <rPr>
        <b/>
        <sz val="14"/>
        <color rgb="FFFF0000"/>
        <rFont val="Calibri"/>
        <family val="2"/>
      </rPr>
      <t>±</t>
    </r>
    <r>
      <rPr>
        <b/>
        <sz val="14"/>
        <color rgb="FFFF0000"/>
        <rFont val="Arial"/>
        <family val="2"/>
      </rPr>
      <t>F</t>
    </r>
    <r>
      <rPr>
        <b/>
        <vertAlign val="subscript"/>
        <sz val="14"/>
        <color rgb="FFFF0000"/>
        <rFont val="Arial"/>
        <family val="2"/>
      </rPr>
      <t>BaSW</t>
    </r>
  </si>
  <si>
    <t>Hb3Gr Details</t>
  </si>
  <si>
    <t>Hb3Gr: Raw Ar Data</t>
  </si>
  <si>
    <t>Hb3Gr: Blank Ar Data</t>
  </si>
  <si>
    <t>Hb3Gr: Blank Corrected Ar Data</t>
  </si>
  <si>
    <t>Hb3Gr Mass (g)</t>
  </si>
  <si>
    <t>±Hb3Gr Mass (g)</t>
  </si>
  <si>
    <t>Calculated Irradiation Parameters</t>
  </si>
  <si>
    <t>1keV-10MeV (no ref)</t>
  </si>
  <si>
    <t>Shallowater Details</t>
  </si>
  <si>
    <t>Shallowater: Raw Xe Data</t>
  </si>
  <si>
    <t>Shallowater: Blank Xe Data</t>
  </si>
  <si>
    <t>Shallowater: BlankCorrected  Xe Data</t>
  </si>
  <si>
    <t>Shallowater Summary</t>
  </si>
  <si>
    <t>Shallowater Mass (g)</t>
  </si>
  <si>
    <t>±Shallowater Mass (g)</t>
  </si>
  <si>
    <t>Thermal Flux (Hb3Gr)</t>
  </si>
  <si>
    <t xml:space="preserve">Slope (from Stepped Heating) </t>
  </si>
  <si>
    <t>Epi-Thermal (Resonance) Flux</t>
  </si>
  <si>
    <t>I-Factor</t>
  </si>
  <si>
    <t>Ruzie et al (based on Renne et al 2011, Min et al 2000 and Steiger and Jager 1977)</t>
  </si>
  <si>
    <t>as above</t>
  </si>
  <si>
    <r>
      <t>40</t>
    </r>
    <r>
      <rPr>
        <b/>
        <sz val="14"/>
        <color rgb="FF0070C0"/>
        <rFont val="Arial"/>
        <family val="2"/>
      </rPr>
      <t>Ar</t>
    </r>
  </si>
  <si>
    <r>
      <t>±</t>
    </r>
    <r>
      <rPr>
        <b/>
        <vertAlign val="superscript"/>
        <sz val="14"/>
        <color rgb="FF0070C0"/>
        <rFont val="Arial"/>
        <family val="2"/>
      </rPr>
      <t>40</t>
    </r>
    <r>
      <rPr>
        <b/>
        <sz val="14"/>
        <color rgb="FF0070C0"/>
        <rFont val="Arial"/>
        <family val="2"/>
      </rPr>
      <t>Ar</t>
    </r>
  </si>
  <si>
    <r>
      <t>39</t>
    </r>
    <r>
      <rPr>
        <b/>
        <sz val="14"/>
        <color rgb="FF0070C0"/>
        <rFont val="Arial"/>
        <family val="2"/>
      </rPr>
      <t>Ar</t>
    </r>
  </si>
  <si>
    <r>
      <t>±</t>
    </r>
    <r>
      <rPr>
        <b/>
        <vertAlign val="superscript"/>
        <sz val="14"/>
        <color rgb="FF0070C0"/>
        <rFont val="Arial"/>
        <family val="2"/>
      </rPr>
      <t>39</t>
    </r>
    <r>
      <rPr>
        <b/>
        <sz val="14"/>
        <color rgb="FF0070C0"/>
        <rFont val="Arial"/>
        <family val="2"/>
      </rPr>
      <t>Ar</t>
    </r>
  </si>
  <si>
    <r>
      <t>38</t>
    </r>
    <r>
      <rPr>
        <b/>
        <sz val="14"/>
        <color rgb="FF0070C0"/>
        <rFont val="Arial"/>
        <family val="2"/>
      </rPr>
      <t>Ar</t>
    </r>
  </si>
  <si>
    <r>
      <t>±</t>
    </r>
    <r>
      <rPr>
        <b/>
        <vertAlign val="superscript"/>
        <sz val="14"/>
        <color rgb="FF0070C0"/>
        <rFont val="Arial"/>
        <family val="2"/>
      </rPr>
      <t>38</t>
    </r>
    <r>
      <rPr>
        <b/>
        <sz val="14"/>
        <color rgb="FF0070C0"/>
        <rFont val="Arial"/>
        <family val="2"/>
      </rPr>
      <t>Ar</t>
    </r>
  </si>
  <si>
    <r>
      <t>37</t>
    </r>
    <r>
      <rPr>
        <b/>
        <sz val="14"/>
        <color rgb="FF0070C0"/>
        <rFont val="Arial"/>
        <family val="2"/>
      </rPr>
      <t>Ar</t>
    </r>
  </si>
  <si>
    <r>
      <t>±</t>
    </r>
    <r>
      <rPr>
        <b/>
        <vertAlign val="superscript"/>
        <sz val="14"/>
        <color rgb="FF0070C0"/>
        <rFont val="Arial"/>
        <family val="2"/>
      </rPr>
      <t>37</t>
    </r>
    <r>
      <rPr>
        <b/>
        <sz val="14"/>
        <color rgb="FF0070C0"/>
        <rFont val="Arial"/>
        <family val="2"/>
      </rPr>
      <t>Ar</t>
    </r>
  </si>
  <si>
    <r>
      <t>36</t>
    </r>
    <r>
      <rPr>
        <b/>
        <sz val="14"/>
        <color rgb="FF0070C0"/>
        <rFont val="Arial"/>
        <family val="2"/>
      </rPr>
      <t>Ar</t>
    </r>
  </si>
  <si>
    <r>
      <t>±</t>
    </r>
    <r>
      <rPr>
        <b/>
        <vertAlign val="superscript"/>
        <sz val="14"/>
        <color rgb="FF0070C0"/>
        <rFont val="Arial"/>
        <family val="2"/>
      </rPr>
      <t>36</t>
    </r>
    <r>
      <rPr>
        <b/>
        <sz val="14"/>
        <color rgb="FF0070C0"/>
        <rFont val="Arial"/>
        <family val="2"/>
      </rPr>
      <t>Ar</t>
    </r>
  </si>
  <si>
    <r>
      <t>Cl-Corrected</t>
    </r>
    <r>
      <rPr>
        <b/>
        <vertAlign val="superscript"/>
        <sz val="14"/>
        <color rgb="FF0070C0"/>
        <rFont val="Arial"/>
        <family val="2"/>
      </rPr>
      <t xml:space="preserve"> 36</t>
    </r>
    <r>
      <rPr>
        <b/>
        <sz val="14"/>
        <color rgb="FF0070C0"/>
        <rFont val="Arial"/>
        <family val="2"/>
      </rPr>
      <t>Ar</t>
    </r>
  </si>
  <si>
    <r>
      <t xml:space="preserve">Air-Corrected </t>
    </r>
    <r>
      <rPr>
        <b/>
        <vertAlign val="superscript"/>
        <sz val="14"/>
        <color rgb="FF0070C0"/>
        <rFont val="Arial"/>
        <family val="2"/>
      </rPr>
      <t>38</t>
    </r>
    <r>
      <rPr>
        <b/>
        <sz val="14"/>
        <color rgb="FF0070C0"/>
        <rFont val="Arial"/>
        <family val="2"/>
      </rPr>
      <t xml:space="preserve">Ar and </t>
    </r>
    <r>
      <rPr>
        <b/>
        <vertAlign val="superscript"/>
        <sz val="14"/>
        <color rgb="FF0070C0"/>
        <rFont val="Arial"/>
        <family val="2"/>
      </rPr>
      <t>40</t>
    </r>
    <r>
      <rPr>
        <b/>
        <sz val="14"/>
        <color rgb="FF0070C0"/>
        <rFont val="Arial"/>
        <family val="2"/>
      </rPr>
      <t>Ar</t>
    </r>
  </si>
  <si>
    <r>
      <rPr>
        <b/>
        <vertAlign val="superscript"/>
        <sz val="14"/>
        <color rgb="FF0070C0"/>
        <rFont val="Arial"/>
        <family val="2"/>
      </rPr>
      <t>36</t>
    </r>
    <r>
      <rPr>
        <b/>
        <sz val="14"/>
        <color rgb="FF0070C0"/>
        <rFont val="Arial"/>
        <family val="2"/>
      </rPr>
      <t xml:space="preserve">Ar*  </t>
    </r>
  </si>
  <si>
    <r>
      <t>±</t>
    </r>
    <r>
      <rPr>
        <b/>
        <vertAlign val="superscript"/>
        <sz val="14"/>
        <color rgb="FF0070C0"/>
        <rFont val="Arial"/>
        <family val="2"/>
      </rPr>
      <t>36</t>
    </r>
    <r>
      <rPr>
        <b/>
        <sz val="14"/>
        <color rgb="FF0070C0"/>
        <rFont val="Arial"/>
        <family val="2"/>
      </rPr>
      <t>Ar*</t>
    </r>
  </si>
  <si>
    <r>
      <t>38</t>
    </r>
    <r>
      <rPr>
        <b/>
        <sz val="14"/>
        <color rgb="FF0070C0"/>
        <rFont val="Arial"/>
        <family val="2"/>
      </rPr>
      <t>ArCl*</t>
    </r>
  </si>
  <si>
    <r>
      <t>±</t>
    </r>
    <r>
      <rPr>
        <b/>
        <vertAlign val="superscript"/>
        <sz val="14"/>
        <color rgb="FF0070C0"/>
        <rFont val="Arial"/>
        <family val="2"/>
      </rPr>
      <t>38</t>
    </r>
    <r>
      <rPr>
        <b/>
        <sz val="14"/>
        <color rgb="FF0070C0"/>
        <rFont val="Arial"/>
        <family val="2"/>
      </rPr>
      <t>ArCl*</t>
    </r>
  </si>
  <si>
    <r>
      <rPr>
        <b/>
        <vertAlign val="superscript"/>
        <sz val="14"/>
        <color rgb="FF0070C0"/>
        <rFont val="Arial"/>
        <family val="2"/>
      </rPr>
      <t>40</t>
    </r>
    <r>
      <rPr>
        <b/>
        <sz val="14"/>
        <color rgb="FF0070C0"/>
        <rFont val="Arial"/>
        <family val="2"/>
      </rPr>
      <t xml:space="preserve">Ar* </t>
    </r>
  </si>
  <si>
    <r>
      <t>±</t>
    </r>
    <r>
      <rPr>
        <b/>
        <vertAlign val="superscript"/>
        <sz val="14"/>
        <color rgb="FF0070C0"/>
        <rFont val="Arial"/>
        <family val="2"/>
      </rPr>
      <t>40</t>
    </r>
    <r>
      <rPr>
        <b/>
        <sz val="14"/>
        <color rgb="FF0070C0"/>
        <rFont val="Arial"/>
        <family val="2"/>
      </rPr>
      <t xml:space="preserve">Ar* </t>
    </r>
  </si>
  <si>
    <r>
      <t>±</t>
    </r>
    <r>
      <rPr>
        <b/>
        <vertAlign val="superscript"/>
        <sz val="14"/>
        <color rgb="FF0070C0"/>
        <rFont val="Arial"/>
        <family val="2"/>
      </rPr>
      <t>36</t>
    </r>
    <r>
      <rPr>
        <b/>
        <sz val="14"/>
        <color rgb="FF0070C0"/>
        <rFont val="Arial"/>
        <family val="2"/>
      </rPr>
      <t xml:space="preserve">Ar </t>
    </r>
  </si>
  <si>
    <r>
      <t>37</t>
    </r>
    <r>
      <rPr>
        <b/>
        <sz val="14"/>
        <color rgb="FF0070C0"/>
        <rFont val="Arial"/>
        <family val="2"/>
      </rPr>
      <t xml:space="preserve">Ar </t>
    </r>
  </si>
  <si>
    <r>
      <t>38</t>
    </r>
    <r>
      <rPr>
        <b/>
        <sz val="14"/>
        <color rgb="FF0070C0"/>
        <rFont val="Arial"/>
        <family val="2"/>
      </rPr>
      <t xml:space="preserve">Ar* </t>
    </r>
  </si>
  <si>
    <r>
      <t>±</t>
    </r>
    <r>
      <rPr>
        <b/>
        <vertAlign val="superscript"/>
        <sz val="14"/>
        <color rgb="FF0070C0"/>
        <rFont val="Arial"/>
        <family val="2"/>
      </rPr>
      <t>38</t>
    </r>
    <r>
      <rPr>
        <b/>
        <sz val="14"/>
        <color rgb="FF0070C0"/>
        <rFont val="Arial"/>
        <family val="2"/>
      </rPr>
      <t xml:space="preserve">Ar* </t>
    </r>
  </si>
  <si>
    <r>
      <t>39</t>
    </r>
    <r>
      <rPr>
        <b/>
        <sz val="14"/>
        <color rgb="FF0070C0"/>
        <rFont val="Arial"/>
        <family val="2"/>
      </rPr>
      <t xml:space="preserve">Ar </t>
    </r>
  </si>
  <si>
    <r>
      <t>40</t>
    </r>
    <r>
      <rPr>
        <b/>
        <sz val="14"/>
        <color rgb="FF0070C0"/>
        <rFont val="Arial"/>
        <family val="2"/>
      </rPr>
      <t xml:space="preserve">Ar* </t>
    </r>
  </si>
  <si>
    <r>
      <t>40</t>
    </r>
    <r>
      <rPr>
        <b/>
        <sz val="14"/>
        <color rgb="FF0070C0"/>
        <rFont val="Arial"/>
        <family val="2"/>
      </rPr>
      <t>Ar* mole</t>
    </r>
  </si>
  <si>
    <r>
      <t>±</t>
    </r>
    <r>
      <rPr>
        <b/>
        <vertAlign val="superscript"/>
        <sz val="14"/>
        <color rgb="FF0070C0"/>
        <rFont val="Arial"/>
        <family val="2"/>
      </rPr>
      <t>40</t>
    </r>
    <r>
      <rPr>
        <b/>
        <sz val="14"/>
        <color rgb="FF0070C0"/>
        <rFont val="Arial"/>
        <family val="2"/>
      </rPr>
      <t xml:space="preserve">Ar*mole </t>
    </r>
  </si>
  <si>
    <r>
      <t>40</t>
    </r>
    <r>
      <rPr>
        <b/>
        <sz val="14"/>
        <color rgb="FF0070C0"/>
        <rFont val="Arial"/>
        <family val="2"/>
      </rPr>
      <t>Ar*/</t>
    </r>
    <r>
      <rPr>
        <b/>
        <vertAlign val="superscript"/>
        <sz val="14"/>
        <color rgb="FF0070C0"/>
        <rFont val="Arial"/>
        <family val="2"/>
      </rPr>
      <t>39</t>
    </r>
    <r>
      <rPr>
        <b/>
        <sz val="14"/>
        <color rgb="FF0070C0"/>
        <rFont val="Arial"/>
        <family val="2"/>
      </rPr>
      <t>Ar</t>
    </r>
  </si>
  <si>
    <r>
      <t>±</t>
    </r>
    <r>
      <rPr>
        <b/>
        <vertAlign val="superscript"/>
        <sz val="14"/>
        <color rgb="FF0070C0"/>
        <rFont val="Arial"/>
        <family val="2"/>
      </rPr>
      <t>40</t>
    </r>
    <r>
      <rPr>
        <b/>
        <sz val="14"/>
        <color rgb="FF0070C0"/>
        <rFont val="Arial"/>
        <family val="2"/>
      </rPr>
      <t>Ar*/</t>
    </r>
    <r>
      <rPr>
        <b/>
        <vertAlign val="superscript"/>
        <sz val="14"/>
        <color rgb="FF0070C0"/>
        <rFont val="Arial"/>
        <family val="2"/>
      </rPr>
      <t>39</t>
    </r>
    <r>
      <rPr>
        <b/>
        <sz val="14"/>
        <color rgb="FF0070C0"/>
        <rFont val="Arial"/>
        <family val="2"/>
      </rPr>
      <t xml:space="preserve">Ar </t>
    </r>
  </si>
  <si>
    <r>
      <rPr>
        <b/>
        <vertAlign val="superscript"/>
        <sz val="14"/>
        <color rgb="FF0070C0"/>
        <rFont val="Calibri"/>
        <family val="2"/>
      </rPr>
      <t>38</t>
    </r>
    <r>
      <rPr>
        <b/>
        <sz val="14"/>
        <color rgb="FF0070C0"/>
        <rFont val="Arial"/>
        <family val="2"/>
      </rPr>
      <t>Ar/</t>
    </r>
    <r>
      <rPr>
        <b/>
        <vertAlign val="superscript"/>
        <sz val="14"/>
        <color rgb="FF0070C0"/>
        <rFont val="Arial"/>
        <family val="2"/>
      </rPr>
      <t>39</t>
    </r>
    <r>
      <rPr>
        <b/>
        <sz val="14"/>
        <color rgb="FF0070C0"/>
        <rFont val="Arial"/>
        <family val="2"/>
      </rPr>
      <t>Ar</t>
    </r>
  </si>
  <si>
    <r>
      <rPr>
        <b/>
        <sz val="14"/>
        <color rgb="FF0070C0"/>
        <rFont val="Calibri"/>
        <family val="2"/>
      </rPr>
      <t>±</t>
    </r>
    <r>
      <rPr>
        <b/>
        <vertAlign val="superscript"/>
        <sz val="14"/>
        <color rgb="FF0070C0"/>
        <rFont val="Arial"/>
        <family val="2"/>
      </rPr>
      <t>38</t>
    </r>
    <r>
      <rPr>
        <b/>
        <sz val="14"/>
        <color rgb="FF0070C0"/>
        <rFont val="Arial"/>
        <family val="2"/>
      </rPr>
      <t>Ar/</t>
    </r>
    <r>
      <rPr>
        <b/>
        <vertAlign val="superscript"/>
        <sz val="14"/>
        <color rgb="FF0070C0"/>
        <rFont val="Arial"/>
        <family val="2"/>
      </rPr>
      <t>39</t>
    </r>
    <r>
      <rPr>
        <b/>
        <sz val="14"/>
        <color rgb="FF0070C0"/>
        <rFont val="Arial"/>
        <family val="2"/>
      </rPr>
      <t>Ar</t>
    </r>
  </si>
  <si>
    <r>
      <rPr>
        <b/>
        <vertAlign val="superscript"/>
        <sz val="14"/>
        <color rgb="FF0070C0"/>
        <rFont val="Arial"/>
        <family val="2"/>
      </rPr>
      <t>37</t>
    </r>
    <r>
      <rPr>
        <b/>
        <sz val="14"/>
        <color rgb="FF0070C0"/>
        <rFont val="Arial"/>
        <family val="2"/>
      </rPr>
      <t>Ar/</t>
    </r>
    <r>
      <rPr>
        <b/>
        <vertAlign val="superscript"/>
        <sz val="14"/>
        <color rgb="FF0070C0"/>
        <rFont val="Arial"/>
        <family val="2"/>
      </rPr>
      <t>39</t>
    </r>
    <r>
      <rPr>
        <b/>
        <sz val="14"/>
        <color rgb="FF0070C0"/>
        <rFont val="Arial"/>
        <family val="2"/>
      </rPr>
      <t>Ar</t>
    </r>
  </si>
  <si>
    <r>
      <rPr>
        <b/>
        <sz val="14"/>
        <color rgb="FF0070C0"/>
        <rFont val="Calibri"/>
        <family val="2"/>
      </rPr>
      <t>±</t>
    </r>
    <r>
      <rPr>
        <b/>
        <vertAlign val="superscript"/>
        <sz val="14"/>
        <color rgb="FF0070C0"/>
        <rFont val="Arial"/>
        <family val="2"/>
      </rPr>
      <t>37</t>
    </r>
    <r>
      <rPr>
        <b/>
        <sz val="14"/>
        <color rgb="FF0070C0"/>
        <rFont val="Arial"/>
        <family val="2"/>
      </rPr>
      <t>Ar/</t>
    </r>
    <r>
      <rPr>
        <b/>
        <vertAlign val="superscript"/>
        <sz val="14"/>
        <color rgb="FF0070C0"/>
        <rFont val="Arial"/>
        <family val="2"/>
      </rPr>
      <t>39</t>
    </r>
    <r>
      <rPr>
        <b/>
        <sz val="14"/>
        <color rgb="FF0070C0"/>
        <rFont val="Arial"/>
        <family val="2"/>
      </rPr>
      <t>Ar</t>
    </r>
  </si>
  <si>
    <r>
      <t xml:space="preserve">ɸ </t>
    </r>
    <r>
      <rPr>
        <b/>
        <vertAlign val="subscript"/>
        <sz val="14"/>
        <color rgb="FF0070C0"/>
        <rFont val="Arial"/>
        <family val="2"/>
      </rPr>
      <t>therm</t>
    </r>
  </si>
  <si>
    <r>
      <t xml:space="preserve">± ɸ </t>
    </r>
    <r>
      <rPr>
        <b/>
        <vertAlign val="subscript"/>
        <sz val="14"/>
        <color rgb="FF0070C0"/>
        <rFont val="Arial"/>
        <family val="2"/>
      </rPr>
      <t>therm</t>
    </r>
  </si>
  <si>
    <r>
      <t xml:space="preserve">ɸ </t>
    </r>
    <r>
      <rPr>
        <b/>
        <vertAlign val="subscript"/>
        <sz val="14"/>
        <color rgb="FF0070C0"/>
        <rFont val="Arial"/>
        <family val="2"/>
      </rPr>
      <t>fast</t>
    </r>
  </si>
  <si>
    <r>
      <t xml:space="preserve">± ɸ </t>
    </r>
    <r>
      <rPr>
        <b/>
        <vertAlign val="subscript"/>
        <sz val="14"/>
        <color rgb="FF0070C0"/>
        <rFont val="Arial"/>
        <family val="2"/>
      </rPr>
      <t>fast</t>
    </r>
  </si>
  <si>
    <r>
      <rPr>
        <b/>
        <vertAlign val="superscript"/>
        <sz val="14"/>
        <color rgb="FF0070C0"/>
        <rFont val="Arial"/>
        <family val="2"/>
      </rPr>
      <t>39</t>
    </r>
    <r>
      <rPr>
        <b/>
        <sz val="14"/>
        <color rgb="FF0070C0"/>
        <rFont val="Arial"/>
        <family val="2"/>
      </rPr>
      <t>Ar</t>
    </r>
    <r>
      <rPr>
        <b/>
        <vertAlign val="subscript"/>
        <sz val="14"/>
        <color rgb="FF0070C0"/>
        <rFont val="Arial"/>
        <family val="2"/>
      </rPr>
      <t>K</t>
    </r>
    <r>
      <rPr>
        <b/>
        <sz val="14"/>
        <color rgb="FF0070C0"/>
        <rFont val="Arial"/>
        <family val="2"/>
      </rPr>
      <t>/K</t>
    </r>
  </si>
  <si>
    <r>
      <rPr>
        <b/>
        <sz val="14"/>
        <color rgb="FF0070C0"/>
        <rFont val="Calibri"/>
        <family val="2"/>
      </rPr>
      <t>±</t>
    </r>
    <r>
      <rPr>
        <b/>
        <vertAlign val="superscript"/>
        <sz val="14"/>
        <color rgb="FF0070C0"/>
        <rFont val="Arial"/>
        <family val="2"/>
      </rPr>
      <t>39</t>
    </r>
    <r>
      <rPr>
        <b/>
        <sz val="14"/>
        <color rgb="FF0070C0"/>
        <rFont val="Arial"/>
        <family val="2"/>
      </rPr>
      <t>Ar</t>
    </r>
    <r>
      <rPr>
        <b/>
        <vertAlign val="subscript"/>
        <sz val="14"/>
        <color rgb="FF0070C0"/>
        <rFont val="Arial"/>
        <family val="2"/>
      </rPr>
      <t>K</t>
    </r>
    <r>
      <rPr>
        <b/>
        <sz val="14"/>
        <color rgb="FF0070C0"/>
        <rFont val="Arial"/>
        <family val="2"/>
      </rPr>
      <t>/K</t>
    </r>
  </si>
  <si>
    <r>
      <rPr>
        <b/>
        <vertAlign val="superscript"/>
        <sz val="14"/>
        <color rgb="FF0070C0"/>
        <rFont val="Arial"/>
        <family val="2"/>
      </rPr>
      <t>38</t>
    </r>
    <r>
      <rPr>
        <b/>
        <sz val="14"/>
        <color rgb="FF0070C0"/>
        <rFont val="Arial"/>
        <family val="2"/>
      </rPr>
      <t>Ar</t>
    </r>
    <r>
      <rPr>
        <b/>
        <vertAlign val="subscript"/>
        <sz val="14"/>
        <color rgb="FF0070C0"/>
        <rFont val="Arial"/>
        <family val="2"/>
      </rPr>
      <t>Cl</t>
    </r>
    <r>
      <rPr>
        <b/>
        <sz val="14"/>
        <color rgb="FF0070C0"/>
        <rFont val="Arial"/>
        <family val="2"/>
      </rPr>
      <t>/Cl</t>
    </r>
  </si>
  <si>
    <r>
      <rPr>
        <b/>
        <sz val="14"/>
        <color rgb="FF0070C0"/>
        <rFont val="Calibri"/>
        <family val="2"/>
      </rPr>
      <t>±</t>
    </r>
    <r>
      <rPr>
        <b/>
        <vertAlign val="superscript"/>
        <sz val="14"/>
        <color rgb="FF0070C0"/>
        <rFont val="Arial"/>
        <family val="2"/>
      </rPr>
      <t>38</t>
    </r>
    <r>
      <rPr>
        <b/>
        <sz val="14"/>
        <color rgb="FF0070C0"/>
        <rFont val="Arial"/>
        <family val="2"/>
      </rPr>
      <t>Ar</t>
    </r>
    <r>
      <rPr>
        <b/>
        <vertAlign val="subscript"/>
        <sz val="14"/>
        <color rgb="FF0070C0"/>
        <rFont val="Arial"/>
        <family val="2"/>
      </rPr>
      <t>Cl</t>
    </r>
    <r>
      <rPr>
        <b/>
        <sz val="14"/>
        <color rgb="FF0070C0"/>
        <rFont val="Arial"/>
        <family val="2"/>
      </rPr>
      <t>/Cl</t>
    </r>
  </si>
  <si>
    <r>
      <rPr>
        <b/>
        <vertAlign val="superscript"/>
        <sz val="14"/>
        <color rgb="FF0070C0"/>
        <rFont val="Arial"/>
        <family val="2"/>
      </rPr>
      <t>37</t>
    </r>
    <r>
      <rPr>
        <b/>
        <sz val="14"/>
        <color rgb="FF0070C0"/>
        <rFont val="Arial"/>
        <family val="2"/>
      </rPr>
      <t>Ar</t>
    </r>
    <r>
      <rPr>
        <b/>
        <vertAlign val="subscript"/>
        <sz val="14"/>
        <color rgb="FF0070C0"/>
        <rFont val="Arial"/>
        <family val="2"/>
      </rPr>
      <t>Ca</t>
    </r>
    <r>
      <rPr>
        <b/>
        <sz val="14"/>
        <color rgb="FF0070C0"/>
        <rFont val="Arial"/>
        <family val="2"/>
      </rPr>
      <t>/Ca</t>
    </r>
  </si>
  <si>
    <r>
      <rPr>
        <b/>
        <sz val="14"/>
        <color rgb="FF0070C0"/>
        <rFont val="Calibri"/>
        <family val="2"/>
      </rPr>
      <t>±</t>
    </r>
    <r>
      <rPr>
        <b/>
        <vertAlign val="superscript"/>
        <sz val="14"/>
        <color rgb="FF0070C0"/>
        <rFont val="Arial"/>
        <family val="2"/>
      </rPr>
      <t>37</t>
    </r>
    <r>
      <rPr>
        <b/>
        <sz val="14"/>
        <color rgb="FF0070C0"/>
        <rFont val="Arial"/>
        <family val="2"/>
      </rPr>
      <t>Ar</t>
    </r>
    <r>
      <rPr>
        <b/>
        <vertAlign val="subscript"/>
        <sz val="14"/>
        <color rgb="FF0070C0"/>
        <rFont val="Arial"/>
        <family val="2"/>
      </rPr>
      <t>Ca</t>
    </r>
    <r>
      <rPr>
        <b/>
        <sz val="14"/>
        <color rgb="FF0070C0"/>
        <rFont val="Arial"/>
        <family val="2"/>
      </rPr>
      <t>/Ca</t>
    </r>
  </si>
  <si>
    <t xml:space="preserve">Blue = Calcualted cell, don’t change </t>
  </si>
  <si>
    <r>
      <t>134</t>
    </r>
    <r>
      <rPr>
        <b/>
        <sz val="14"/>
        <color rgb="FF0070C0"/>
        <rFont val="Arial"/>
        <family val="2"/>
      </rPr>
      <t>Xe*U (cc)</t>
    </r>
  </si>
  <si>
    <r>
      <t>±</t>
    </r>
    <r>
      <rPr>
        <b/>
        <vertAlign val="superscript"/>
        <sz val="14"/>
        <color rgb="FF0070C0"/>
        <rFont val="Arial"/>
        <family val="2"/>
      </rPr>
      <t>134</t>
    </r>
    <r>
      <rPr>
        <b/>
        <sz val="14"/>
        <color rgb="FF0070C0"/>
        <rFont val="Arial"/>
        <family val="2"/>
      </rPr>
      <t xml:space="preserve">Xe*U (cc) </t>
    </r>
  </si>
  <si>
    <r>
      <t>±</t>
    </r>
    <r>
      <rPr>
        <b/>
        <vertAlign val="superscript"/>
        <sz val="14"/>
        <color rgb="FF0070C0"/>
        <rFont val="Arial"/>
        <family val="2"/>
      </rPr>
      <t>134</t>
    </r>
    <r>
      <rPr>
        <b/>
        <sz val="14"/>
        <color rgb="FF0070C0"/>
        <rFont val="Arial"/>
        <family val="2"/>
      </rPr>
      <t>Xe*U (mole)</t>
    </r>
  </si>
  <si>
    <r>
      <t>(I/Cl)</t>
    </r>
    <r>
      <rPr>
        <b/>
        <vertAlign val="subscript"/>
        <sz val="14"/>
        <color rgb="FF0070C0"/>
        <rFont val="Arial"/>
        <family val="2"/>
      </rPr>
      <t>meas</t>
    </r>
  </si>
  <si>
    <r>
      <rPr>
        <b/>
        <sz val="14"/>
        <color rgb="FF0070C0"/>
        <rFont val="Calibri"/>
        <family val="2"/>
      </rPr>
      <t>±</t>
    </r>
    <r>
      <rPr>
        <b/>
        <sz val="14"/>
        <color rgb="FF0070C0"/>
        <rFont val="Arial"/>
        <family val="2"/>
      </rPr>
      <t>(I/Cl)</t>
    </r>
    <r>
      <rPr>
        <b/>
        <vertAlign val="subscript"/>
        <sz val="14"/>
        <color rgb="FF0070C0"/>
        <rFont val="Arial"/>
        <family val="2"/>
      </rPr>
      <t>meas</t>
    </r>
  </si>
  <si>
    <r>
      <t>F</t>
    </r>
    <r>
      <rPr>
        <b/>
        <vertAlign val="subscript"/>
        <sz val="14"/>
        <color rgb="FF0070C0"/>
        <rFont val="Arial"/>
        <family val="2"/>
      </rPr>
      <t>I</t>
    </r>
  </si>
  <si>
    <r>
      <rPr>
        <b/>
        <sz val="14"/>
        <color rgb="FF0070C0"/>
        <rFont val="Calibri"/>
        <family val="2"/>
      </rPr>
      <t>±</t>
    </r>
    <r>
      <rPr>
        <b/>
        <sz val="14"/>
        <color rgb="FF0070C0"/>
        <rFont val="Arial"/>
        <family val="2"/>
      </rPr>
      <t>F</t>
    </r>
    <r>
      <rPr>
        <b/>
        <vertAlign val="subscript"/>
        <sz val="14"/>
        <color rgb="FF0070C0"/>
        <rFont val="Arial"/>
        <family val="2"/>
      </rPr>
      <t>I</t>
    </r>
  </si>
  <si>
    <r>
      <t>±</t>
    </r>
    <r>
      <rPr>
        <b/>
        <sz val="14"/>
        <color rgb="FF0070C0"/>
        <rFont val="Calibri"/>
        <family val="2"/>
      </rPr>
      <t>ω</t>
    </r>
  </si>
  <si>
    <r>
      <rPr>
        <b/>
        <vertAlign val="superscript"/>
        <sz val="14"/>
        <color rgb="FF0070C0"/>
        <rFont val="Arial"/>
        <family val="2"/>
      </rPr>
      <t>128</t>
    </r>
    <r>
      <rPr>
        <b/>
        <sz val="14"/>
        <color rgb="FF0070C0"/>
        <rFont val="Arial"/>
        <family val="2"/>
      </rPr>
      <t>Xe</t>
    </r>
    <r>
      <rPr>
        <b/>
        <vertAlign val="subscript"/>
        <sz val="14"/>
        <color rgb="FF0070C0"/>
        <rFont val="Arial"/>
        <family val="2"/>
      </rPr>
      <t>I</t>
    </r>
    <r>
      <rPr>
        <b/>
        <sz val="14"/>
        <color rgb="FF0070C0"/>
        <rFont val="Arial"/>
        <family val="2"/>
      </rPr>
      <t>/Xe</t>
    </r>
  </si>
  <si>
    <r>
      <rPr>
        <b/>
        <sz val="14"/>
        <color rgb="FF0070C0"/>
        <rFont val="Calibri"/>
        <family val="2"/>
      </rPr>
      <t>±</t>
    </r>
    <r>
      <rPr>
        <b/>
        <vertAlign val="superscript"/>
        <sz val="14"/>
        <color rgb="FF0070C0"/>
        <rFont val="Arial"/>
        <family val="2"/>
      </rPr>
      <t>128</t>
    </r>
    <r>
      <rPr>
        <b/>
        <sz val="14"/>
        <color rgb="FF0070C0"/>
        <rFont val="Arial"/>
        <family val="2"/>
      </rPr>
      <t>Xe</t>
    </r>
    <r>
      <rPr>
        <b/>
        <vertAlign val="subscript"/>
        <sz val="14"/>
        <color rgb="FF0070C0"/>
        <rFont val="Arial"/>
        <family val="2"/>
      </rPr>
      <t>I</t>
    </r>
    <r>
      <rPr>
        <b/>
        <sz val="14"/>
        <color rgb="FF0070C0"/>
        <rFont val="Arial"/>
        <family val="2"/>
      </rPr>
      <t>/Xe</t>
    </r>
  </si>
  <si>
    <r>
      <t>131</t>
    </r>
    <r>
      <rPr>
        <b/>
        <sz val="14"/>
        <color rgb="FF0070C0"/>
        <rFont val="Arial"/>
        <family val="2"/>
      </rPr>
      <t xml:space="preserve">Xe*Ba  </t>
    </r>
  </si>
  <si>
    <r>
      <t>±</t>
    </r>
    <r>
      <rPr>
        <b/>
        <vertAlign val="superscript"/>
        <sz val="14"/>
        <color rgb="FF0070C0"/>
        <rFont val="Arial"/>
        <family val="2"/>
      </rPr>
      <t>131</t>
    </r>
    <r>
      <rPr>
        <b/>
        <sz val="14"/>
        <color rgb="FF0070C0"/>
        <rFont val="Arial"/>
        <family val="2"/>
      </rPr>
      <t xml:space="preserve">Xe*Ba </t>
    </r>
  </si>
  <si>
    <r>
      <t>131</t>
    </r>
    <r>
      <rPr>
        <b/>
        <sz val="14"/>
        <color rgb="FF0070C0"/>
        <rFont val="Arial"/>
        <family val="2"/>
      </rPr>
      <t>Xe*Ba (cc)</t>
    </r>
  </si>
  <si>
    <r>
      <t>±</t>
    </r>
    <r>
      <rPr>
        <b/>
        <vertAlign val="superscript"/>
        <sz val="14"/>
        <color rgb="FF0070C0"/>
        <rFont val="Arial"/>
        <family val="2"/>
      </rPr>
      <t>131</t>
    </r>
    <r>
      <rPr>
        <b/>
        <sz val="14"/>
        <color rgb="FF0070C0"/>
        <rFont val="Arial"/>
        <family val="2"/>
      </rPr>
      <t xml:space="preserve">Xe*Ba (cc) </t>
    </r>
  </si>
  <si>
    <r>
      <t>131</t>
    </r>
    <r>
      <rPr>
        <b/>
        <sz val="14"/>
        <color rgb="FF0070C0"/>
        <rFont val="Arial"/>
        <family val="2"/>
      </rPr>
      <t>Xe*Ba (mole)</t>
    </r>
  </si>
  <si>
    <r>
      <t>±</t>
    </r>
    <r>
      <rPr>
        <b/>
        <vertAlign val="superscript"/>
        <sz val="14"/>
        <color rgb="FF0070C0"/>
        <rFont val="Arial"/>
        <family val="2"/>
      </rPr>
      <t>131</t>
    </r>
    <r>
      <rPr>
        <b/>
        <sz val="14"/>
        <color rgb="FF0070C0"/>
        <rFont val="Arial"/>
        <family val="2"/>
      </rPr>
      <t>Xe*Ba (mole)</t>
    </r>
  </si>
  <si>
    <r>
      <t>128</t>
    </r>
    <r>
      <rPr>
        <b/>
        <sz val="14"/>
        <color rgb="FF0070C0"/>
        <rFont val="Arial"/>
        <family val="2"/>
      </rPr>
      <t>Xe</t>
    </r>
  </si>
  <si>
    <r>
      <t>±</t>
    </r>
    <r>
      <rPr>
        <b/>
        <vertAlign val="superscript"/>
        <sz val="14"/>
        <color rgb="FF0070C0"/>
        <rFont val="Arial"/>
        <family val="2"/>
      </rPr>
      <t>128</t>
    </r>
    <r>
      <rPr>
        <b/>
        <sz val="14"/>
        <color rgb="FF0070C0"/>
        <rFont val="Arial"/>
        <family val="2"/>
      </rPr>
      <t>Xe</t>
    </r>
  </si>
  <si>
    <r>
      <t>129</t>
    </r>
    <r>
      <rPr>
        <b/>
        <sz val="14"/>
        <color rgb="FF0070C0"/>
        <rFont val="Arial"/>
        <family val="2"/>
      </rPr>
      <t>Xe</t>
    </r>
  </si>
  <si>
    <r>
      <t>±</t>
    </r>
    <r>
      <rPr>
        <b/>
        <vertAlign val="superscript"/>
        <sz val="14"/>
        <color rgb="FF0070C0"/>
        <rFont val="Arial"/>
        <family val="2"/>
      </rPr>
      <t>129</t>
    </r>
    <r>
      <rPr>
        <b/>
        <sz val="14"/>
        <color rgb="FF0070C0"/>
        <rFont val="Arial"/>
        <family val="2"/>
      </rPr>
      <t>Xe</t>
    </r>
  </si>
  <si>
    <r>
      <t>130</t>
    </r>
    <r>
      <rPr>
        <b/>
        <sz val="14"/>
        <color rgb="FF0070C0"/>
        <rFont val="Arial"/>
        <family val="2"/>
      </rPr>
      <t>Xe</t>
    </r>
  </si>
  <si>
    <r>
      <t>±</t>
    </r>
    <r>
      <rPr>
        <b/>
        <vertAlign val="superscript"/>
        <sz val="14"/>
        <color rgb="FF0070C0"/>
        <rFont val="Arial"/>
        <family val="2"/>
      </rPr>
      <t>130</t>
    </r>
    <r>
      <rPr>
        <b/>
        <sz val="14"/>
        <color rgb="FF0070C0"/>
        <rFont val="Arial"/>
        <family val="2"/>
      </rPr>
      <t>Xe</t>
    </r>
  </si>
  <si>
    <r>
      <t>131</t>
    </r>
    <r>
      <rPr>
        <b/>
        <sz val="14"/>
        <color rgb="FF0070C0"/>
        <rFont val="Arial"/>
        <family val="2"/>
      </rPr>
      <t>Xe</t>
    </r>
  </si>
  <si>
    <r>
      <t>±</t>
    </r>
    <r>
      <rPr>
        <b/>
        <vertAlign val="superscript"/>
        <sz val="14"/>
        <color rgb="FF0070C0"/>
        <rFont val="Arial"/>
        <family val="2"/>
      </rPr>
      <t>131</t>
    </r>
    <r>
      <rPr>
        <b/>
        <sz val="14"/>
        <color rgb="FF0070C0"/>
        <rFont val="Arial"/>
        <family val="2"/>
      </rPr>
      <t>Xe</t>
    </r>
  </si>
  <si>
    <r>
      <t>132</t>
    </r>
    <r>
      <rPr>
        <b/>
        <sz val="14"/>
        <color rgb="FF0070C0"/>
        <rFont val="Arial"/>
        <family val="2"/>
      </rPr>
      <t>Xe</t>
    </r>
  </si>
  <si>
    <r>
      <t>±</t>
    </r>
    <r>
      <rPr>
        <b/>
        <vertAlign val="superscript"/>
        <sz val="14"/>
        <color rgb="FF0070C0"/>
        <rFont val="Arial"/>
        <family val="2"/>
      </rPr>
      <t>132</t>
    </r>
    <r>
      <rPr>
        <b/>
        <sz val="14"/>
        <color rgb="FF0070C0"/>
        <rFont val="Arial"/>
        <family val="2"/>
      </rPr>
      <t>Xe</t>
    </r>
  </si>
  <si>
    <r>
      <t>134</t>
    </r>
    <r>
      <rPr>
        <b/>
        <sz val="14"/>
        <color rgb="FF0070C0"/>
        <rFont val="Arial"/>
        <family val="2"/>
      </rPr>
      <t>Xe</t>
    </r>
  </si>
  <si>
    <r>
      <t>±</t>
    </r>
    <r>
      <rPr>
        <b/>
        <vertAlign val="superscript"/>
        <sz val="14"/>
        <color rgb="FF0070C0"/>
        <rFont val="Arial"/>
        <family val="2"/>
      </rPr>
      <t>134</t>
    </r>
    <r>
      <rPr>
        <b/>
        <sz val="14"/>
        <color rgb="FF0070C0"/>
        <rFont val="Arial"/>
        <family val="2"/>
      </rPr>
      <t>Xe</t>
    </r>
  </si>
  <si>
    <r>
      <t>136</t>
    </r>
    <r>
      <rPr>
        <b/>
        <sz val="14"/>
        <color rgb="FF0070C0"/>
        <rFont val="Arial"/>
        <family val="2"/>
      </rPr>
      <t>Xe</t>
    </r>
  </si>
  <si>
    <r>
      <t>±</t>
    </r>
    <r>
      <rPr>
        <b/>
        <vertAlign val="superscript"/>
        <sz val="14"/>
        <color rgb="FF0070C0"/>
        <rFont val="Arial"/>
        <family val="2"/>
      </rPr>
      <t>136</t>
    </r>
    <r>
      <rPr>
        <b/>
        <sz val="14"/>
        <color rgb="FF0070C0"/>
        <rFont val="Arial"/>
        <family val="2"/>
      </rPr>
      <t>Xe</t>
    </r>
  </si>
  <si>
    <r>
      <t>128</t>
    </r>
    <r>
      <rPr>
        <b/>
        <sz val="14"/>
        <color rgb="FF0070C0"/>
        <rFont val="Arial"/>
        <family val="2"/>
      </rPr>
      <t>Xe*</t>
    </r>
  </si>
  <si>
    <r>
      <t>±</t>
    </r>
    <r>
      <rPr>
        <b/>
        <vertAlign val="superscript"/>
        <sz val="14"/>
        <color rgb="FF0070C0"/>
        <rFont val="Arial"/>
        <family val="2"/>
      </rPr>
      <t>128</t>
    </r>
    <r>
      <rPr>
        <b/>
        <sz val="14"/>
        <color rgb="FF0070C0"/>
        <rFont val="Arial"/>
        <family val="2"/>
      </rPr>
      <t>Xe*</t>
    </r>
  </si>
  <si>
    <r>
      <t>129</t>
    </r>
    <r>
      <rPr>
        <b/>
        <sz val="14"/>
        <color rgb="FF0070C0"/>
        <rFont val="Arial"/>
        <family val="2"/>
      </rPr>
      <t>Xe*</t>
    </r>
  </si>
  <si>
    <r>
      <t>±</t>
    </r>
    <r>
      <rPr>
        <b/>
        <vertAlign val="superscript"/>
        <sz val="14"/>
        <color rgb="FF0070C0"/>
        <rFont val="Arial"/>
        <family val="2"/>
      </rPr>
      <t>129</t>
    </r>
    <r>
      <rPr>
        <b/>
        <sz val="14"/>
        <color rgb="FF0070C0"/>
        <rFont val="Arial"/>
        <family val="2"/>
      </rPr>
      <t>Xe*</t>
    </r>
  </si>
  <si>
    <r>
      <t>131</t>
    </r>
    <r>
      <rPr>
        <b/>
        <sz val="14"/>
        <color rgb="FF0070C0"/>
        <rFont val="Arial"/>
        <family val="2"/>
      </rPr>
      <t>Xe*</t>
    </r>
  </si>
  <si>
    <r>
      <t>±</t>
    </r>
    <r>
      <rPr>
        <b/>
        <vertAlign val="superscript"/>
        <sz val="14"/>
        <color rgb="FF0070C0"/>
        <rFont val="Arial"/>
        <family val="2"/>
      </rPr>
      <t>131</t>
    </r>
    <r>
      <rPr>
        <b/>
        <sz val="14"/>
        <color rgb="FF0070C0"/>
        <rFont val="Arial"/>
        <family val="2"/>
      </rPr>
      <t>Xe*</t>
    </r>
  </si>
  <si>
    <r>
      <t>132</t>
    </r>
    <r>
      <rPr>
        <b/>
        <sz val="14"/>
        <color rgb="FF0070C0"/>
        <rFont val="Arial"/>
        <family val="2"/>
      </rPr>
      <t>Xe*</t>
    </r>
  </si>
  <si>
    <r>
      <t>±</t>
    </r>
    <r>
      <rPr>
        <b/>
        <vertAlign val="superscript"/>
        <sz val="14"/>
        <color rgb="FF0070C0"/>
        <rFont val="Arial"/>
        <family val="2"/>
      </rPr>
      <t>132</t>
    </r>
    <r>
      <rPr>
        <b/>
        <sz val="14"/>
        <color rgb="FF0070C0"/>
        <rFont val="Arial"/>
        <family val="2"/>
      </rPr>
      <t>Xe*</t>
    </r>
  </si>
  <si>
    <r>
      <t>134</t>
    </r>
    <r>
      <rPr>
        <b/>
        <sz val="14"/>
        <color rgb="FF0070C0"/>
        <rFont val="Arial"/>
        <family val="2"/>
      </rPr>
      <t>Xe*</t>
    </r>
  </si>
  <si>
    <r>
      <t>±</t>
    </r>
    <r>
      <rPr>
        <b/>
        <vertAlign val="superscript"/>
        <sz val="14"/>
        <color rgb="FF0070C0"/>
        <rFont val="Arial"/>
        <family val="2"/>
      </rPr>
      <t>134</t>
    </r>
    <r>
      <rPr>
        <b/>
        <sz val="14"/>
        <color rgb="FF0070C0"/>
        <rFont val="Arial"/>
        <family val="2"/>
      </rPr>
      <t>Xe*</t>
    </r>
  </si>
  <si>
    <r>
      <t>136</t>
    </r>
    <r>
      <rPr>
        <b/>
        <sz val="14"/>
        <color rgb="FF0070C0"/>
        <rFont val="Arial"/>
        <family val="2"/>
      </rPr>
      <t>Xe*</t>
    </r>
  </si>
  <si>
    <r>
      <t>±</t>
    </r>
    <r>
      <rPr>
        <b/>
        <vertAlign val="superscript"/>
        <sz val="14"/>
        <color rgb="FF0070C0"/>
        <rFont val="Arial"/>
        <family val="2"/>
      </rPr>
      <t>136</t>
    </r>
    <r>
      <rPr>
        <b/>
        <sz val="14"/>
        <color rgb="FF0070C0"/>
        <rFont val="Arial"/>
        <family val="2"/>
      </rPr>
      <t>Xe*</t>
    </r>
  </si>
  <si>
    <r>
      <rPr>
        <b/>
        <vertAlign val="superscript"/>
        <sz val="14"/>
        <color rgb="FF0070C0"/>
        <rFont val="Arial"/>
        <family val="2"/>
      </rPr>
      <t>128</t>
    </r>
    <r>
      <rPr>
        <b/>
        <sz val="14"/>
        <color rgb="FF0070C0"/>
        <rFont val="Arial"/>
        <family val="2"/>
      </rPr>
      <t>Xe</t>
    </r>
    <r>
      <rPr>
        <b/>
        <vertAlign val="subscript"/>
        <sz val="14"/>
        <color rgb="FF0070C0"/>
        <rFont val="Arial"/>
        <family val="2"/>
      </rPr>
      <t>I</t>
    </r>
    <r>
      <rPr>
        <b/>
        <sz val="14"/>
        <color rgb="FF0070C0"/>
        <rFont val="Arial"/>
        <family val="2"/>
      </rPr>
      <t xml:space="preserve"> (cc)</t>
    </r>
  </si>
  <si>
    <r>
      <t>±</t>
    </r>
    <r>
      <rPr>
        <b/>
        <vertAlign val="superscript"/>
        <sz val="14"/>
        <color rgb="FF0070C0"/>
        <rFont val="Arial"/>
        <family val="2"/>
      </rPr>
      <t>128</t>
    </r>
    <r>
      <rPr>
        <b/>
        <sz val="14"/>
        <color rgb="FF0070C0"/>
        <rFont val="Arial"/>
        <family val="2"/>
      </rPr>
      <t>Xe</t>
    </r>
    <r>
      <rPr>
        <b/>
        <vertAlign val="subscript"/>
        <sz val="14"/>
        <color rgb="FF0070C0"/>
        <rFont val="Arial"/>
        <family val="2"/>
      </rPr>
      <t xml:space="preserve">I </t>
    </r>
    <r>
      <rPr>
        <b/>
        <sz val="14"/>
        <color rgb="FF0070C0"/>
        <rFont val="Arial"/>
        <family val="2"/>
      </rPr>
      <t>(cc)</t>
    </r>
  </si>
  <si>
    <r>
      <rPr>
        <b/>
        <vertAlign val="superscript"/>
        <sz val="14"/>
        <color rgb="FF0070C0"/>
        <rFont val="Arial"/>
        <family val="2"/>
      </rPr>
      <t>128</t>
    </r>
    <r>
      <rPr>
        <b/>
        <sz val="14"/>
        <color rgb="FF0070C0"/>
        <rFont val="Arial"/>
        <family val="2"/>
      </rPr>
      <t>Xe</t>
    </r>
    <r>
      <rPr>
        <b/>
        <vertAlign val="subscript"/>
        <sz val="14"/>
        <color rgb="FF0070C0"/>
        <rFont val="Arial"/>
        <family val="2"/>
      </rPr>
      <t>I</t>
    </r>
    <r>
      <rPr>
        <b/>
        <sz val="14"/>
        <color rgb="FF0070C0"/>
        <rFont val="Arial"/>
        <family val="2"/>
      </rPr>
      <t xml:space="preserve"> (mole)</t>
    </r>
  </si>
  <si>
    <r>
      <t>±</t>
    </r>
    <r>
      <rPr>
        <b/>
        <vertAlign val="superscript"/>
        <sz val="14"/>
        <color rgb="FF0070C0"/>
        <rFont val="Arial"/>
        <family val="2"/>
      </rPr>
      <t>128</t>
    </r>
    <r>
      <rPr>
        <b/>
        <sz val="14"/>
        <color rgb="FF0070C0"/>
        <rFont val="Arial"/>
        <family val="2"/>
      </rPr>
      <t>Xe</t>
    </r>
    <r>
      <rPr>
        <b/>
        <vertAlign val="subscript"/>
        <sz val="14"/>
        <color rgb="FF0070C0"/>
        <rFont val="Arial"/>
        <family val="2"/>
      </rPr>
      <t>I</t>
    </r>
    <r>
      <rPr>
        <b/>
        <sz val="14"/>
        <color rgb="FF0070C0"/>
        <rFont val="Arial"/>
        <family val="2"/>
      </rPr>
      <t xml:space="preserve"> (mole)</t>
    </r>
  </si>
  <si>
    <r>
      <t>Br</t>
    </r>
    <r>
      <rPr>
        <b/>
        <vertAlign val="subscript"/>
        <sz val="14"/>
        <color rgb="FF0070C0"/>
        <rFont val="Arial"/>
        <family val="2"/>
      </rPr>
      <t>81</t>
    </r>
    <r>
      <rPr>
        <b/>
        <sz val="14"/>
        <color rgb="FF0070C0"/>
        <rFont val="Arial"/>
        <family val="2"/>
      </rPr>
      <t xml:space="preserve"> (ppm)  </t>
    </r>
  </si>
  <si>
    <r>
      <t>Br</t>
    </r>
    <r>
      <rPr>
        <b/>
        <vertAlign val="subscript"/>
        <sz val="14"/>
        <color rgb="FF0070C0"/>
        <rFont val="Arial"/>
        <family val="2"/>
      </rPr>
      <t>79</t>
    </r>
    <r>
      <rPr>
        <b/>
        <sz val="14"/>
        <color rgb="FF0070C0"/>
        <rFont val="Arial"/>
        <family val="2"/>
      </rPr>
      <t xml:space="preserve"> (ppm)  </t>
    </r>
  </si>
  <si>
    <r>
      <rPr>
        <b/>
        <vertAlign val="superscript"/>
        <sz val="14"/>
        <color rgb="FF0070C0"/>
        <rFont val="Arial"/>
        <family val="2"/>
      </rPr>
      <t>79</t>
    </r>
    <r>
      <rPr>
        <b/>
        <sz val="14"/>
        <color rgb="FF0070C0"/>
        <rFont val="Arial"/>
        <family val="2"/>
      </rPr>
      <t>Br Correction Factor, Pi &amp; Production Ratio</t>
    </r>
  </si>
  <si>
    <r>
      <rPr>
        <b/>
        <vertAlign val="superscript"/>
        <sz val="14"/>
        <color rgb="FF0070C0"/>
        <rFont val="Arial"/>
        <family val="2"/>
      </rPr>
      <t>81</t>
    </r>
    <r>
      <rPr>
        <b/>
        <sz val="14"/>
        <color rgb="FF0070C0"/>
        <rFont val="Arial"/>
        <family val="2"/>
      </rPr>
      <t>Br Correction Factor, Pi &amp; Production Ratio</t>
    </r>
  </si>
  <si>
    <r>
      <t>80</t>
    </r>
    <r>
      <rPr>
        <b/>
        <sz val="14"/>
        <color rgb="FF0070C0"/>
        <rFont val="Arial"/>
        <family val="2"/>
      </rPr>
      <t>Kr*</t>
    </r>
  </si>
  <si>
    <r>
      <t>±</t>
    </r>
    <r>
      <rPr>
        <b/>
        <vertAlign val="superscript"/>
        <sz val="14"/>
        <color rgb="FF0070C0"/>
        <rFont val="Arial"/>
        <family val="2"/>
      </rPr>
      <t>80</t>
    </r>
    <r>
      <rPr>
        <b/>
        <sz val="14"/>
        <color rgb="FF0070C0"/>
        <rFont val="Arial"/>
        <family val="2"/>
      </rPr>
      <t>Kr*</t>
    </r>
  </si>
  <si>
    <r>
      <t>82</t>
    </r>
    <r>
      <rPr>
        <b/>
        <sz val="14"/>
        <color rgb="FF0070C0"/>
        <rFont val="Arial"/>
        <family val="2"/>
      </rPr>
      <t xml:space="preserve">Kr* </t>
    </r>
  </si>
  <si>
    <r>
      <t>±</t>
    </r>
    <r>
      <rPr>
        <b/>
        <vertAlign val="superscript"/>
        <sz val="14"/>
        <color rgb="FF0070C0"/>
        <rFont val="Arial"/>
        <family val="2"/>
      </rPr>
      <t>82</t>
    </r>
    <r>
      <rPr>
        <b/>
        <sz val="14"/>
        <color rgb="FF0070C0"/>
        <rFont val="Arial"/>
        <family val="2"/>
      </rPr>
      <t>Kr*</t>
    </r>
  </si>
  <si>
    <r>
      <t>84</t>
    </r>
    <r>
      <rPr>
        <b/>
        <sz val="14"/>
        <color rgb="FF0070C0"/>
        <rFont val="Arial"/>
        <family val="2"/>
      </rPr>
      <t>Kr</t>
    </r>
  </si>
  <si>
    <r>
      <t>±</t>
    </r>
    <r>
      <rPr>
        <b/>
        <vertAlign val="superscript"/>
        <sz val="14"/>
        <color rgb="FF0070C0"/>
        <rFont val="Arial"/>
        <family val="2"/>
      </rPr>
      <t>84</t>
    </r>
    <r>
      <rPr>
        <b/>
        <sz val="14"/>
        <color rgb="FF0070C0"/>
        <rFont val="Arial"/>
        <family val="2"/>
      </rPr>
      <t>Kr</t>
    </r>
  </si>
  <si>
    <r>
      <t>86</t>
    </r>
    <r>
      <rPr>
        <b/>
        <sz val="14"/>
        <color rgb="FF0070C0"/>
        <rFont val="Arial"/>
        <family val="2"/>
      </rPr>
      <t>Kr</t>
    </r>
  </si>
  <si>
    <r>
      <t>±</t>
    </r>
    <r>
      <rPr>
        <b/>
        <vertAlign val="superscript"/>
        <sz val="14"/>
        <color rgb="FF0070C0"/>
        <rFont val="Arial"/>
        <family val="2"/>
      </rPr>
      <t>86</t>
    </r>
    <r>
      <rPr>
        <b/>
        <sz val="14"/>
        <color rgb="FF0070C0"/>
        <rFont val="Arial"/>
        <family val="2"/>
      </rPr>
      <t>Kr</t>
    </r>
  </si>
  <si>
    <r>
      <t>80</t>
    </r>
    <r>
      <rPr>
        <b/>
        <sz val="14"/>
        <color rgb="FF0070C0"/>
        <rFont val="Arial"/>
        <family val="2"/>
      </rPr>
      <t>Kr* (mol)</t>
    </r>
  </si>
  <si>
    <r>
      <t>±</t>
    </r>
    <r>
      <rPr>
        <b/>
        <vertAlign val="superscript"/>
        <sz val="14"/>
        <color rgb="FF0070C0"/>
        <rFont val="Arial"/>
        <family val="2"/>
      </rPr>
      <t>80</t>
    </r>
    <r>
      <rPr>
        <b/>
        <sz val="14"/>
        <color rgb="FF0070C0"/>
        <rFont val="Arial"/>
        <family val="2"/>
      </rPr>
      <t>Kr* (mol)</t>
    </r>
  </si>
  <si>
    <r>
      <t>82</t>
    </r>
    <r>
      <rPr>
        <b/>
        <sz val="14"/>
        <color rgb="FF0070C0"/>
        <rFont val="Arial"/>
        <family val="2"/>
      </rPr>
      <t>Kr* (mol)</t>
    </r>
  </si>
  <si>
    <r>
      <t>±</t>
    </r>
    <r>
      <rPr>
        <b/>
        <vertAlign val="superscript"/>
        <sz val="14"/>
        <color rgb="FF0070C0"/>
        <rFont val="Arial"/>
        <family val="2"/>
      </rPr>
      <t>82</t>
    </r>
    <r>
      <rPr>
        <b/>
        <sz val="14"/>
        <color rgb="FF0070C0"/>
        <rFont val="Arial"/>
        <family val="2"/>
      </rPr>
      <t>Kr* (mol)</t>
    </r>
  </si>
  <si>
    <r>
      <t>84</t>
    </r>
    <r>
      <rPr>
        <b/>
        <sz val="14"/>
        <color rgb="FF0070C0"/>
        <rFont val="Arial"/>
        <family val="2"/>
      </rPr>
      <t>Kr (mol)</t>
    </r>
  </si>
  <si>
    <r>
      <t>±</t>
    </r>
    <r>
      <rPr>
        <b/>
        <vertAlign val="superscript"/>
        <sz val="14"/>
        <color rgb="FF0070C0"/>
        <rFont val="Arial"/>
        <family val="2"/>
      </rPr>
      <t>84</t>
    </r>
    <r>
      <rPr>
        <b/>
        <sz val="14"/>
        <color rgb="FF0070C0"/>
        <rFont val="Arial"/>
        <family val="2"/>
      </rPr>
      <t>Kr (mol)</t>
    </r>
  </si>
  <si>
    <r>
      <t>80</t>
    </r>
    <r>
      <rPr>
        <b/>
        <sz val="14"/>
        <color rgb="FF0070C0"/>
        <rFont val="Arial"/>
        <family val="2"/>
      </rPr>
      <t>Kr*/</t>
    </r>
    <r>
      <rPr>
        <b/>
        <vertAlign val="superscript"/>
        <sz val="14"/>
        <color rgb="FF0070C0"/>
        <rFont val="Arial"/>
        <family val="2"/>
      </rPr>
      <t>82</t>
    </r>
    <r>
      <rPr>
        <b/>
        <sz val="14"/>
        <color rgb="FF0070C0"/>
        <rFont val="Arial"/>
        <family val="2"/>
      </rPr>
      <t>Kr*</t>
    </r>
  </si>
  <si>
    <r>
      <t>±</t>
    </r>
    <r>
      <rPr>
        <b/>
        <vertAlign val="superscript"/>
        <sz val="14"/>
        <color rgb="FF0070C0"/>
        <rFont val="Arial"/>
        <family val="2"/>
      </rPr>
      <t>80</t>
    </r>
    <r>
      <rPr>
        <b/>
        <sz val="14"/>
        <color rgb="FF0070C0"/>
        <rFont val="Arial"/>
        <family val="2"/>
      </rPr>
      <t>Kr*/</t>
    </r>
    <r>
      <rPr>
        <b/>
        <vertAlign val="superscript"/>
        <sz val="14"/>
        <color rgb="FF0070C0"/>
        <rFont val="Arial"/>
        <family val="2"/>
      </rPr>
      <t>82</t>
    </r>
    <r>
      <rPr>
        <b/>
        <sz val="14"/>
        <color rgb="FF0070C0"/>
        <rFont val="Arial"/>
        <family val="2"/>
      </rPr>
      <t xml:space="preserve">Kr* </t>
    </r>
  </si>
  <si>
    <r>
      <t>(</t>
    </r>
    <r>
      <rPr>
        <b/>
        <vertAlign val="superscript"/>
        <sz val="14"/>
        <color rgb="FF0070C0"/>
        <rFont val="Arial"/>
        <family val="2"/>
      </rPr>
      <t>79</t>
    </r>
    <r>
      <rPr>
        <b/>
        <sz val="14"/>
        <color rgb="FF0070C0"/>
        <rFont val="Arial"/>
        <family val="2"/>
      </rPr>
      <t>Br/Cl)</t>
    </r>
    <r>
      <rPr>
        <b/>
        <vertAlign val="subscript"/>
        <sz val="14"/>
        <color rgb="FF0070C0"/>
        <rFont val="Arial"/>
        <family val="2"/>
      </rPr>
      <t>meas</t>
    </r>
  </si>
  <si>
    <r>
      <rPr>
        <b/>
        <sz val="14"/>
        <color rgb="FF0070C0"/>
        <rFont val="Calibri"/>
        <family val="2"/>
      </rPr>
      <t>±</t>
    </r>
    <r>
      <rPr>
        <b/>
        <sz val="14"/>
        <color rgb="FF0070C0"/>
        <rFont val="Arial"/>
        <family val="2"/>
      </rPr>
      <t>(</t>
    </r>
    <r>
      <rPr>
        <b/>
        <vertAlign val="superscript"/>
        <sz val="14"/>
        <color rgb="FF0070C0"/>
        <rFont val="Arial"/>
        <family val="2"/>
      </rPr>
      <t>79</t>
    </r>
    <r>
      <rPr>
        <b/>
        <sz val="14"/>
        <color rgb="FF0070C0"/>
        <rFont val="Arial"/>
        <family val="2"/>
      </rPr>
      <t>Br/Cl)</t>
    </r>
    <r>
      <rPr>
        <b/>
        <vertAlign val="subscript"/>
        <sz val="14"/>
        <color rgb="FF0070C0"/>
        <rFont val="Arial"/>
        <family val="2"/>
      </rPr>
      <t>meas</t>
    </r>
  </si>
  <si>
    <r>
      <t>F</t>
    </r>
    <r>
      <rPr>
        <b/>
        <vertAlign val="subscript"/>
        <sz val="14"/>
        <color rgb="FF0070C0"/>
        <rFont val="Arial"/>
        <family val="2"/>
      </rPr>
      <t>79Br</t>
    </r>
  </si>
  <si>
    <r>
      <rPr>
        <b/>
        <sz val="14"/>
        <color rgb="FF0070C0"/>
        <rFont val="Calibri"/>
        <family val="2"/>
      </rPr>
      <t>±</t>
    </r>
    <r>
      <rPr>
        <b/>
        <sz val="14"/>
        <color rgb="FF0070C0"/>
        <rFont val="Arial"/>
        <family val="2"/>
      </rPr>
      <t>F</t>
    </r>
    <r>
      <rPr>
        <b/>
        <vertAlign val="subscript"/>
        <sz val="14"/>
        <color rgb="FF0070C0"/>
        <rFont val="Arial"/>
        <family val="2"/>
      </rPr>
      <t>79Br</t>
    </r>
  </si>
  <si>
    <r>
      <t>±</t>
    </r>
    <r>
      <rPr>
        <b/>
        <sz val="14"/>
        <color rgb="FF0070C0"/>
        <rFont val="Calibri"/>
        <family val="2"/>
      </rPr>
      <t>π</t>
    </r>
  </si>
  <si>
    <r>
      <rPr>
        <b/>
        <vertAlign val="superscript"/>
        <sz val="14"/>
        <color rgb="FF0070C0"/>
        <rFont val="Arial"/>
        <family val="2"/>
      </rPr>
      <t>80</t>
    </r>
    <r>
      <rPr>
        <b/>
        <sz val="14"/>
        <color rgb="FF0070C0"/>
        <rFont val="Arial"/>
        <family val="2"/>
      </rPr>
      <t>Kr</t>
    </r>
    <r>
      <rPr>
        <b/>
        <vertAlign val="subscript"/>
        <sz val="14"/>
        <color rgb="FF0070C0"/>
        <rFont val="Arial"/>
        <family val="2"/>
      </rPr>
      <t>Br</t>
    </r>
    <r>
      <rPr>
        <b/>
        <sz val="14"/>
        <color rgb="FF0070C0"/>
        <rFont val="Arial"/>
        <family val="2"/>
      </rPr>
      <t>/Kr</t>
    </r>
  </si>
  <si>
    <r>
      <rPr>
        <b/>
        <sz val="14"/>
        <color rgb="FF0070C0"/>
        <rFont val="Calibri"/>
        <family val="2"/>
      </rPr>
      <t>±</t>
    </r>
    <r>
      <rPr>
        <b/>
        <vertAlign val="superscript"/>
        <sz val="14"/>
        <color rgb="FF0070C0"/>
        <rFont val="Arial"/>
        <family val="2"/>
      </rPr>
      <t>80</t>
    </r>
    <r>
      <rPr>
        <b/>
        <sz val="14"/>
        <color rgb="FF0070C0"/>
        <rFont val="Arial"/>
        <family val="2"/>
      </rPr>
      <t>Kr</t>
    </r>
    <r>
      <rPr>
        <b/>
        <vertAlign val="subscript"/>
        <sz val="14"/>
        <color rgb="FF0070C0"/>
        <rFont val="Arial"/>
        <family val="2"/>
      </rPr>
      <t>Br</t>
    </r>
    <r>
      <rPr>
        <b/>
        <sz val="14"/>
        <color rgb="FF0070C0"/>
        <rFont val="Arial"/>
        <family val="2"/>
      </rPr>
      <t>/Kr</t>
    </r>
  </si>
  <si>
    <r>
      <t>(</t>
    </r>
    <r>
      <rPr>
        <b/>
        <vertAlign val="superscript"/>
        <sz val="14"/>
        <color rgb="FF0070C0"/>
        <rFont val="Arial"/>
        <family val="2"/>
      </rPr>
      <t>81</t>
    </r>
    <r>
      <rPr>
        <b/>
        <sz val="14"/>
        <color rgb="FF0070C0"/>
        <rFont val="Arial"/>
        <family val="2"/>
      </rPr>
      <t>Br/Cl)</t>
    </r>
    <r>
      <rPr>
        <b/>
        <vertAlign val="subscript"/>
        <sz val="14"/>
        <color rgb="FF0070C0"/>
        <rFont val="Arial"/>
        <family val="2"/>
      </rPr>
      <t>meas</t>
    </r>
  </si>
  <si>
    <r>
      <rPr>
        <b/>
        <sz val="14"/>
        <color rgb="FF0070C0"/>
        <rFont val="Calibri"/>
        <family val="2"/>
      </rPr>
      <t>±</t>
    </r>
    <r>
      <rPr>
        <b/>
        <sz val="14"/>
        <color rgb="FF0070C0"/>
        <rFont val="Arial"/>
        <family val="2"/>
      </rPr>
      <t>(</t>
    </r>
    <r>
      <rPr>
        <b/>
        <vertAlign val="superscript"/>
        <sz val="14"/>
        <color rgb="FF0070C0"/>
        <rFont val="Arial"/>
        <family val="2"/>
      </rPr>
      <t>81</t>
    </r>
    <r>
      <rPr>
        <b/>
        <sz val="14"/>
        <color rgb="FF0070C0"/>
        <rFont val="Arial"/>
        <family val="2"/>
      </rPr>
      <t>Br/Cl)</t>
    </r>
    <r>
      <rPr>
        <b/>
        <vertAlign val="subscript"/>
        <sz val="14"/>
        <color rgb="FF0070C0"/>
        <rFont val="Arial"/>
        <family val="2"/>
      </rPr>
      <t>meas</t>
    </r>
  </si>
  <si>
    <r>
      <t>F</t>
    </r>
    <r>
      <rPr>
        <b/>
        <vertAlign val="subscript"/>
        <sz val="14"/>
        <color rgb="FF0070C0"/>
        <rFont val="Arial"/>
        <family val="2"/>
      </rPr>
      <t>81Br</t>
    </r>
  </si>
  <si>
    <r>
      <rPr>
        <b/>
        <sz val="14"/>
        <color rgb="FF0070C0"/>
        <rFont val="Calibri"/>
        <family val="2"/>
      </rPr>
      <t>±</t>
    </r>
    <r>
      <rPr>
        <b/>
        <sz val="14"/>
        <color rgb="FF0070C0"/>
        <rFont val="Arial"/>
        <family val="2"/>
      </rPr>
      <t>F</t>
    </r>
    <r>
      <rPr>
        <b/>
        <vertAlign val="subscript"/>
        <sz val="14"/>
        <color rgb="FF0070C0"/>
        <rFont val="Arial"/>
        <family val="2"/>
      </rPr>
      <t>81Br</t>
    </r>
  </si>
  <si>
    <r>
      <t>±</t>
    </r>
    <r>
      <rPr>
        <b/>
        <sz val="14"/>
        <color rgb="FF0070C0"/>
        <rFont val="Calibri"/>
        <family val="2"/>
      </rPr>
      <t>π'</t>
    </r>
  </si>
  <si>
    <r>
      <rPr>
        <b/>
        <vertAlign val="superscript"/>
        <sz val="14"/>
        <color rgb="FF0070C0"/>
        <rFont val="Arial"/>
        <family val="2"/>
      </rPr>
      <t>82</t>
    </r>
    <r>
      <rPr>
        <b/>
        <sz val="14"/>
        <color rgb="FF0070C0"/>
        <rFont val="Arial"/>
        <family val="2"/>
      </rPr>
      <t>Kr</t>
    </r>
    <r>
      <rPr>
        <b/>
        <vertAlign val="subscript"/>
        <sz val="14"/>
        <color rgb="FF0070C0"/>
        <rFont val="Arial"/>
        <family val="2"/>
      </rPr>
      <t>Br</t>
    </r>
    <r>
      <rPr>
        <b/>
        <sz val="14"/>
        <color rgb="FF0070C0"/>
        <rFont val="Arial"/>
        <family val="2"/>
      </rPr>
      <t>/Kr</t>
    </r>
  </si>
  <si>
    <r>
      <rPr>
        <b/>
        <sz val="14"/>
        <color rgb="FF0070C0"/>
        <rFont val="Calibri"/>
        <family val="2"/>
      </rPr>
      <t>±</t>
    </r>
    <r>
      <rPr>
        <b/>
        <vertAlign val="superscript"/>
        <sz val="14"/>
        <color rgb="FF0070C0"/>
        <rFont val="Arial"/>
        <family val="2"/>
      </rPr>
      <t>82</t>
    </r>
    <r>
      <rPr>
        <b/>
        <sz val="14"/>
        <color rgb="FF0070C0"/>
        <rFont val="Arial"/>
        <family val="2"/>
      </rPr>
      <t>Kr</t>
    </r>
    <r>
      <rPr>
        <b/>
        <vertAlign val="subscript"/>
        <sz val="14"/>
        <color rgb="FF0070C0"/>
        <rFont val="Arial"/>
        <family val="2"/>
      </rPr>
      <t>Br</t>
    </r>
    <r>
      <rPr>
        <b/>
        <sz val="14"/>
        <color rgb="FF0070C0"/>
        <rFont val="Arial"/>
        <family val="2"/>
      </rPr>
      <t>/Kr</t>
    </r>
  </si>
  <si>
    <r>
      <rPr>
        <b/>
        <vertAlign val="superscript"/>
        <sz val="14"/>
        <color rgb="FF0070C0"/>
        <rFont val="Arial"/>
        <family val="2"/>
      </rPr>
      <t>235</t>
    </r>
    <r>
      <rPr>
        <b/>
        <sz val="14"/>
        <color rgb="FF0070C0"/>
        <rFont val="Arial"/>
        <family val="2"/>
      </rPr>
      <t>U correction</t>
    </r>
  </si>
  <si>
    <r>
      <t>80</t>
    </r>
    <r>
      <rPr>
        <b/>
        <sz val="14"/>
        <color rgb="FF0070C0"/>
        <rFont val="Arial"/>
        <family val="2"/>
      </rPr>
      <t>Kr</t>
    </r>
  </si>
  <si>
    <r>
      <t>±</t>
    </r>
    <r>
      <rPr>
        <b/>
        <vertAlign val="superscript"/>
        <sz val="14"/>
        <color rgb="FF0070C0"/>
        <rFont val="Arial"/>
        <family val="2"/>
      </rPr>
      <t>80</t>
    </r>
    <r>
      <rPr>
        <b/>
        <sz val="14"/>
        <color rgb="FF0070C0"/>
        <rFont val="Arial"/>
        <family val="2"/>
      </rPr>
      <t>Kr</t>
    </r>
  </si>
  <si>
    <r>
      <t>82</t>
    </r>
    <r>
      <rPr>
        <b/>
        <sz val="14"/>
        <color rgb="FF0070C0"/>
        <rFont val="Arial"/>
        <family val="2"/>
      </rPr>
      <t>Kr</t>
    </r>
  </si>
  <si>
    <r>
      <t>±</t>
    </r>
    <r>
      <rPr>
        <b/>
        <vertAlign val="superscript"/>
        <sz val="14"/>
        <color rgb="FF0070C0"/>
        <rFont val="Arial"/>
        <family val="2"/>
      </rPr>
      <t>82</t>
    </r>
    <r>
      <rPr>
        <b/>
        <sz val="14"/>
        <color rgb="FF0070C0"/>
        <rFont val="Arial"/>
        <family val="2"/>
      </rPr>
      <t>Kr</t>
    </r>
  </si>
  <si>
    <r>
      <t>86</t>
    </r>
    <r>
      <rPr>
        <b/>
        <sz val="14"/>
        <color rgb="FF0070C0"/>
        <rFont val="Arial"/>
        <family val="2"/>
      </rPr>
      <t>Kr*</t>
    </r>
  </si>
  <si>
    <r>
      <t>±</t>
    </r>
    <r>
      <rPr>
        <b/>
        <vertAlign val="superscript"/>
        <sz val="14"/>
        <color rgb="FF0070C0"/>
        <rFont val="Arial"/>
        <family val="2"/>
      </rPr>
      <t>86</t>
    </r>
    <r>
      <rPr>
        <b/>
        <sz val="14"/>
        <color rgb="FF0070C0"/>
        <rFont val="Arial"/>
        <family val="2"/>
      </rPr>
      <t>Kr*</t>
    </r>
  </si>
  <si>
    <r>
      <rPr>
        <b/>
        <sz val="14"/>
        <color rgb="FF0070C0"/>
        <rFont val="Calibri"/>
        <family val="2"/>
      </rPr>
      <t>±</t>
    </r>
    <r>
      <rPr>
        <b/>
        <sz val="14"/>
        <color rgb="FF0070C0"/>
        <rFont val="Arial"/>
        <family val="2"/>
      </rPr>
      <t>Cl (mole)</t>
    </r>
  </si>
  <si>
    <r>
      <rPr>
        <b/>
        <sz val="14"/>
        <color rgb="FF0070C0"/>
        <rFont val="Calibri"/>
        <family val="2"/>
      </rPr>
      <t>±</t>
    </r>
    <r>
      <rPr>
        <b/>
        <sz val="14"/>
        <color rgb="FF0070C0"/>
        <rFont val="Arial"/>
        <family val="2"/>
      </rPr>
      <t>Cl (ppm)</t>
    </r>
  </si>
  <si>
    <r>
      <t xml:space="preserve"> </t>
    </r>
    <r>
      <rPr>
        <b/>
        <sz val="14"/>
        <color rgb="FF0070C0"/>
        <rFont val="Calibri"/>
        <family val="2"/>
      </rPr>
      <t>±</t>
    </r>
    <r>
      <rPr>
        <b/>
        <sz val="14"/>
        <color rgb="FF0070C0"/>
        <rFont val="Arial"/>
        <family val="2"/>
      </rPr>
      <t>Cl (wt. %)</t>
    </r>
  </si>
  <si>
    <r>
      <rPr>
        <b/>
        <sz val="14"/>
        <color rgb="FF0070C0"/>
        <rFont val="Calibri"/>
        <family val="2"/>
      </rPr>
      <t>±</t>
    </r>
    <r>
      <rPr>
        <b/>
        <sz val="14"/>
        <color rgb="FF0070C0"/>
        <rFont val="Arial"/>
        <family val="2"/>
      </rPr>
      <t>Ca (mole)</t>
    </r>
  </si>
  <si>
    <r>
      <rPr>
        <b/>
        <sz val="14"/>
        <color rgb="FF0070C0"/>
        <rFont val="Calibri"/>
        <family val="2"/>
      </rPr>
      <t>±</t>
    </r>
    <r>
      <rPr>
        <b/>
        <sz val="14"/>
        <color rgb="FF0070C0"/>
        <rFont val="Arial"/>
        <family val="2"/>
      </rPr>
      <t>Ca (ppm)</t>
    </r>
  </si>
  <si>
    <r>
      <t xml:space="preserve"> </t>
    </r>
    <r>
      <rPr>
        <b/>
        <sz val="14"/>
        <color rgb="FF0070C0"/>
        <rFont val="Calibri"/>
        <family val="2"/>
      </rPr>
      <t>±</t>
    </r>
    <r>
      <rPr>
        <b/>
        <sz val="14"/>
        <color rgb="FF0070C0"/>
        <rFont val="Arial"/>
        <family val="2"/>
      </rPr>
      <t>Ca (wt. %)</t>
    </r>
  </si>
  <si>
    <r>
      <rPr>
        <b/>
        <vertAlign val="superscript"/>
        <sz val="14"/>
        <color rgb="FF0070C0"/>
        <rFont val="Arial"/>
        <family val="2"/>
      </rPr>
      <t>40</t>
    </r>
    <r>
      <rPr>
        <b/>
        <sz val="14"/>
        <color rgb="FF0070C0"/>
        <rFont val="Arial"/>
        <family val="2"/>
      </rPr>
      <t>Ar*/Cl (molar)</t>
    </r>
  </si>
  <si>
    <r>
      <rPr>
        <b/>
        <sz val="14"/>
        <color rgb="FF0070C0"/>
        <rFont val="Calibri"/>
        <family val="2"/>
      </rPr>
      <t>±</t>
    </r>
    <r>
      <rPr>
        <b/>
        <vertAlign val="superscript"/>
        <sz val="14"/>
        <color rgb="FF0070C0"/>
        <rFont val="Arial"/>
        <family val="2"/>
      </rPr>
      <t>40</t>
    </r>
    <r>
      <rPr>
        <b/>
        <sz val="14"/>
        <color rgb="FF0070C0"/>
        <rFont val="Arial"/>
        <family val="2"/>
      </rPr>
      <t>Ar*/Cl (molar)</t>
    </r>
  </si>
  <si>
    <r>
      <t>40</t>
    </r>
    <r>
      <rPr>
        <b/>
        <sz val="14"/>
        <color rgb="FF0070C0"/>
        <rFont val="Arial"/>
        <family val="2"/>
      </rPr>
      <t>Ar*/K</t>
    </r>
  </si>
  <si>
    <r>
      <t>±</t>
    </r>
    <r>
      <rPr>
        <b/>
        <vertAlign val="superscript"/>
        <sz val="14"/>
        <color rgb="FF0070C0"/>
        <rFont val="Arial"/>
        <family val="2"/>
      </rPr>
      <t>40</t>
    </r>
    <r>
      <rPr>
        <b/>
        <sz val="14"/>
        <color rgb="FF0070C0"/>
        <rFont val="Arial"/>
        <family val="2"/>
      </rPr>
      <t xml:space="preserve">Ar*/K </t>
    </r>
  </si>
  <si>
    <t>*These are globally defined - changes made in the Ref Values Sheet will propagate through all Sheets*</t>
  </si>
  <si>
    <r>
      <t>(</t>
    </r>
    <r>
      <rPr>
        <b/>
        <vertAlign val="superscript"/>
        <sz val="14"/>
        <color theme="1"/>
        <rFont val="Arial"/>
        <family val="2"/>
      </rPr>
      <t>129</t>
    </r>
    <r>
      <rPr>
        <b/>
        <sz val="14"/>
        <color theme="1"/>
        <rFont val="Arial"/>
        <family val="2"/>
      </rPr>
      <t>Xe/I)</t>
    </r>
    <r>
      <rPr>
        <b/>
        <vertAlign val="subscript"/>
        <sz val="14"/>
        <color theme="1"/>
        <rFont val="Arial"/>
        <family val="2"/>
      </rPr>
      <t xml:space="preserve">0 </t>
    </r>
    <r>
      <rPr>
        <b/>
        <sz val="14"/>
        <color theme="1"/>
        <rFont val="Arial"/>
        <family val="2"/>
      </rPr>
      <t>Shallowater</t>
    </r>
  </si>
  <si>
    <t>Calculated 'Constants' (Ray's Magic Numbers)</t>
  </si>
  <si>
    <t>Air or Trapped Correction  (Change as necessary, Find and Replace 'Air' for 'SW', 'Q' or 'Mix')</t>
  </si>
  <si>
    <r>
      <t>129*</t>
    </r>
    <r>
      <rPr>
        <b/>
        <sz val="14"/>
        <color rgb="FFFF0000"/>
        <rFont val="Arial"/>
        <family val="2"/>
      </rPr>
      <t>Xe/</t>
    </r>
    <r>
      <rPr>
        <b/>
        <vertAlign val="superscript"/>
        <sz val="14"/>
        <color rgb="FFFF0000"/>
        <rFont val="Arial"/>
        <family val="2"/>
      </rPr>
      <t>128*</t>
    </r>
    <r>
      <rPr>
        <b/>
        <sz val="14"/>
        <color rgb="FFFF0000"/>
        <rFont val="Arial"/>
        <family val="2"/>
      </rPr>
      <t>Xe</t>
    </r>
  </si>
  <si>
    <r>
      <t>128*</t>
    </r>
    <r>
      <rPr>
        <b/>
        <sz val="14"/>
        <color rgb="FF0070C0"/>
        <rFont val="Arial"/>
        <family val="2"/>
      </rPr>
      <t>Xe/</t>
    </r>
    <r>
      <rPr>
        <b/>
        <vertAlign val="superscript"/>
        <sz val="14"/>
        <color rgb="FF0070C0"/>
        <rFont val="Arial"/>
        <family val="2"/>
      </rPr>
      <t>129*</t>
    </r>
    <r>
      <rPr>
        <b/>
        <sz val="14"/>
        <color rgb="FF0070C0"/>
        <rFont val="Arial"/>
        <family val="2"/>
      </rPr>
      <t>Xe</t>
    </r>
  </si>
  <si>
    <r>
      <t>128</t>
    </r>
    <r>
      <rPr>
        <b/>
        <sz val="14"/>
        <color rgb="FF0070C0"/>
        <rFont val="Arial"/>
        <family val="2"/>
      </rPr>
      <t>Xe/I</t>
    </r>
  </si>
  <si>
    <r>
      <t xml:space="preserve">ɸ </t>
    </r>
    <r>
      <rPr>
        <b/>
        <vertAlign val="subscript"/>
        <sz val="14"/>
        <color rgb="FF0070C0"/>
        <rFont val="Arial"/>
        <family val="2"/>
      </rPr>
      <t>epi</t>
    </r>
    <r>
      <rPr>
        <b/>
        <sz val="14"/>
        <color rgb="FF0070C0"/>
        <rFont val="Arial"/>
        <family val="2"/>
      </rPr>
      <t>-</t>
    </r>
    <r>
      <rPr>
        <b/>
        <vertAlign val="subscript"/>
        <sz val="14"/>
        <color rgb="FF0070C0"/>
        <rFont val="Arial"/>
        <family val="2"/>
      </rPr>
      <t>therm</t>
    </r>
  </si>
  <si>
    <r>
      <t>130</t>
    </r>
    <r>
      <rPr>
        <b/>
        <sz val="14"/>
        <color rgb="FF0070C0"/>
        <rFont val="Arial"/>
        <family val="2"/>
      </rPr>
      <t>Ba Factor</t>
    </r>
  </si>
  <si>
    <t xml:space="preserve">I-Factor </t>
  </si>
  <si>
    <r>
      <rPr>
        <b/>
        <vertAlign val="superscript"/>
        <sz val="14"/>
        <color rgb="FF0070C0"/>
        <rFont val="Arial"/>
        <family val="2"/>
      </rPr>
      <t>79</t>
    </r>
    <r>
      <rPr>
        <b/>
        <sz val="14"/>
        <color rgb="FF0070C0"/>
        <rFont val="Arial"/>
        <family val="2"/>
      </rPr>
      <t>Br-Factor</t>
    </r>
  </si>
  <si>
    <r>
      <rPr>
        <b/>
        <vertAlign val="superscript"/>
        <sz val="14"/>
        <color rgb="FF0070C0"/>
        <rFont val="Arial"/>
        <family val="2"/>
      </rPr>
      <t>81</t>
    </r>
    <r>
      <rPr>
        <b/>
        <sz val="14"/>
        <color rgb="FF0070C0"/>
        <rFont val="Arial"/>
        <family val="2"/>
      </rPr>
      <t>Br-Factor</t>
    </r>
  </si>
  <si>
    <t>Ba-Factor</t>
  </si>
  <si>
    <r>
      <t>±</t>
    </r>
    <r>
      <rPr>
        <b/>
        <vertAlign val="superscript"/>
        <sz val="14"/>
        <color rgb="FFFF0000"/>
        <rFont val="Arial"/>
        <family val="2"/>
      </rPr>
      <t xml:space="preserve"> </t>
    </r>
  </si>
  <si>
    <r>
      <t>131</t>
    </r>
    <r>
      <rPr>
        <b/>
        <sz val="14"/>
        <color rgb="FF0070C0"/>
        <rFont val="Arial"/>
        <family val="2"/>
      </rPr>
      <t>Xe/</t>
    </r>
    <r>
      <rPr>
        <b/>
        <vertAlign val="superscript"/>
        <sz val="14"/>
        <color rgb="FF0070C0"/>
        <rFont val="Arial"/>
        <family val="2"/>
      </rPr>
      <t>130</t>
    </r>
    <r>
      <rPr>
        <b/>
        <sz val="14"/>
        <color rgb="FF0070C0"/>
        <rFont val="Arial"/>
        <family val="2"/>
      </rPr>
      <t>Ba</t>
    </r>
    <r>
      <rPr>
        <b/>
        <vertAlign val="subscript"/>
        <sz val="14"/>
        <color rgb="FF0070C0"/>
        <rFont val="Arial"/>
        <family val="2"/>
      </rPr>
      <t>Th</t>
    </r>
  </si>
  <si>
    <r>
      <t>131</t>
    </r>
    <r>
      <rPr>
        <b/>
        <sz val="14"/>
        <color rgb="FF0070C0"/>
        <rFont val="Arial"/>
        <family val="2"/>
      </rPr>
      <t>Xe/</t>
    </r>
    <r>
      <rPr>
        <b/>
        <vertAlign val="superscript"/>
        <sz val="14"/>
        <color rgb="FF0070C0"/>
        <rFont val="Arial"/>
        <family val="2"/>
      </rPr>
      <t>130</t>
    </r>
    <r>
      <rPr>
        <b/>
        <sz val="14"/>
        <color rgb="FF0070C0"/>
        <rFont val="Arial"/>
        <family val="2"/>
      </rPr>
      <t>Ba</t>
    </r>
    <r>
      <rPr>
        <b/>
        <vertAlign val="subscript"/>
        <sz val="14"/>
        <color rgb="FF0070C0"/>
        <rFont val="Arial"/>
        <family val="2"/>
      </rPr>
      <t>ETh+Th</t>
    </r>
  </si>
  <si>
    <r>
      <t>80</t>
    </r>
    <r>
      <rPr>
        <b/>
        <sz val="14"/>
        <color rgb="FF0070C0"/>
        <rFont val="Arial"/>
        <family val="2"/>
      </rPr>
      <t>Kr/</t>
    </r>
    <r>
      <rPr>
        <b/>
        <vertAlign val="superscript"/>
        <sz val="14"/>
        <color rgb="FF0070C0"/>
        <rFont val="Arial"/>
        <family val="2"/>
      </rPr>
      <t>79</t>
    </r>
    <r>
      <rPr>
        <b/>
        <sz val="14"/>
        <color rgb="FF0070C0"/>
        <rFont val="Arial"/>
        <family val="2"/>
      </rPr>
      <t>Br</t>
    </r>
    <r>
      <rPr>
        <b/>
        <vertAlign val="subscript"/>
        <sz val="14"/>
        <color rgb="FF0070C0"/>
        <rFont val="Arial"/>
        <family val="2"/>
      </rPr>
      <t>Eth+Th</t>
    </r>
  </si>
  <si>
    <r>
      <t>80</t>
    </r>
    <r>
      <rPr>
        <b/>
        <sz val="14"/>
        <color rgb="FF0070C0"/>
        <rFont val="Arial"/>
        <family val="2"/>
      </rPr>
      <t>Kr/</t>
    </r>
    <r>
      <rPr>
        <b/>
        <vertAlign val="superscript"/>
        <sz val="14"/>
        <color rgb="FF0070C0"/>
        <rFont val="Arial"/>
        <family val="2"/>
      </rPr>
      <t>79</t>
    </r>
    <r>
      <rPr>
        <b/>
        <sz val="14"/>
        <color rgb="FF0070C0"/>
        <rFont val="Arial"/>
        <family val="2"/>
      </rPr>
      <t>Br</t>
    </r>
    <r>
      <rPr>
        <b/>
        <vertAlign val="subscript"/>
        <sz val="14"/>
        <color rgb="FF0070C0"/>
        <rFont val="Arial"/>
        <family val="2"/>
      </rPr>
      <t>Th</t>
    </r>
  </si>
  <si>
    <r>
      <t>128</t>
    </r>
    <r>
      <rPr>
        <b/>
        <sz val="14"/>
        <color rgb="FF0070C0"/>
        <rFont val="Arial"/>
        <family val="2"/>
      </rPr>
      <t>Xe/I</t>
    </r>
    <r>
      <rPr>
        <b/>
        <vertAlign val="subscript"/>
        <sz val="14"/>
        <color rgb="FF0070C0"/>
        <rFont val="Arial"/>
        <family val="2"/>
      </rPr>
      <t xml:space="preserve"> Th</t>
    </r>
  </si>
  <si>
    <r>
      <t>79</t>
    </r>
    <r>
      <rPr>
        <b/>
        <sz val="14"/>
        <color rgb="FF0070C0"/>
        <rFont val="Arial"/>
        <family val="2"/>
      </rPr>
      <t>Br Factor</t>
    </r>
  </si>
  <si>
    <r>
      <t>81</t>
    </r>
    <r>
      <rPr>
        <b/>
        <sz val="14"/>
        <color rgb="FF0070C0"/>
        <rFont val="Arial"/>
        <family val="2"/>
      </rPr>
      <t>Br Factor</t>
    </r>
  </si>
  <si>
    <r>
      <t>82</t>
    </r>
    <r>
      <rPr>
        <b/>
        <sz val="14"/>
        <color rgb="FF0070C0"/>
        <rFont val="Arial"/>
        <family val="2"/>
      </rPr>
      <t>Kr/</t>
    </r>
    <r>
      <rPr>
        <b/>
        <vertAlign val="superscript"/>
        <sz val="14"/>
        <color rgb="FF0070C0"/>
        <rFont val="Arial"/>
        <family val="2"/>
      </rPr>
      <t>81</t>
    </r>
    <r>
      <rPr>
        <b/>
        <sz val="14"/>
        <color rgb="FF0070C0"/>
        <rFont val="Arial"/>
        <family val="2"/>
      </rPr>
      <t>Br</t>
    </r>
    <r>
      <rPr>
        <b/>
        <vertAlign val="subscript"/>
        <sz val="14"/>
        <color rgb="FF0070C0"/>
        <rFont val="Arial"/>
        <family val="2"/>
      </rPr>
      <t>Th</t>
    </r>
  </si>
  <si>
    <r>
      <t>82</t>
    </r>
    <r>
      <rPr>
        <b/>
        <sz val="14"/>
        <color rgb="FF0070C0"/>
        <rFont val="Arial"/>
        <family val="2"/>
      </rPr>
      <t>Kr/</t>
    </r>
    <r>
      <rPr>
        <b/>
        <vertAlign val="superscript"/>
        <sz val="14"/>
        <color rgb="FF0070C0"/>
        <rFont val="Arial"/>
        <family val="2"/>
      </rPr>
      <t>81</t>
    </r>
    <r>
      <rPr>
        <b/>
        <sz val="14"/>
        <color rgb="FF0070C0"/>
        <rFont val="Arial"/>
        <family val="2"/>
      </rPr>
      <t>Br</t>
    </r>
    <r>
      <rPr>
        <b/>
        <vertAlign val="subscript"/>
        <sz val="14"/>
        <color rgb="FF0070C0"/>
        <rFont val="Arial"/>
        <family val="2"/>
      </rPr>
      <t xml:space="preserve"> ETh+Th</t>
    </r>
  </si>
  <si>
    <r>
      <rPr>
        <b/>
        <i/>
        <sz val="14"/>
        <color rgb="FF00B050"/>
        <rFont val="Calibri"/>
        <family val="2"/>
      </rPr>
      <t>±</t>
    </r>
    <r>
      <rPr>
        <b/>
        <i/>
        <sz val="14"/>
        <color rgb="FF00B050"/>
        <rFont val="Arial"/>
        <family val="2"/>
      </rPr>
      <t>Cl (ppm)</t>
    </r>
  </si>
  <si>
    <r>
      <rPr>
        <b/>
        <i/>
        <sz val="14"/>
        <color rgb="FF00B050"/>
        <rFont val="Calibri"/>
        <family val="2"/>
      </rPr>
      <t>±</t>
    </r>
    <r>
      <rPr>
        <b/>
        <i/>
        <sz val="14"/>
        <color rgb="FF00B050"/>
        <rFont val="Arial"/>
        <family val="2"/>
      </rPr>
      <t>Ca (ppm)</t>
    </r>
  </si>
  <si>
    <r>
      <t>Br</t>
    </r>
    <r>
      <rPr>
        <b/>
        <i/>
        <vertAlign val="subscript"/>
        <sz val="14"/>
        <color rgb="FF00B050"/>
        <rFont val="Arial"/>
        <family val="2"/>
      </rPr>
      <t>79</t>
    </r>
    <r>
      <rPr>
        <b/>
        <i/>
        <sz val="14"/>
        <color rgb="FF00B050"/>
        <rFont val="Arial"/>
        <family val="2"/>
      </rPr>
      <t xml:space="preserve"> (ppm)  </t>
    </r>
  </si>
  <si>
    <r>
      <t>Br</t>
    </r>
    <r>
      <rPr>
        <b/>
        <i/>
        <vertAlign val="subscript"/>
        <sz val="14"/>
        <color rgb="FF00B050"/>
        <rFont val="Arial"/>
        <family val="2"/>
      </rPr>
      <t>81</t>
    </r>
    <r>
      <rPr>
        <b/>
        <i/>
        <sz val="14"/>
        <color rgb="FF00B050"/>
        <rFont val="Arial"/>
        <family val="2"/>
      </rPr>
      <t xml:space="preserve"> (ppm)  </t>
    </r>
  </si>
  <si>
    <r>
      <t>F</t>
    </r>
    <r>
      <rPr>
        <b/>
        <i/>
        <vertAlign val="subscript"/>
        <sz val="14"/>
        <color rgb="FF00B050"/>
        <rFont val="Arial"/>
        <family val="2"/>
      </rPr>
      <t>79Br</t>
    </r>
  </si>
  <si>
    <r>
      <rPr>
        <b/>
        <i/>
        <sz val="14"/>
        <color rgb="FF00B050"/>
        <rFont val="Calibri"/>
        <family val="2"/>
      </rPr>
      <t>±</t>
    </r>
    <r>
      <rPr>
        <b/>
        <i/>
        <sz val="14"/>
        <color rgb="FF00B050"/>
        <rFont val="Arial"/>
        <family val="2"/>
      </rPr>
      <t>F</t>
    </r>
    <r>
      <rPr>
        <b/>
        <i/>
        <vertAlign val="subscript"/>
        <sz val="14"/>
        <color rgb="FF00B050"/>
        <rFont val="Arial"/>
        <family val="2"/>
      </rPr>
      <t>79Br</t>
    </r>
  </si>
  <si>
    <r>
      <t>±</t>
    </r>
    <r>
      <rPr>
        <b/>
        <i/>
        <sz val="14"/>
        <color rgb="FF00B050"/>
        <rFont val="Calibri"/>
        <family val="2"/>
      </rPr>
      <t>π</t>
    </r>
  </si>
  <si>
    <r>
      <rPr>
        <b/>
        <i/>
        <vertAlign val="superscript"/>
        <sz val="14"/>
        <color rgb="FF00B050"/>
        <rFont val="Arial"/>
        <family val="2"/>
      </rPr>
      <t>80</t>
    </r>
    <r>
      <rPr>
        <b/>
        <i/>
        <sz val="14"/>
        <color rgb="FF00B050"/>
        <rFont val="Arial"/>
        <family val="2"/>
      </rPr>
      <t>Kr</t>
    </r>
    <r>
      <rPr>
        <b/>
        <i/>
        <vertAlign val="subscript"/>
        <sz val="14"/>
        <color rgb="FF00B050"/>
        <rFont val="Arial"/>
        <family val="2"/>
      </rPr>
      <t>Br</t>
    </r>
    <r>
      <rPr>
        <b/>
        <i/>
        <sz val="14"/>
        <color rgb="FF00B050"/>
        <rFont val="Arial"/>
        <family val="2"/>
      </rPr>
      <t>/Kr</t>
    </r>
  </si>
  <si>
    <r>
      <rPr>
        <b/>
        <i/>
        <sz val="14"/>
        <color rgb="FF00B050"/>
        <rFont val="Calibri"/>
        <family val="2"/>
      </rPr>
      <t>±</t>
    </r>
    <r>
      <rPr>
        <b/>
        <i/>
        <vertAlign val="superscript"/>
        <sz val="14"/>
        <color rgb="FF00B050"/>
        <rFont val="Arial"/>
        <family val="2"/>
      </rPr>
      <t>80</t>
    </r>
    <r>
      <rPr>
        <b/>
        <i/>
        <sz val="14"/>
        <color rgb="FF00B050"/>
        <rFont val="Arial"/>
        <family val="2"/>
      </rPr>
      <t>Kr</t>
    </r>
    <r>
      <rPr>
        <b/>
        <i/>
        <vertAlign val="subscript"/>
        <sz val="14"/>
        <color rgb="FF00B050"/>
        <rFont val="Arial"/>
        <family val="2"/>
      </rPr>
      <t>Br</t>
    </r>
    <r>
      <rPr>
        <b/>
        <i/>
        <sz val="14"/>
        <color rgb="FF00B050"/>
        <rFont val="Arial"/>
        <family val="2"/>
      </rPr>
      <t>/Kr</t>
    </r>
  </si>
  <si>
    <r>
      <t>F</t>
    </r>
    <r>
      <rPr>
        <b/>
        <i/>
        <vertAlign val="subscript"/>
        <sz val="14"/>
        <color rgb="FF00B050"/>
        <rFont val="Arial"/>
        <family val="2"/>
      </rPr>
      <t>81Br</t>
    </r>
  </si>
  <si>
    <r>
      <rPr>
        <b/>
        <i/>
        <sz val="14"/>
        <color rgb="FF00B050"/>
        <rFont val="Calibri"/>
        <family val="2"/>
      </rPr>
      <t>±</t>
    </r>
    <r>
      <rPr>
        <b/>
        <i/>
        <sz val="14"/>
        <color rgb="FF00B050"/>
        <rFont val="Arial"/>
        <family val="2"/>
      </rPr>
      <t>F</t>
    </r>
    <r>
      <rPr>
        <b/>
        <i/>
        <vertAlign val="subscript"/>
        <sz val="14"/>
        <color rgb="FF00B050"/>
        <rFont val="Arial"/>
        <family val="2"/>
      </rPr>
      <t>81Br</t>
    </r>
  </si>
  <si>
    <r>
      <t>±</t>
    </r>
    <r>
      <rPr>
        <b/>
        <i/>
        <sz val="14"/>
        <color rgb="FF00B050"/>
        <rFont val="Calibri"/>
        <family val="2"/>
      </rPr>
      <t>π'</t>
    </r>
  </si>
  <si>
    <r>
      <rPr>
        <b/>
        <i/>
        <vertAlign val="superscript"/>
        <sz val="14"/>
        <color rgb="FF00B050"/>
        <rFont val="Arial"/>
        <family val="2"/>
      </rPr>
      <t>82</t>
    </r>
    <r>
      <rPr>
        <b/>
        <i/>
        <sz val="14"/>
        <color rgb="FF00B050"/>
        <rFont val="Arial"/>
        <family val="2"/>
      </rPr>
      <t>Kr</t>
    </r>
    <r>
      <rPr>
        <b/>
        <i/>
        <vertAlign val="subscript"/>
        <sz val="14"/>
        <color rgb="FF00B050"/>
        <rFont val="Arial"/>
        <family val="2"/>
      </rPr>
      <t>Br</t>
    </r>
    <r>
      <rPr>
        <b/>
        <i/>
        <sz val="14"/>
        <color rgb="FF00B050"/>
        <rFont val="Arial"/>
        <family val="2"/>
      </rPr>
      <t>/Kr</t>
    </r>
  </si>
  <si>
    <r>
      <rPr>
        <b/>
        <i/>
        <sz val="14"/>
        <color rgb="FF00B050"/>
        <rFont val="Calibri"/>
        <family val="2"/>
      </rPr>
      <t>±</t>
    </r>
    <r>
      <rPr>
        <b/>
        <i/>
        <vertAlign val="superscript"/>
        <sz val="14"/>
        <color rgb="FF00B050"/>
        <rFont val="Arial"/>
        <family val="2"/>
      </rPr>
      <t>82</t>
    </r>
    <r>
      <rPr>
        <b/>
        <i/>
        <sz val="14"/>
        <color rgb="FF00B050"/>
        <rFont val="Arial"/>
        <family val="2"/>
      </rPr>
      <t>Kr</t>
    </r>
    <r>
      <rPr>
        <b/>
        <i/>
        <vertAlign val="subscript"/>
        <sz val="14"/>
        <color rgb="FF00B050"/>
        <rFont val="Arial"/>
        <family val="2"/>
      </rPr>
      <t>Br</t>
    </r>
    <r>
      <rPr>
        <b/>
        <i/>
        <sz val="14"/>
        <color rgb="FF00B050"/>
        <rFont val="Arial"/>
        <family val="2"/>
      </rPr>
      <t>/Kr</t>
    </r>
  </si>
  <si>
    <r>
      <t>F</t>
    </r>
    <r>
      <rPr>
        <b/>
        <i/>
        <vertAlign val="subscript"/>
        <sz val="14"/>
        <color rgb="FF00B050"/>
        <rFont val="Arial"/>
        <family val="2"/>
      </rPr>
      <t>I</t>
    </r>
  </si>
  <si>
    <r>
      <rPr>
        <b/>
        <i/>
        <sz val="14"/>
        <color rgb="FF00B050"/>
        <rFont val="Calibri"/>
        <family val="2"/>
      </rPr>
      <t>±</t>
    </r>
    <r>
      <rPr>
        <b/>
        <i/>
        <sz val="14"/>
        <color rgb="FF00B050"/>
        <rFont val="Arial"/>
        <family val="2"/>
      </rPr>
      <t>F</t>
    </r>
    <r>
      <rPr>
        <b/>
        <i/>
        <vertAlign val="subscript"/>
        <sz val="14"/>
        <color rgb="FF00B050"/>
        <rFont val="Arial"/>
        <family val="2"/>
      </rPr>
      <t>I</t>
    </r>
  </si>
  <si>
    <r>
      <t>±</t>
    </r>
    <r>
      <rPr>
        <b/>
        <i/>
        <sz val="14"/>
        <color rgb="FF00B050"/>
        <rFont val="Calibri"/>
        <family val="2"/>
      </rPr>
      <t>ω</t>
    </r>
  </si>
  <si>
    <r>
      <rPr>
        <b/>
        <i/>
        <vertAlign val="superscript"/>
        <sz val="14"/>
        <color rgb="FF00B050"/>
        <rFont val="Arial"/>
        <family val="2"/>
      </rPr>
      <t>128</t>
    </r>
    <r>
      <rPr>
        <b/>
        <i/>
        <sz val="14"/>
        <color rgb="FF00B050"/>
        <rFont val="Arial"/>
        <family val="2"/>
      </rPr>
      <t>Xe</t>
    </r>
    <r>
      <rPr>
        <b/>
        <i/>
        <vertAlign val="subscript"/>
        <sz val="14"/>
        <color rgb="FF00B050"/>
        <rFont val="Arial"/>
        <family val="2"/>
      </rPr>
      <t>I</t>
    </r>
    <r>
      <rPr>
        <b/>
        <i/>
        <sz val="14"/>
        <color rgb="FF00B050"/>
        <rFont val="Arial"/>
        <family val="2"/>
      </rPr>
      <t>/Xe</t>
    </r>
  </si>
  <si>
    <r>
      <rPr>
        <b/>
        <i/>
        <sz val="14"/>
        <color rgb="FF00B050"/>
        <rFont val="Calibri"/>
        <family val="2"/>
      </rPr>
      <t>±</t>
    </r>
    <r>
      <rPr>
        <b/>
        <i/>
        <vertAlign val="superscript"/>
        <sz val="14"/>
        <color rgb="FF00B050"/>
        <rFont val="Arial"/>
        <family val="2"/>
      </rPr>
      <t>128</t>
    </r>
    <r>
      <rPr>
        <b/>
        <i/>
        <sz val="14"/>
        <color rgb="FF00B050"/>
        <rFont val="Arial"/>
        <family val="2"/>
      </rPr>
      <t>Xe</t>
    </r>
    <r>
      <rPr>
        <b/>
        <i/>
        <vertAlign val="subscript"/>
        <sz val="14"/>
        <color rgb="FF00B050"/>
        <rFont val="Arial"/>
        <family val="2"/>
      </rPr>
      <t>I</t>
    </r>
    <r>
      <rPr>
        <b/>
        <i/>
        <sz val="14"/>
        <color rgb="FF00B050"/>
        <rFont val="Arial"/>
        <family val="2"/>
      </rPr>
      <t>/Xe</t>
    </r>
  </si>
  <si>
    <r>
      <t xml:space="preserve">ɸ </t>
    </r>
    <r>
      <rPr>
        <b/>
        <i/>
        <vertAlign val="subscript"/>
        <sz val="14"/>
        <color rgb="FF00B050"/>
        <rFont val="Arial"/>
        <family val="2"/>
      </rPr>
      <t>epi</t>
    </r>
    <r>
      <rPr>
        <b/>
        <i/>
        <sz val="14"/>
        <color rgb="FF00B050"/>
        <rFont val="Arial"/>
        <family val="2"/>
      </rPr>
      <t>-</t>
    </r>
    <r>
      <rPr>
        <b/>
        <i/>
        <vertAlign val="subscript"/>
        <sz val="14"/>
        <color rgb="FF00B050"/>
        <rFont val="Arial"/>
        <family val="2"/>
      </rPr>
      <t>therm</t>
    </r>
  </si>
  <si>
    <r>
      <t>79</t>
    </r>
    <r>
      <rPr>
        <b/>
        <i/>
        <sz val="14"/>
        <color rgb="FF00B050"/>
        <rFont val="Arial"/>
        <family val="2"/>
      </rPr>
      <t>Br- Factor</t>
    </r>
  </si>
  <si>
    <r>
      <t>81</t>
    </r>
    <r>
      <rPr>
        <b/>
        <i/>
        <sz val="14"/>
        <color rgb="FF00B050"/>
        <rFont val="Arial"/>
        <family val="2"/>
      </rPr>
      <t>Br- Factor</t>
    </r>
  </si>
  <si>
    <r>
      <t>130</t>
    </r>
    <r>
      <rPr>
        <b/>
        <i/>
        <sz val="14"/>
        <color rgb="FF00B050"/>
        <rFont val="Arial"/>
        <family val="2"/>
      </rPr>
      <t>Ba-Factor</t>
    </r>
  </si>
  <si>
    <t>f</t>
  </si>
  <si>
    <t>*From column CA in Shallowater Sheet</t>
  </si>
  <si>
    <t>Samples:  Potassium</t>
  </si>
  <si>
    <t>Samples: Chlorine</t>
  </si>
  <si>
    <t>Samples: Calcium</t>
  </si>
  <si>
    <t>Samples: Ratios</t>
  </si>
  <si>
    <t>Samples: Raw Kr Data</t>
  </si>
  <si>
    <t>Samples Details</t>
  </si>
  <si>
    <t>Samples: Raw Ar Data</t>
  </si>
  <si>
    <t>Samples: Blank Ar Data</t>
  </si>
  <si>
    <t>Samples: Blank Corrected Ar Data</t>
  </si>
  <si>
    <t>Samples: Blank Kr Data</t>
  </si>
  <si>
    <t>Samples: Blank Corrected Kr Data</t>
  </si>
  <si>
    <t>Samples: Raw Xe Data</t>
  </si>
  <si>
    <t>Samples: Blank Xe Data</t>
  </si>
  <si>
    <t>Samples: BlankCorrected  Xe Data</t>
  </si>
  <si>
    <t>Samples Mass (g)</t>
  </si>
  <si>
    <t>±Samples Mass (g)</t>
  </si>
  <si>
    <t>Cl/Br</t>
  </si>
  <si>
    <r>
      <t xml:space="preserve">Shallowater-Corrected </t>
    </r>
    <r>
      <rPr>
        <b/>
        <vertAlign val="superscript"/>
        <sz val="14"/>
        <color rgb="FFFF0000"/>
        <rFont val="Arial"/>
        <family val="2"/>
      </rPr>
      <t>81</t>
    </r>
    <r>
      <rPr>
        <b/>
        <sz val="14"/>
        <color rgb="FFFF0000"/>
        <rFont val="Arial"/>
        <family val="2"/>
      </rPr>
      <t>Br</t>
    </r>
  </si>
  <si>
    <r>
      <t xml:space="preserve">Shallowater-Corrected </t>
    </r>
    <r>
      <rPr>
        <b/>
        <vertAlign val="superscript"/>
        <sz val="14"/>
        <color rgb="FFFF0000"/>
        <rFont val="Arial"/>
        <family val="2"/>
      </rPr>
      <t>79</t>
    </r>
    <r>
      <rPr>
        <b/>
        <sz val="14"/>
        <color rgb="FFFF0000"/>
        <rFont val="Arial"/>
        <family val="2"/>
      </rPr>
      <t>Br</t>
    </r>
  </si>
  <si>
    <r>
      <rPr>
        <b/>
        <vertAlign val="superscript"/>
        <sz val="14"/>
        <color rgb="FF0070C0"/>
        <rFont val="Arial"/>
        <family val="2"/>
      </rPr>
      <t>81</t>
    </r>
    <r>
      <rPr>
        <b/>
        <sz val="14"/>
        <color rgb="FF0070C0"/>
        <rFont val="Arial"/>
        <family val="2"/>
      </rPr>
      <t>Br (ppb)</t>
    </r>
  </si>
  <si>
    <r>
      <rPr>
        <b/>
        <vertAlign val="superscript"/>
        <sz val="14"/>
        <color rgb="FF0070C0"/>
        <rFont val="Arial"/>
        <family val="2"/>
      </rPr>
      <t>79</t>
    </r>
    <r>
      <rPr>
        <b/>
        <sz val="14"/>
        <color rgb="FF0070C0"/>
        <rFont val="Arial"/>
        <family val="2"/>
      </rPr>
      <t>Br (ppb)</t>
    </r>
  </si>
  <si>
    <t xml:space="preserve">± </t>
  </si>
  <si>
    <r>
      <rPr>
        <b/>
        <vertAlign val="superscript"/>
        <sz val="14"/>
        <color rgb="FF0070C0"/>
        <rFont val="Arial"/>
        <family val="2"/>
      </rPr>
      <t>128</t>
    </r>
    <r>
      <rPr>
        <b/>
        <sz val="14"/>
        <color rgb="FF0070C0"/>
        <rFont val="Arial"/>
        <family val="2"/>
      </rPr>
      <t>XeI (cc and mole)</t>
    </r>
  </si>
  <si>
    <t>Shallowater-Corrected I</t>
  </si>
  <si>
    <t>Cl/I</t>
  </si>
  <si>
    <t>I (ppb)</t>
  </si>
  <si>
    <t xml:space="preserve">Air Correction (or Trapped: Find and Replace 'Air' for 'SW', 'Q' or 'Mix' </t>
  </si>
  <si>
    <r>
      <t>Br</t>
    </r>
    <r>
      <rPr>
        <b/>
        <i/>
        <vertAlign val="subscript"/>
        <sz val="14"/>
        <color rgb="FF00B050"/>
        <rFont val="Arial"/>
        <family val="2"/>
      </rPr>
      <t>79</t>
    </r>
    <r>
      <rPr>
        <b/>
        <i/>
        <sz val="14"/>
        <color rgb="FF00B050"/>
        <rFont val="Arial"/>
        <family val="2"/>
      </rPr>
      <t xml:space="preserve"> (ppb)  </t>
    </r>
  </si>
  <si>
    <r>
      <t>Br</t>
    </r>
    <r>
      <rPr>
        <b/>
        <i/>
        <vertAlign val="subscript"/>
        <sz val="14"/>
        <color rgb="FF00B050"/>
        <rFont val="Arial"/>
        <family val="2"/>
      </rPr>
      <t>81</t>
    </r>
    <r>
      <rPr>
        <b/>
        <i/>
        <sz val="14"/>
        <color rgb="FF00B050"/>
        <rFont val="Arial"/>
        <family val="2"/>
      </rPr>
      <t xml:space="preserve"> (ppb)  </t>
    </r>
  </si>
  <si>
    <t>Ba (ppm)</t>
  </si>
  <si>
    <t>Sample</t>
  </si>
  <si>
    <t>±K/Ca (molar)</t>
  </si>
  <si>
    <t>I/Cl (wt.)</t>
  </si>
  <si>
    <t>±I/Cl (wt.)</t>
  </si>
  <si>
    <t>K/Cl (mol)</t>
  </si>
  <si>
    <t>±K/Cl (mol.)</t>
  </si>
  <si>
    <t>I/Cl (mol.)</t>
  </si>
  <si>
    <t>±I/Cl (mol.)</t>
  </si>
  <si>
    <r>
      <t>134</t>
    </r>
    <r>
      <rPr>
        <b/>
        <sz val="14"/>
        <color rgb="FF0070C0"/>
        <rFont val="Arial"/>
        <family val="2"/>
      </rPr>
      <t>Xe*U (mole)</t>
    </r>
  </si>
  <si>
    <r>
      <rPr>
        <b/>
        <vertAlign val="superscript"/>
        <sz val="14"/>
        <color rgb="FF0070C0"/>
        <rFont val="Arial"/>
        <family val="2"/>
      </rPr>
      <t>79</t>
    </r>
    <r>
      <rPr>
        <b/>
        <sz val="14"/>
        <color rgb="FF0070C0"/>
        <rFont val="Arial"/>
        <family val="2"/>
      </rPr>
      <t>Br (moles)</t>
    </r>
  </si>
  <si>
    <r>
      <rPr>
        <b/>
        <vertAlign val="superscript"/>
        <sz val="14"/>
        <color rgb="FF0070C0"/>
        <rFont val="Arial"/>
        <family val="2"/>
      </rPr>
      <t>81</t>
    </r>
    <r>
      <rPr>
        <b/>
        <sz val="14"/>
        <color rgb="FF0070C0"/>
        <rFont val="Arial"/>
        <family val="2"/>
      </rPr>
      <t>Br (moles)</t>
    </r>
  </si>
  <si>
    <t>Run Parameters</t>
  </si>
  <si>
    <t>Raw Data in divisions</t>
  </si>
  <si>
    <t>Ar Sensitivity</t>
  </si>
  <si>
    <t>Kr Sensitivity</t>
  </si>
  <si>
    <t>Xe Sensitivity</t>
  </si>
  <si>
    <t>Sample Name/Info</t>
  </si>
  <si>
    <t>Laser P/Furn.T, °C</t>
  </si>
  <si>
    <t>Sample Mass, g</t>
  </si>
  <si>
    <t>Diary No.</t>
  </si>
  <si>
    <t>Irradiation Date</t>
  </si>
  <si>
    <t>±39Ar</t>
  </si>
  <si>
    <t>±38Ar</t>
  </si>
  <si>
    <t>±37Ar</t>
  </si>
  <si>
    <t>±36Ar</t>
  </si>
  <si>
    <t>(40Ar/36Ar)air</t>
  </si>
  <si>
    <t>S40 (cc/div)</t>
  </si>
  <si>
    <t>±80Kr</t>
  </si>
  <si>
    <t>±82Kr</t>
  </si>
  <si>
    <t>±84Kr</t>
  </si>
  <si>
    <t>±86Kr</t>
  </si>
  <si>
    <t>±128Xe</t>
  </si>
  <si>
    <t>±129Xe</t>
  </si>
  <si>
    <t>±130Xe</t>
  </si>
  <si>
    <t>±131Xe</t>
  </si>
  <si>
    <t>±132Xe</t>
  </si>
  <si>
    <t>±134Xe</t>
  </si>
  <si>
    <t>±136Xe</t>
  </si>
  <si>
    <t>Total Bishunpur</t>
  </si>
  <si>
    <t>Total Indarch</t>
  </si>
  <si>
    <t>Total SAH 97096</t>
  </si>
  <si>
    <t>(4.42 multiplier, new resistor setting, 1011)</t>
  </si>
  <si>
    <t>Total ALH 77295</t>
  </si>
  <si>
    <t>Total MIL 07139</t>
  </si>
  <si>
    <t>Total Daniel's Kuil</t>
  </si>
  <si>
    <t>Total Forest Vale</t>
  </si>
  <si>
    <t>Total Kakangari</t>
  </si>
  <si>
    <t>Total Barratta</t>
  </si>
  <si>
    <t>Total Barwell</t>
  </si>
  <si>
    <t xml:space="preserve">Total Clovis </t>
  </si>
  <si>
    <t xml:space="preserve">Total Efremovka </t>
  </si>
  <si>
    <t>13.5- 15.5</t>
  </si>
  <si>
    <t>13.5-15.5</t>
  </si>
  <si>
    <t xml:space="preserve">Total Daniel's Kuil </t>
  </si>
  <si>
    <t>11.5-15.5</t>
  </si>
  <si>
    <t xml:space="preserve">Total Murray </t>
  </si>
  <si>
    <t>Total EET 92159</t>
  </si>
  <si>
    <t>11.0-13.0</t>
  </si>
  <si>
    <t>Total Orgueil</t>
  </si>
  <si>
    <t>11.0-15.5</t>
  </si>
  <si>
    <t>11.0-19.0</t>
  </si>
  <si>
    <t xml:space="preserve">Total GRA 06100 </t>
  </si>
  <si>
    <t>EET 92159, CR2</t>
  </si>
  <si>
    <r>
      <t xml:space="preserve">Irradiation Parameter π and Scapolite-Corrected </t>
    </r>
    <r>
      <rPr>
        <b/>
        <vertAlign val="superscript"/>
        <sz val="14"/>
        <color rgb="FF0070C0"/>
        <rFont val="Arial"/>
        <family val="2"/>
      </rPr>
      <t>79</t>
    </r>
    <r>
      <rPr>
        <b/>
        <sz val="14"/>
        <color rgb="FF0070C0"/>
        <rFont val="Arial"/>
        <family val="2"/>
      </rPr>
      <t>Br</t>
    </r>
  </si>
  <si>
    <r>
      <t xml:space="preserve">Irradiation Parameter π' and Scapolite-Corrected </t>
    </r>
    <r>
      <rPr>
        <b/>
        <vertAlign val="superscript"/>
        <sz val="14"/>
        <color rgb="FF0070C0"/>
        <rFont val="Arial"/>
        <family val="2"/>
      </rPr>
      <t>81</t>
    </r>
    <r>
      <rPr>
        <b/>
        <sz val="14"/>
        <color rgb="FF0070C0"/>
        <rFont val="Arial"/>
        <family val="2"/>
      </rPr>
      <t>Br</t>
    </r>
  </si>
  <si>
    <t>Irradiation Parameter ω' and Scapolite-Corrected I</t>
  </si>
  <si>
    <t>±Cl (mole)</t>
  </si>
  <si>
    <t>±Cl (ppm)</t>
  </si>
  <si>
    <t xml:space="preserve"> ±Cl (wt. %)</t>
  </si>
  <si>
    <t>±Ca (mole)</t>
  </si>
  <si>
    <t>±Ca (ppm)</t>
  </si>
  <si>
    <t xml:space="preserve"> ±Ca (wt. %)</t>
  </si>
  <si>
    <r>
      <t>±</t>
    </r>
    <r>
      <rPr>
        <b/>
        <vertAlign val="superscript"/>
        <sz val="14"/>
        <color rgb="FF0070C0"/>
        <rFont val="Arial"/>
        <family val="2"/>
      </rPr>
      <t>40</t>
    </r>
    <r>
      <rPr>
        <b/>
        <sz val="14"/>
        <color rgb="FF0070C0"/>
        <rFont val="Arial"/>
        <family val="2"/>
      </rPr>
      <t>Ar*/Cl (molar)</t>
    </r>
  </si>
  <si>
    <t>±π</t>
  </si>
  <si>
    <t>±π'</t>
  </si>
  <si>
    <r>
      <t>±F</t>
    </r>
    <r>
      <rPr>
        <b/>
        <vertAlign val="subscript"/>
        <sz val="14"/>
        <color rgb="FFFF0000"/>
        <rFont val="Arial"/>
        <family val="2"/>
      </rPr>
      <t>ISW</t>
    </r>
  </si>
  <si>
    <t>±ω</t>
  </si>
  <si>
    <r>
      <t>±F</t>
    </r>
    <r>
      <rPr>
        <b/>
        <vertAlign val="subscript"/>
        <sz val="14"/>
        <color rgb="FFFF0000"/>
        <rFont val="Arial"/>
        <family val="2"/>
      </rPr>
      <t>BaSW</t>
    </r>
  </si>
  <si>
    <t>Note: Summary is configured to take bromine concentrations and ratios  from scapolite-corrected data and iodine and barium fromShallowater-corrected data</t>
  </si>
  <si>
    <r>
      <rPr>
        <b/>
        <vertAlign val="superscript"/>
        <sz val="14"/>
        <color rgb="FF00B050"/>
        <rFont val="Arial"/>
        <family val="2"/>
      </rPr>
      <t>79</t>
    </r>
    <r>
      <rPr>
        <b/>
        <sz val="14"/>
        <color rgb="FF00B050"/>
        <rFont val="Arial"/>
        <family val="2"/>
      </rPr>
      <t>Br/Cl (wt.)</t>
    </r>
  </si>
  <si>
    <r>
      <t>±</t>
    </r>
    <r>
      <rPr>
        <b/>
        <vertAlign val="superscript"/>
        <sz val="14"/>
        <color rgb="FF00B050"/>
        <rFont val="Arial"/>
        <family val="2"/>
      </rPr>
      <t>79</t>
    </r>
    <r>
      <rPr>
        <b/>
        <sz val="14"/>
        <color rgb="FF00B050"/>
        <rFont val="Arial"/>
        <family val="2"/>
      </rPr>
      <t>Br/Cl (wt.)</t>
    </r>
  </si>
  <si>
    <r>
      <rPr>
        <b/>
        <vertAlign val="superscript"/>
        <sz val="14"/>
        <color rgb="FF00B050"/>
        <rFont val="Arial"/>
        <family val="2"/>
      </rPr>
      <t>81</t>
    </r>
    <r>
      <rPr>
        <b/>
        <sz val="14"/>
        <color rgb="FF00B050"/>
        <rFont val="Arial"/>
        <family val="2"/>
      </rPr>
      <t>Br/Cl (wt.)</t>
    </r>
  </si>
  <si>
    <r>
      <t>±</t>
    </r>
    <r>
      <rPr>
        <b/>
        <vertAlign val="superscript"/>
        <sz val="14"/>
        <color rgb="FF00B050"/>
        <rFont val="Arial"/>
        <family val="2"/>
      </rPr>
      <t>81</t>
    </r>
    <r>
      <rPr>
        <b/>
        <sz val="14"/>
        <color rgb="FF00B050"/>
        <rFont val="Arial"/>
        <family val="2"/>
      </rPr>
      <t>Br/Cl (wt.)</t>
    </r>
  </si>
  <si>
    <r>
      <rPr>
        <b/>
        <vertAlign val="superscript"/>
        <sz val="14"/>
        <color rgb="FF00B050"/>
        <rFont val="Arial"/>
        <family val="2"/>
      </rPr>
      <t>79</t>
    </r>
    <r>
      <rPr>
        <b/>
        <sz val="14"/>
        <color rgb="FF00B050"/>
        <rFont val="Arial"/>
        <family val="2"/>
      </rPr>
      <t>Br/Cl (mol)</t>
    </r>
  </si>
  <si>
    <r>
      <t>±</t>
    </r>
    <r>
      <rPr>
        <b/>
        <vertAlign val="superscript"/>
        <sz val="14"/>
        <color rgb="FF00B050"/>
        <rFont val="Arial"/>
        <family val="2"/>
      </rPr>
      <t>79</t>
    </r>
    <r>
      <rPr>
        <b/>
        <sz val="14"/>
        <color rgb="FF00B050"/>
        <rFont val="Arial"/>
        <family val="2"/>
      </rPr>
      <t>Br/Cl (mol)</t>
    </r>
  </si>
  <si>
    <r>
      <t>±</t>
    </r>
    <r>
      <rPr>
        <b/>
        <vertAlign val="superscript"/>
        <sz val="14"/>
        <color rgb="FF00B050"/>
        <rFont val="Arial"/>
        <family val="2"/>
      </rPr>
      <t>81</t>
    </r>
    <r>
      <rPr>
        <b/>
        <sz val="14"/>
        <color rgb="FF00B050"/>
        <rFont val="Arial"/>
        <family val="2"/>
      </rPr>
      <t>Br/Cl (mol)</t>
    </r>
  </si>
  <si>
    <r>
      <rPr>
        <b/>
        <vertAlign val="superscript"/>
        <sz val="14"/>
        <color rgb="FF00B050"/>
        <rFont val="Arial"/>
        <family val="2"/>
      </rPr>
      <t>81</t>
    </r>
    <r>
      <rPr>
        <b/>
        <sz val="14"/>
        <color rgb="FF00B050"/>
        <rFont val="Arial"/>
        <family val="2"/>
      </rPr>
      <t>Br/Cl (mol.)</t>
    </r>
  </si>
  <si>
    <r>
      <rPr>
        <b/>
        <vertAlign val="superscript"/>
        <sz val="14"/>
        <color rgb="FF0070C0"/>
        <rFont val="Arial"/>
        <family val="2"/>
      </rPr>
      <t>131</t>
    </r>
    <r>
      <rPr>
        <b/>
        <sz val="14"/>
        <color rgb="FF0070C0"/>
        <rFont val="Arial"/>
        <family val="2"/>
      </rPr>
      <t>Xe</t>
    </r>
    <r>
      <rPr>
        <b/>
        <vertAlign val="subscript"/>
        <sz val="14"/>
        <color rgb="FF0070C0"/>
        <rFont val="Arial"/>
        <family val="2"/>
      </rPr>
      <t xml:space="preserve">Ba </t>
    </r>
    <r>
      <rPr>
        <b/>
        <sz val="14"/>
        <color rgb="FF0070C0"/>
        <rFont val="Arial"/>
        <family val="2"/>
      </rPr>
      <t>(cc and mole)</t>
    </r>
  </si>
  <si>
    <t>Shallowater-Corrected Barium</t>
  </si>
  <si>
    <r>
      <t>F</t>
    </r>
    <r>
      <rPr>
        <b/>
        <vertAlign val="subscript"/>
        <sz val="14"/>
        <color rgb="FFFF0000"/>
        <rFont val="Arial"/>
        <family val="2"/>
      </rPr>
      <t>Ba</t>
    </r>
  </si>
  <si>
    <r>
      <t>±F</t>
    </r>
    <r>
      <rPr>
        <b/>
        <vertAlign val="subscript"/>
        <sz val="14"/>
        <color rgb="FFFF0000"/>
        <rFont val="Arial"/>
        <family val="2"/>
      </rPr>
      <t>Ba</t>
    </r>
  </si>
  <si>
    <t>Shallowater-Corrected</t>
  </si>
  <si>
    <t>Scapolite-Corrected</t>
  </si>
  <si>
    <t>Weight Ratios</t>
  </si>
  <si>
    <t>Molar Ratios</t>
  </si>
  <si>
    <t>Scapolite Summary: Concentrations to Check</t>
  </si>
  <si>
    <t>I-Factor, Production Ratios &amp; Omega</t>
  </si>
  <si>
    <t>Br-Factors, Production Ratios &amp; Irradiation Parameters Pi + Pi'</t>
  </si>
  <si>
    <t>Scapolite</t>
  </si>
  <si>
    <t>Blue= Calculated</t>
  </si>
  <si>
    <t xml:space="preserve">Name </t>
  </si>
  <si>
    <t>Name</t>
  </si>
  <si>
    <t>Hb3Gr Summary</t>
  </si>
  <si>
    <r>
      <t xml:space="preserve">ɸ </t>
    </r>
    <r>
      <rPr>
        <b/>
        <i/>
        <vertAlign val="subscript"/>
        <sz val="14"/>
        <color rgb="FF00B050"/>
        <rFont val="Arial"/>
        <family val="2"/>
      </rPr>
      <t>therm</t>
    </r>
  </si>
  <si>
    <r>
      <t xml:space="preserve">± ɸ </t>
    </r>
    <r>
      <rPr>
        <b/>
        <i/>
        <vertAlign val="subscript"/>
        <sz val="14"/>
        <color rgb="FF00B050"/>
        <rFont val="Arial"/>
        <family val="2"/>
      </rPr>
      <t>therm</t>
    </r>
  </si>
  <si>
    <t>Barium &amp; Uranium</t>
  </si>
  <si>
    <t>External Ba-Correction</t>
  </si>
  <si>
    <t>Type (Stepped or Fusion)</t>
  </si>
  <si>
    <t>*For stepped heating</t>
  </si>
  <si>
    <t xml:space="preserve">*must enter 'Stepped' or 'Fusion' </t>
  </si>
  <si>
    <t>*Column N must read either 'stepped' or 'Fusion'</t>
  </si>
  <si>
    <t>For stepped-heating, enter the slope to high-T data in column BT</t>
  </si>
  <si>
    <t>*From column CV in Shallowater Sheet</t>
  </si>
  <si>
    <t>*From column KY in Scapolite Sheet</t>
  </si>
  <si>
    <t>*From column CB in Shallowater Sheet</t>
  </si>
  <si>
    <t>*From column CP in Shallowater Sheet</t>
  </si>
  <si>
    <t>*From column CJ in Shallowater Sheet</t>
  </si>
  <si>
    <t>*From column GQ in Scapolite Sheet</t>
  </si>
  <si>
    <t>*From column GY in Scapolite Sheet</t>
  </si>
  <si>
    <t>BB2</t>
  </si>
  <si>
    <t xml:space="preserve"> BB1 or BB2/SP columns B</t>
  </si>
  <si>
    <r>
      <t xml:space="preserve">ɸ </t>
    </r>
    <r>
      <rPr>
        <b/>
        <i/>
        <vertAlign val="subscript"/>
        <sz val="14"/>
        <color rgb="FF00B050"/>
        <rFont val="Arial"/>
        <family val="2"/>
      </rPr>
      <t>fast</t>
    </r>
  </si>
  <si>
    <r>
      <t xml:space="preserve">± ɸ </t>
    </r>
    <r>
      <rPr>
        <b/>
        <i/>
        <vertAlign val="subscript"/>
        <sz val="14"/>
        <color rgb="FF00B050"/>
        <rFont val="Arial"/>
        <family val="2"/>
      </rPr>
      <t>fast</t>
    </r>
  </si>
  <si>
    <t>File name</t>
  </si>
  <si>
    <t>Creation</t>
  </si>
  <si>
    <t>Person</t>
  </si>
  <si>
    <t>Modification</t>
  </si>
  <si>
    <t>Lorraine Ruzie</t>
  </si>
  <si>
    <t>Patricia Clay</t>
  </si>
  <si>
    <t>Validated by</t>
  </si>
  <si>
    <t>HalogenSheet_V2_Irradiation_UserInitial_Date</t>
  </si>
  <si>
    <r>
      <t xml:space="preserve">± </t>
    </r>
    <r>
      <rPr>
        <b/>
        <vertAlign val="superscript"/>
        <sz val="14"/>
        <color rgb="FF0070C0"/>
        <rFont val="Arial"/>
        <family val="2"/>
      </rPr>
      <t>39</t>
    </r>
    <r>
      <rPr>
        <b/>
        <sz val="14"/>
        <color rgb="FF0070C0"/>
        <rFont val="Arial"/>
        <family val="2"/>
      </rPr>
      <t>Ar/</t>
    </r>
    <r>
      <rPr>
        <b/>
        <vertAlign val="superscript"/>
        <sz val="14"/>
        <color rgb="FF0070C0"/>
        <rFont val="Arial"/>
        <family val="2"/>
      </rPr>
      <t>37</t>
    </r>
    <r>
      <rPr>
        <b/>
        <sz val="14"/>
        <color rgb="FF0070C0"/>
        <rFont val="Arial"/>
        <family val="2"/>
      </rPr>
      <t>ArCa</t>
    </r>
  </si>
  <si>
    <r>
      <rPr>
        <b/>
        <vertAlign val="superscript"/>
        <sz val="14"/>
        <color rgb="FF0070C0"/>
        <rFont val="Arial"/>
        <family val="2"/>
      </rPr>
      <t>39</t>
    </r>
    <r>
      <rPr>
        <b/>
        <sz val="14"/>
        <color rgb="FF0070C0"/>
        <rFont val="Arial"/>
        <family val="2"/>
      </rPr>
      <t>Ar/</t>
    </r>
    <r>
      <rPr>
        <b/>
        <vertAlign val="superscript"/>
        <sz val="14"/>
        <color rgb="FF0070C0"/>
        <rFont val="Arial"/>
        <family val="2"/>
      </rPr>
      <t>37</t>
    </r>
    <r>
      <rPr>
        <b/>
        <sz val="14"/>
        <color rgb="FF0070C0"/>
        <rFont val="Arial"/>
        <family val="2"/>
      </rPr>
      <t>ArCa</t>
    </r>
  </si>
  <si>
    <r>
      <t xml:space="preserve">±  </t>
    </r>
    <r>
      <rPr>
        <b/>
        <vertAlign val="superscript"/>
        <sz val="14"/>
        <color rgb="FF0070C0"/>
        <rFont val="Arial"/>
        <family val="2"/>
      </rPr>
      <t>36</t>
    </r>
    <r>
      <rPr>
        <b/>
        <sz val="14"/>
        <color rgb="FF0070C0"/>
        <rFont val="Arial"/>
        <family val="2"/>
      </rPr>
      <t>Ar/</t>
    </r>
    <r>
      <rPr>
        <b/>
        <vertAlign val="superscript"/>
        <sz val="14"/>
        <color rgb="FF0070C0"/>
        <rFont val="Arial"/>
        <family val="2"/>
      </rPr>
      <t>37</t>
    </r>
    <r>
      <rPr>
        <b/>
        <sz val="14"/>
        <color rgb="FF0070C0"/>
        <rFont val="Arial"/>
        <family val="2"/>
      </rPr>
      <t>ArCa</t>
    </r>
  </si>
  <si>
    <r>
      <rPr>
        <b/>
        <vertAlign val="superscript"/>
        <sz val="14"/>
        <color rgb="FF0070C0"/>
        <rFont val="Arial"/>
        <family val="2"/>
      </rPr>
      <t>36</t>
    </r>
    <r>
      <rPr>
        <b/>
        <sz val="14"/>
        <color rgb="FF0070C0"/>
        <rFont val="Arial"/>
        <family val="2"/>
      </rPr>
      <t>Ar/</t>
    </r>
    <r>
      <rPr>
        <b/>
        <vertAlign val="superscript"/>
        <sz val="14"/>
        <color rgb="FF0070C0"/>
        <rFont val="Arial"/>
        <family val="2"/>
      </rPr>
      <t>37</t>
    </r>
    <r>
      <rPr>
        <b/>
        <sz val="14"/>
        <color rgb="FF0070C0"/>
        <rFont val="Arial"/>
        <family val="2"/>
      </rPr>
      <t>ArCa</t>
    </r>
  </si>
  <si>
    <r>
      <t xml:space="preserve">± </t>
    </r>
    <r>
      <rPr>
        <b/>
        <vertAlign val="superscript"/>
        <sz val="14"/>
        <color rgb="FF0070C0"/>
        <rFont val="Arial"/>
        <family val="2"/>
      </rPr>
      <t>38</t>
    </r>
    <r>
      <rPr>
        <b/>
        <sz val="14"/>
        <color rgb="FF0070C0"/>
        <rFont val="Arial"/>
        <family val="2"/>
      </rPr>
      <t>Ar/</t>
    </r>
    <r>
      <rPr>
        <b/>
        <vertAlign val="superscript"/>
        <sz val="14"/>
        <color rgb="FF0070C0"/>
        <rFont val="Arial"/>
        <family val="2"/>
      </rPr>
      <t>39</t>
    </r>
    <r>
      <rPr>
        <b/>
        <sz val="14"/>
        <color rgb="FF0070C0"/>
        <rFont val="Arial"/>
        <family val="2"/>
      </rPr>
      <t>ArK</t>
    </r>
  </si>
  <si>
    <r>
      <rPr>
        <b/>
        <vertAlign val="superscript"/>
        <sz val="14"/>
        <color rgb="FF0070C0"/>
        <rFont val="Arial"/>
        <family val="2"/>
      </rPr>
      <t>38</t>
    </r>
    <r>
      <rPr>
        <b/>
        <sz val="14"/>
        <color rgb="FF0070C0"/>
        <rFont val="Arial"/>
        <family val="2"/>
      </rPr>
      <t>Ar/</t>
    </r>
    <r>
      <rPr>
        <b/>
        <vertAlign val="superscript"/>
        <sz val="14"/>
        <color rgb="FF0070C0"/>
        <rFont val="Arial"/>
        <family val="2"/>
      </rPr>
      <t>39</t>
    </r>
    <r>
      <rPr>
        <b/>
        <sz val="14"/>
        <color rgb="FF0070C0"/>
        <rFont val="Arial"/>
        <family val="2"/>
      </rPr>
      <t>ArK</t>
    </r>
  </si>
  <si>
    <r>
      <rPr>
        <b/>
        <sz val="14"/>
        <color rgb="FF0070C0"/>
        <rFont val="Cambria"/>
        <family val="1"/>
      </rPr>
      <t>±</t>
    </r>
    <r>
      <rPr>
        <b/>
        <sz val="9.8000000000000007"/>
        <color rgb="FF0070C0"/>
        <rFont val="Cambria"/>
        <family val="1"/>
      </rPr>
      <t xml:space="preserve"> </t>
    </r>
    <r>
      <rPr>
        <b/>
        <vertAlign val="superscript"/>
        <sz val="14"/>
        <color rgb="FF0070C0"/>
        <rFont val="Arial"/>
        <family val="2"/>
      </rPr>
      <t>40</t>
    </r>
    <r>
      <rPr>
        <b/>
        <sz val="14"/>
        <color rgb="FF0070C0"/>
        <rFont val="Arial"/>
        <family val="2"/>
      </rPr>
      <t>Ar/</t>
    </r>
    <r>
      <rPr>
        <b/>
        <vertAlign val="superscript"/>
        <sz val="14"/>
        <color rgb="FF0070C0"/>
        <rFont val="Arial"/>
        <family val="2"/>
      </rPr>
      <t>39</t>
    </r>
    <r>
      <rPr>
        <b/>
        <sz val="14"/>
        <color rgb="FF0070C0"/>
        <rFont val="Arial"/>
        <family val="2"/>
      </rPr>
      <t>ArK</t>
    </r>
  </si>
  <si>
    <r>
      <rPr>
        <b/>
        <vertAlign val="superscript"/>
        <sz val="14"/>
        <color rgb="FF0070C0"/>
        <rFont val="Arial"/>
        <family val="2"/>
      </rPr>
      <t>40</t>
    </r>
    <r>
      <rPr>
        <b/>
        <sz val="14"/>
        <color rgb="FF0070C0"/>
        <rFont val="Arial"/>
        <family val="2"/>
      </rPr>
      <t>Ar/</t>
    </r>
    <r>
      <rPr>
        <b/>
        <vertAlign val="superscript"/>
        <sz val="14"/>
        <color rgb="FF0070C0"/>
        <rFont val="Arial"/>
        <family val="2"/>
      </rPr>
      <t>39</t>
    </r>
    <r>
      <rPr>
        <b/>
        <sz val="14"/>
        <color rgb="FF0070C0"/>
        <rFont val="Arial"/>
        <family val="2"/>
      </rPr>
      <t>ArK</t>
    </r>
  </si>
  <si>
    <t>Salt Mass (g)</t>
  </si>
  <si>
    <t>Ca-Salts</t>
  </si>
  <si>
    <t>K-Salts</t>
  </si>
  <si>
    <t>Salt: Blank Corrected Ar Data</t>
  </si>
  <si>
    <t>Salt: Blank Ar Data</t>
  </si>
  <si>
    <t>Salt: Raw Ar Data</t>
  </si>
  <si>
    <t>Salt Values</t>
  </si>
  <si>
    <t>ARGUS VI</t>
  </si>
  <si>
    <t>Ratios to Plot (Stepped heating)</t>
  </si>
  <si>
    <t>continuous</t>
  </si>
  <si>
    <t>*From ratio output</t>
  </si>
  <si>
    <r>
      <rPr>
        <b/>
        <vertAlign val="superscript"/>
        <sz val="14"/>
        <color rgb="FFFF0000"/>
        <rFont val="Arial"/>
        <family val="2"/>
      </rPr>
      <t>128</t>
    </r>
    <r>
      <rPr>
        <b/>
        <sz val="14"/>
        <color rgb="FFFF0000"/>
        <rFont val="Arial"/>
        <family val="2"/>
      </rPr>
      <t>Xe/</t>
    </r>
    <r>
      <rPr>
        <b/>
        <vertAlign val="superscript"/>
        <sz val="14"/>
        <color rgb="FFFF0000"/>
        <rFont val="Arial"/>
        <family val="2"/>
      </rPr>
      <t>132</t>
    </r>
    <r>
      <rPr>
        <b/>
        <sz val="14"/>
        <color rgb="FFFF0000"/>
        <rFont val="Arial"/>
        <family val="2"/>
      </rPr>
      <t>Xe</t>
    </r>
  </si>
  <si>
    <r>
      <t>±</t>
    </r>
    <r>
      <rPr>
        <b/>
        <vertAlign val="superscript"/>
        <sz val="14"/>
        <color rgb="FFFF0000"/>
        <rFont val="Arial"/>
        <family val="2"/>
      </rPr>
      <t>128</t>
    </r>
    <r>
      <rPr>
        <b/>
        <sz val="14"/>
        <color rgb="FFFF0000"/>
        <rFont val="Arial"/>
        <family val="2"/>
      </rPr>
      <t>Xe/</t>
    </r>
    <r>
      <rPr>
        <b/>
        <vertAlign val="superscript"/>
        <sz val="14"/>
        <color rgb="FFFF0000"/>
        <rFont val="Arial"/>
        <family val="2"/>
      </rPr>
      <t>132</t>
    </r>
    <r>
      <rPr>
        <b/>
        <sz val="14"/>
        <color rgb="FFFF0000"/>
        <rFont val="Arial"/>
        <family val="2"/>
      </rPr>
      <t>Xe</t>
    </r>
  </si>
  <si>
    <r>
      <rPr>
        <b/>
        <vertAlign val="superscript"/>
        <sz val="14"/>
        <color rgb="FFFF0000"/>
        <rFont val="Arial"/>
        <family val="2"/>
      </rPr>
      <t>129</t>
    </r>
    <r>
      <rPr>
        <b/>
        <sz val="14"/>
        <color rgb="FFFF0000"/>
        <rFont val="Arial"/>
        <family val="2"/>
      </rPr>
      <t>Xe/</t>
    </r>
    <r>
      <rPr>
        <b/>
        <vertAlign val="superscript"/>
        <sz val="14"/>
        <color rgb="FFFF0000"/>
        <rFont val="Arial"/>
        <family val="2"/>
      </rPr>
      <t>132</t>
    </r>
    <r>
      <rPr>
        <b/>
        <sz val="14"/>
        <color rgb="FFFF0000"/>
        <rFont val="Arial"/>
        <family val="2"/>
      </rPr>
      <t>Xe</t>
    </r>
  </si>
  <si>
    <r>
      <t>±</t>
    </r>
    <r>
      <rPr>
        <b/>
        <vertAlign val="superscript"/>
        <sz val="14"/>
        <color rgb="FFFF0000"/>
        <rFont val="Arial"/>
        <family val="2"/>
      </rPr>
      <t>129</t>
    </r>
    <r>
      <rPr>
        <b/>
        <sz val="14"/>
        <color rgb="FFFF0000"/>
        <rFont val="Arial"/>
        <family val="2"/>
      </rPr>
      <t>Xe/</t>
    </r>
    <r>
      <rPr>
        <b/>
        <vertAlign val="superscript"/>
        <sz val="14"/>
        <color rgb="FFFF0000"/>
        <rFont val="Arial"/>
        <family val="2"/>
      </rPr>
      <t>132</t>
    </r>
    <r>
      <rPr>
        <b/>
        <sz val="14"/>
        <color rgb="FFFF0000"/>
        <rFont val="Arial"/>
        <family val="2"/>
      </rPr>
      <t>Xe</t>
    </r>
  </si>
  <si>
    <t>Ruzie et al. (2017)</t>
  </si>
  <si>
    <t>Ruzie et al (2016)</t>
  </si>
  <si>
    <t>This is version V2.0 realeased in the Group: salt spreadsheet, updated values</t>
  </si>
  <si>
    <t>2-12%</t>
  </si>
  <si>
    <t>distance (mm)</t>
  </si>
  <si>
    <t>MN19a</t>
  </si>
  <si>
    <t>Position (mm)</t>
  </si>
  <si>
    <t>HalogenSheet_V3_Mn2021a_monitordata_v1</t>
  </si>
  <si>
    <t>Used this version from the previous stepped irradiation MN19a (RB), updated for MN21a</t>
  </si>
  <si>
    <t>K3 K-glass</t>
  </si>
  <si>
    <t>B12</t>
  </si>
  <si>
    <t>B6</t>
  </si>
  <si>
    <t>BD</t>
  </si>
  <si>
    <t>B4</t>
  </si>
  <si>
    <t>B11</t>
  </si>
  <si>
    <t>B10</t>
  </si>
  <si>
    <t>B9</t>
  </si>
  <si>
    <t>CDD</t>
  </si>
  <si>
    <t>no BC applied</t>
  </si>
  <si>
    <t>vaules prior to 09/07/2020</t>
  </si>
  <si>
    <t>Renne et al. 2010 GCA 74, 5349-5367</t>
  </si>
  <si>
    <t>Schwartz and Trieloff 2007</t>
  </si>
  <si>
    <t>Jourdan et al. (2006) </t>
  </si>
  <si>
    <t>±J + error on age</t>
  </si>
  <si>
    <t>no error on age</t>
  </si>
  <si>
    <t>0.5-10%</t>
  </si>
  <si>
    <t>0.3-7.5</t>
  </si>
  <si>
    <t>0.3-7.6</t>
  </si>
  <si>
    <t>Continuous</t>
  </si>
  <si>
    <t>1-10%</t>
  </si>
  <si>
    <t>0.78-7.46</t>
  </si>
  <si>
    <t>0.78-7.47</t>
  </si>
  <si>
    <t>0.78-7.48</t>
  </si>
  <si>
    <t>0.5-12%</t>
  </si>
  <si>
    <t>0.3-8.7</t>
  </si>
  <si>
    <t>H1</t>
  </si>
  <si>
    <t>H2</t>
  </si>
  <si>
    <t>H3</t>
  </si>
  <si>
    <t>H4</t>
  </si>
  <si>
    <t>H5</t>
  </si>
  <si>
    <t>H6</t>
  </si>
  <si>
    <t>0.3-8.6</t>
  </si>
  <si>
    <t>B5</t>
  </si>
  <si>
    <t>B2</t>
  </si>
  <si>
    <t>B3</t>
  </si>
  <si>
    <t>UPDATED VALUE FOR Mn2021b</t>
  </si>
  <si>
    <t>IsoLine</t>
  </si>
  <si>
    <t>Source sheet</t>
  </si>
  <si>
    <t>Plot name</t>
  </si>
  <si>
    <t>Plot Type</t>
  </si>
  <si>
    <t>1st free col</t>
  </si>
  <si>
    <t>Sigma Level</t>
  </si>
  <si>
    <t>Absolute Errs</t>
  </si>
  <si>
    <t>Symbol Type</t>
  </si>
  <si>
    <t>Inverse Plot</t>
  </si>
  <si>
    <t>Color Plot</t>
  </si>
  <si>
    <t>3D plot</t>
  </si>
  <si>
    <t>Linear</t>
  </si>
  <si>
    <t>Data Range</t>
  </si>
  <si>
    <t>Filled Symbols</t>
  </si>
  <si>
    <t>ConcAge</t>
  </si>
  <si>
    <t>ConcSwap</t>
  </si>
  <si>
    <t>1st Symbol-row</t>
  </si>
  <si>
    <t>H15</t>
  </si>
  <si>
    <t>MN2022a</t>
  </si>
  <si>
    <t>K1 K-glass</t>
  </si>
  <si>
    <t>K2 K-glass</t>
  </si>
  <si>
    <t>C1 Ca-glass</t>
  </si>
  <si>
    <t>C2 Ca-glass</t>
  </si>
  <si>
    <t xml:space="preserve">will require updating when more Hb3Gr data collected </t>
  </si>
  <si>
    <t>BB1-1</t>
  </si>
  <si>
    <t>B15</t>
  </si>
  <si>
    <t>Mn2022a</t>
  </si>
  <si>
    <t>T1 S1</t>
  </si>
  <si>
    <t>H7</t>
  </si>
  <si>
    <t>H8</t>
  </si>
  <si>
    <t>C3 Ca-glass</t>
  </si>
  <si>
    <t>AX</t>
  </si>
  <si>
    <t>T3 S3</t>
  </si>
  <si>
    <t>distance</t>
  </si>
  <si>
    <t>ɸ therm</t>
  </si>
  <si>
    <t>± ɸ therm</t>
  </si>
  <si>
    <t>ɸ fast</t>
  </si>
  <si>
    <t>± ɸ fast</t>
  </si>
  <si>
    <t>T2 S2</t>
  </si>
  <si>
    <t>Tube 2</t>
  </si>
  <si>
    <t>Tube 1</t>
  </si>
  <si>
    <t>Tube 3</t>
  </si>
  <si>
    <r>
      <rPr>
        <b/>
        <vertAlign val="superscript"/>
        <sz val="14"/>
        <color rgb="FF0070C0"/>
        <rFont val="Arial"/>
        <family val="2"/>
      </rPr>
      <t>39</t>
    </r>
    <r>
      <rPr>
        <b/>
        <sz val="14"/>
        <color rgb="FF0070C0"/>
        <rFont val="Arial"/>
        <family val="2"/>
      </rPr>
      <t>Ar%</t>
    </r>
  </si>
  <si>
    <t>Halogen Samples</t>
  </si>
  <si>
    <t>ErrBox</t>
  </si>
  <si>
    <t>ShapeLine</t>
  </si>
  <si>
    <r>
      <t>39</t>
    </r>
    <r>
      <rPr>
        <b/>
        <sz val="14"/>
        <color rgb="FF0070C0"/>
        <rFont val="Arial"/>
        <family val="2"/>
      </rPr>
      <t>Ar</t>
    </r>
    <r>
      <rPr>
        <b/>
        <vertAlign val="subscript"/>
        <sz val="14"/>
        <color rgb="FF0070C0"/>
        <rFont val="Arial"/>
        <family val="2"/>
      </rPr>
      <t>K</t>
    </r>
    <r>
      <rPr>
        <b/>
        <sz val="14"/>
        <color rgb="FF0070C0"/>
        <rFont val="Arial"/>
        <family val="2"/>
      </rPr>
      <t>/</t>
    </r>
    <r>
      <rPr>
        <b/>
        <vertAlign val="superscript"/>
        <sz val="14"/>
        <color rgb="FF0070C0"/>
        <rFont val="Arial"/>
        <family val="2"/>
      </rPr>
      <t>40</t>
    </r>
    <r>
      <rPr>
        <b/>
        <sz val="14"/>
        <color rgb="FF0070C0"/>
        <rFont val="Arial"/>
        <family val="2"/>
      </rPr>
      <t>Ar</t>
    </r>
    <r>
      <rPr>
        <b/>
        <vertAlign val="subscript"/>
        <sz val="14"/>
        <color rgb="FF0070C0"/>
        <rFont val="Arial"/>
        <family val="2"/>
      </rPr>
      <t>tot</t>
    </r>
  </si>
  <si>
    <r>
      <t>±</t>
    </r>
    <r>
      <rPr>
        <b/>
        <vertAlign val="superscript"/>
        <sz val="14"/>
        <color rgb="FF0070C0"/>
        <rFont val="Arial"/>
        <family val="2"/>
      </rPr>
      <t>39</t>
    </r>
    <r>
      <rPr>
        <b/>
        <sz val="14"/>
        <color rgb="FF0070C0"/>
        <rFont val="Arial"/>
        <family val="2"/>
      </rPr>
      <t>Ar</t>
    </r>
    <r>
      <rPr>
        <b/>
        <vertAlign val="subscript"/>
        <sz val="14"/>
        <color rgb="FF0070C0"/>
        <rFont val="Arial"/>
        <family val="2"/>
      </rPr>
      <t>K</t>
    </r>
    <r>
      <rPr>
        <b/>
        <sz val="14"/>
        <color rgb="FF0070C0"/>
        <rFont val="Arial"/>
        <family val="2"/>
      </rPr>
      <t>/</t>
    </r>
    <r>
      <rPr>
        <b/>
        <vertAlign val="superscript"/>
        <sz val="14"/>
        <color rgb="FF0070C0"/>
        <rFont val="Arial"/>
        <family val="2"/>
      </rPr>
      <t>40</t>
    </r>
    <r>
      <rPr>
        <b/>
        <sz val="14"/>
        <color rgb="FF0070C0"/>
        <rFont val="Arial"/>
        <family val="2"/>
      </rPr>
      <t>Ar</t>
    </r>
    <r>
      <rPr>
        <b/>
        <vertAlign val="subscript"/>
        <sz val="14"/>
        <color rgb="FF0070C0"/>
        <rFont val="Arial"/>
        <family val="2"/>
      </rPr>
      <t xml:space="preserve">tot </t>
    </r>
  </si>
  <si>
    <r>
      <t>39</t>
    </r>
    <r>
      <rPr>
        <b/>
        <sz val="14"/>
        <color rgb="FF0070C0"/>
        <rFont val="Arial"/>
        <family val="2"/>
      </rPr>
      <t>Ar</t>
    </r>
    <r>
      <rPr>
        <b/>
        <vertAlign val="subscript"/>
        <sz val="14"/>
        <color rgb="FF0070C0"/>
        <rFont val="Arial"/>
        <family val="2"/>
      </rPr>
      <t>K</t>
    </r>
    <r>
      <rPr>
        <b/>
        <sz val="14"/>
        <color rgb="FF0070C0"/>
        <rFont val="Arial"/>
        <family val="2"/>
      </rPr>
      <t>/</t>
    </r>
    <r>
      <rPr>
        <b/>
        <vertAlign val="superscript"/>
        <sz val="14"/>
        <color rgb="FF0070C0"/>
        <rFont val="Arial"/>
        <family val="2"/>
      </rPr>
      <t>36</t>
    </r>
    <r>
      <rPr>
        <b/>
        <sz val="14"/>
        <color rgb="FF0070C0"/>
        <rFont val="Arial"/>
        <family val="2"/>
      </rPr>
      <t>Ar</t>
    </r>
  </si>
  <si>
    <r>
      <t>±</t>
    </r>
    <r>
      <rPr>
        <b/>
        <vertAlign val="superscript"/>
        <sz val="14"/>
        <color rgb="FF0070C0"/>
        <rFont val="Arial"/>
        <family val="2"/>
      </rPr>
      <t>39</t>
    </r>
    <r>
      <rPr>
        <b/>
        <sz val="14"/>
        <color rgb="FF0070C0"/>
        <rFont val="Arial"/>
        <family val="2"/>
      </rPr>
      <t>Ar</t>
    </r>
    <r>
      <rPr>
        <b/>
        <vertAlign val="subscript"/>
        <sz val="14"/>
        <color rgb="FF0070C0"/>
        <rFont val="Arial"/>
        <family val="2"/>
      </rPr>
      <t>K</t>
    </r>
    <r>
      <rPr>
        <b/>
        <sz val="14"/>
        <color rgb="FF0070C0"/>
        <rFont val="Arial"/>
        <family val="2"/>
      </rPr>
      <t>/</t>
    </r>
    <r>
      <rPr>
        <b/>
        <vertAlign val="superscript"/>
        <sz val="14"/>
        <color rgb="FF0070C0"/>
        <rFont val="Arial"/>
        <family val="2"/>
      </rPr>
      <t>36</t>
    </r>
    <r>
      <rPr>
        <b/>
        <sz val="14"/>
        <color rgb="FF0070C0"/>
        <rFont val="Arial"/>
        <family val="2"/>
      </rPr>
      <t>Ar</t>
    </r>
    <r>
      <rPr>
        <b/>
        <sz val="14"/>
        <color rgb="FF0070C0"/>
        <rFont val="Arial"/>
        <family val="2"/>
      </rPr>
      <t xml:space="preserve"> </t>
    </r>
  </si>
  <si>
    <r>
      <t>40</t>
    </r>
    <r>
      <rPr>
        <b/>
        <sz val="14"/>
        <color rgb="FF0070C0"/>
        <rFont val="Arial"/>
        <family val="2"/>
      </rPr>
      <t>Ar</t>
    </r>
    <r>
      <rPr>
        <b/>
        <vertAlign val="subscript"/>
        <sz val="14"/>
        <color rgb="FF0070C0"/>
        <rFont val="Arial"/>
        <family val="2"/>
      </rPr>
      <t>tot</t>
    </r>
    <r>
      <rPr>
        <b/>
        <sz val="14"/>
        <color rgb="FF0070C0"/>
        <rFont val="Arial"/>
        <family val="2"/>
      </rPr>
      <t>/</t>
    </r>
    <r>
      <rPr>
        <b/>
        <vertAlign val="superscript"/>
        <sz val="14"/>
        <color rgb="FF0070C0"/>
        <rFont val="Arial"/>
        <family val="2"/>
      </rPr>
      <t>36</t>
    </r>
    <r>
      <rPr>
        <b/>
        <sz val="14"/>
        <color rgb="FF0070C0"/>
        <rFont val="Arial"/>
        <family val="2"/>
      </rPr>
      <t>Ar</t>
    </r>
  </si>
  <si>
    <r>
      <t>36</t>
    </r>
    <r>
      <rPr>
        <b/>
        <sz val="14"/>
        <color rgb="FF0070C0"/>
        <rFont val="Arial"/>
        <family val="2"/>
      </rPr>
      <t>Ar</t>
    </r>
    <r>
      <rPr>
        <b/>
        <sz val="14"/>
        <color rgb="FF0070C0"/>
        <rFont val="Arial"/>
        <family val="2"/>
      </rPr>
      <t>/</t>
    </r>
    <r>
      <rPr>
        <b/>
        <vertAlign val="superscript"/>
        <sz val="14"/>
        <color rgb="FF0070C0"/>
        <rFont val="Arial"/>
        <family val="2"/>
      </rPr>
      <t>40</t>
    </r>
    <r>
      <rPr>
        <b/>
        <sz val="14"/>
        <color rgb="FF0070C0"/>
        <rFont val="Arial"/>
        <family val="2"/>
      </rPr>
      <t>Ar</t>
    </r>
    <r>
      <rPr>
        <b/>
        <vertAlign val="subscript"/>
        <sz val="14"/>
        <color rgb="FF0070C0"/>
        <rFont val="Arial"/>
        <family val="2"/>
      </rPr>
      <t>tot</t>
    </r>
  </si>
  <si>
    <r>
      <t>±</t>
    </r>
    <r>
      <rPr>
        <b/>
        <vertAlign val="superscript"/>
        <sz val="14"/>
        <color rgb="FF0070C0"/>
        <rFont val="Arial"/>
        <family val="2"/>
      </rPr>
      <t>36</t>
    </r>
    <r>
      <rPr>
        <b/>
        <sz val="14"/>
        <color rgb="FF0070C0"/>
        <rFont val="Arial"/>
        <family val="2"/>
      </rPr>
      <t>Ar</t>
    </r>
    <r>
      <rPr>
        <b/>
        <sz val="14"/>
        <color rgb="FF0070C0"/>
        <rFont val="Arial"/>
        <family val="2"/>
      </rPr>
      <t>/</t>
    </r>
    <r>
      <rPr>
        <b/>
        <vertAlign val="superscript"/>
        <sz val="14"/>
        <color rgb="FF0070C0"/>
        <rFont val="Arial"/>
        <family val="2"/>
      </rPr>
      <t>40</t>
    </r>
    <r>
      <rPr>
        <b/>
        <sz val="14"/>
        <color rgb="FF0070C0"/>
        <rFont val="Arial"/>
        <family val="2"/>
      </rPr>
      <t>Ar</t>
    </r>
    <r>
      <rPr>
        <b/>
        <vertAlign val="subscript"/>
        <sz val="14"/>
        <color rgb="FF0070C0"/>
        <rFont val="Arial"/>
        <family val="2"/>
      </rPr>
      <t>tot</t>
    </r>
    <r>
      <rPr>
        <b/>
        <sz val="14"/>
        <color rgb="FF0070C0"/>
        <rFont val="Arial"/>
        <family val="2"/>
      </rPr>
      <t xml:space="preserve"> </t>
    </r>
  </si>
  <si>
    <r>
      <t>±</t>
    </r>
    <r>
      <rPr>
        <b/>
        <vertAlign val="superscript"/>
        <sz val="14"/>
        <color rgb="FF0070C0"/>
        <rFont val="Arial"/>
        <family val="2"/>
      </rPr>
      <t>40</t>
    </r>
    <r>
      <rPr>
        <b/>
        <sz val="14"/>
        <color rgb="FF0070C0"/>
        <rFont val="Arial"/>
        <family val="2"/>
      </rPr>
      <t>Ar</t>
    </r>
    <r>
      <rPr>
        <b/>
        <vertAlign val="subscript"/>
        <sz val="14"/>
        <color rgb="FF0070C0"/>
        <rFont val="Arial"/>
        <family val="2"/>
      </rPr>
      <t>tot</t>
    </r>
    <r>
      <rPr>
        <b/>
        <sz val="14"/>
        <color rgb="FF0070C0"/>
        <rFont val="Arial"/>
        <family val="2"/>
      </rPr>
      <t>/</t>
    </r>
    <r>
      <rPr>
        <b/>
        <vertAlign val="superscript"/>
        <sz val="14"/>
        <color rgb="FF0070C0"/>
        <rFont val="Arial"/>
        <family val="2"/>
      </rPr>
      <t>36</t>
    </r>
    <r>
      <rPr>
        <b/>
        <sz val="14"/>
        <color rgb="FF0070C0"/>
        <rFont val="Arial"/>
        <family val="2"/>
      </rPr>
      <t>Ar</t>
    </r>
    <r>
      <rPr>
        <b/>
        <sz val="14"/>
        <color rgb="FF0070C0"/>
        <rFont val="Arial"/>
        <family val="2"/>
      </rPr>
      <t xml:space="preserve"> </t>
    </r>
  </si>
  <si>
    <t>Uncorrected Ratios</t>
  </si>
  <si>
    <t>Plateau Plot</t>
  </si>
  <si>
    <t>Updated for specific tube position</t>
  </si>
  <si>
    <t>B1x Bulk</t>
  </si>
  <si>
    <t>L2</t>
  </si>
  <si>
    <t>A1x Bulk</t>
  </si>
  <si>
    <t>B1x Plagioclase</t>
  </si>
  <si>
    <t>need to take average</t>
  </si>
  <si>
    <r>
      <t>Br</t>
    </r>
    <r>
      <rPr>
        <b/>
        <vertAlign val="subscript"/>
        <sz val="14"/>
        <color rgb="FFFF0000"/>
        <rFont val="Arial"/>
        <family val="2"/>
      </rPr>
      <t>79</t>
    </r>
    <r>
      <rPr>
        <b/>
        <sz val="14"/>
        <color rgb="FFFF0000"/>
        <rFont val="Arial"/>
        <family val="2"/>
      </rPr>
      <t xml:space="preserve"> (ppb)  </t>
    </r>
  </si>
  <si>
    <r>
      <t>Br</t>
    </r>
    <r>
      <rPr>
        <b/>
        <vertAlign val="subscript"/>
        <sz val="14"/>
        <color rgb="FFFF0000"/>
        <rFont val="Arial"/>
        <family val="2"/>
      </rPr>
      <t>81</t>
    </r>
    <r>
      <rPr>
        <b/>
        <sz val="14"/>
        <color rgb="FFFF0000"/>
        <rFont val="Arial"/>
        <family val="2"/>
      </rPr>
      <t xml:space="preserve"> (ppb)  </t>
    </r>
  </si>
  <si>
    <t>ArStepHeat3</t>
  </si>
  <si>
    <t>EJ36:EL55</t>
  </si>
  <si>
    <t>Isochron12</t>
  </si>
  <si>
    <t>EQ35:ET55</t>
  </si>
  <si>
    <t>Isochron13</t>
  </si>
  <si>
    <t>EQ40:ET55</t>
  </si>
  <si>
    <t>crushing</t>
  </si>
  <si>
    <t>45z1 crush 1</t>
  </si>
  <si>
    <t>45z1 crush 2</t>
  </si>
  <si>
    <t>125z2</t>
  </si>
  <si>
    <t>1-20%</t>
  </si>
  <si>
    <t>113z1</t>
  </si>
  <si>
    <t>0.7-13.2</t>
  </si>
  <si>
    <t>0.7-13.3</t>
  </si>
  <si>
    <t>99z1</t>
  </si>
  <si>
    <t xml:space="preserve">99z1 </t>
  </si>
  <si>
    <t>44z1</t>
  </si>
  <si>
    <t>60z3 crush</t>
  </si>
  <si>
    <t>64z2 crush</t>
  </si>
  <si>
    <t>44z3</t>
  </si>
  <si>
    <t>43z4</t>
  </si>
  <si>
    <t>44z2</t>
  </si>
  <si>
    <t>36z4</t>
  </si>
  <si>
    <t>60z3 crushed residue</t>
  </si>
  <si>
    <t>64z2 crushed residue</t>
  </si>
  <si>
    <t>43z1</t>
  </si>
  <si>
    <t>45z1 crushed residue</t>
  </si>
  <si>
    <t>44z4</t>
  </si>
  <si>
    <t>MN2022a Irradiation</t>
  </si>
  <si>
    <t>height (mm)</t>
  </si>
  <si>
    <t>err</t>
  </si>
  <si>
    <t>Lagrange interpolation</t>
  </si>
  <si>
    <t>x (height, mm)</t>
  </si>
  <si>
    <t>L1</t>
  </si>
  <si>
    <t>L3</t>
  </si>
  <si>
    <t>Trials</t>
  </si>
  <si>
    <t xml:space="preserve">J =  </t>
  </si>
  <si>
    <t>J (n=1)</t>
  </si>
  <si>
    <t>J (n=500)</t>
  </si>
  <si>
    <t>err_J</t>
  </si>
  <si>
    <t>X</t>
  </si>
  <si>
    <t>Y</t>
  </si>
  <si>
    <t>78235_186_A_2.73mg_splash_10%</t>
  </si>
  <si>
    <t>30z1</t>
  </si>
  <si>
    <t>36Ar (cc/g)</t>
  </si>
  <si>
    <t>39Ar (cc/g)</t>
  </si>
  <si>
    <t>40Ar (cc/g)</t>
  </si>
  <si>
    <t>40Ar* (cc/g)</t>
  </si>
  <si>
    <t>Natural noble gas ratios</t>
  </si>
  <si>
    <t>40Ar/36Ar</t>
  </si>
  <si>
    <t>84Kr/36Ar</t>
  </si>
  <si>
    <t>132Xe/36Ar</t>
  </si>
  <si>
    <t>Ar-Ar ratios</t>
  </si>
  <si>
    <t>39Ar/40Ar</t>
  </si>
  <si>
    <t>36Ar/40Ar</t>
  </si>
  <si>
    <t>39Ar/36Ar</t>
  </si>
  <si>
    <t>Natural noble gas abundances - Argon</t>
  </si>
  <si>
    <t>Krypton</t>
  </si>
  <si>
    <t>Xenon</t>
  </si>
  <si>
    <t>84Kr (cc/g)</t>
  </si>
  <si>
    <t>132Xe (cc/g)</t>
  </si>
  <si>
    <t>130Xe (cc/g)</t>
  </si>
  <si>
    <t>130Xe/36Ar</t>
  </si>
  <si>
    <t>45z1 total</t>
  </si>
  <si>
    <t>56z4 total</t>
  </si>
  <si>
    <t>64z2 total</t>
  </si>
  <si>
    <t>60z3 total</t>
  </si>
  <si>
    <t>40Ar ini (cc/g)</t>
  </si>
  <si>
    <t>40Ar/36Ar ini</t>
  </si>
  <si>
    <t>CaO wt%</t>
  </si>
  <si>
    <t>±CaO</t>
  </si>
  <si>
    <t>Ca wt%</t>
  </si>
  <si>
    <t>±Ca</t>
  </si>
  <si>
    <t>Ca mol</t>
  </si>
  <si>
    <t>±Ca mol</t>
  </si>
  <si>
    <t>slope</t>
  </si>
  <si>
    <t>intercept</t>
  </si>
  <si>
    <t>slope err</t>
  </si>
  <si>
    <t>intercept err</t>
  </si>
  <si>
    <t>r2</t>
  </si>
  <si>
    <t>regression ss</t>
  </si>
  <si>
    <t>s(y)</t>
  </si>
  <si>
    <t>deg freedom</t>
  </si>
  <si>
    <t>residual ss</t>
  </si>
  <si>
    <t>All tubes (T1 S1)</t>
  </si>
  <si>
    <t>All tubes (T3 S3)</t>
  </si>
  <si>
    <t>All tubes (T2 S2)</t>
  </si>
  <si>
    <r>
      <rPr>
        <b/>
        <sz val="16"/>
        <rFont val="Aptos Narrow"/>
        <family val="2"/>
      </rPr>
      <t>Supplementary Data 3</t>
    </r>
    <r>
      <rPr>
        <sz val="16"/>
        <rFont val="Aptos Narrow"/>
        <family val="2"/>
      </rPr>
      <t xml:space="preserve"> - full dataset and processing for whole rock halogens and heavy noble gas isotopes determined by neutron-irradiation noble gas mass spectrometry (NI-NG-MS)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</si>
</sst>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164" formatCode="0.0000"/>
    <numFmt numFmtId="165" formatCode="0.0"/>
    <numFmt numFmtId="166" formatCode="0.000"/>
    <numFmt numFmtId="167" formatCode="0.0E+00"/>
    <numFmt numFmtId="168" formatCode="0.00000"/>
    <numFmt numFmtId="169" formatCode="0.000000"/>
    <numFmt numFmtId="170" formatCode="0E+00"/>
    <numFmt numFmtId="171" formatCode="0.0E+00;\핰"/>
    <numFmt numFmtId="172" formatCode="0.000E+00;\_x0000_"/>
    <numFmt numFmtId="173" formatCode="0.0E+00;\숀"/>
    <numFmt numFmtId="174" formatCode="0.0000E+00"/>
    <numFmt numFmtId="175" formatCode="0.000000E+00"/>
    <numFmt numFmtId="176" formatCode="0.0%"/>
    <numFmt numFmtId="177" formatCode="0.0000000"/>
    <numFmt numFmtId="178" formatCode="#,##0.0"/>
    <numFmt numFmtId="179" formatCode="0.000E+00"/>
    <numFmt numFmtId="180" formatCode="#,##0.000"/>
    <numFmt numFmtId="181" formatCode="#,##0.00000"/>
    <numFmt numFmtId="182" formatCode="0.00000000"/>
  </numFmts>
  <fonts count="93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4"/>
      <color rgb="FF00B050"/>
      <name val="Calibri"/>
      <family val="2"/>
      <scheme val="minor"/>
    </font>
    <font>
      <i/>
      <sz val="14"/>
      <color indexed="10"/>
      <name val="Calibri"/>
      <family val="2"/>
      <scheme val="minor"/>
    </font>
    <font>
      <sz val="10"/>
      <name val="Arial"/>
      <family val="2"/>
    </font>
    <font>
      <sz val="16"/>
      <color theme="1"/>
      <name val="Arial"/>
      <family val="2"/>
    </font>
    <font>
      <sz val="14"/>
      <color theme="1"/>
      <name val="Arial"/>
      <family val="2"/>
    </font>
    <font>
      <sz val="14"/>
      <color indexed="10"/>
      <name val="Arial"/>
      <family val="2"/>
    </font>
    <font>
      <i/>
      <sz val="14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vertAlign val="superscript"/>
      <sz val="14"/>
      <name val="Arial"/>
      <family val="2"/>
    </font>
    <font>
      <sz val="14"/>
      <color indexed="12"/>
      <name val="Arial"/>
      <family val="2"/>
    </font>
    <font>
      <b/>
      <sz val="14"/>
      <color theme="1"/>
      <name val="Arial"/>
      <family val="2"/>
    </font>
    <font>
      <b/>
      <sz val="14"/>
      <color rgb="FF000000"/>
      <name val="Arial"/>
      <family val="2"/>
    </font>
    <font>
      <sz val="14"/>
      <color rgb="FFFF0000"/>
      <name val="Arial"/>
      <family val="2"/>
    </font>
    <font>
      <b/>
      <vertAlign val="superscript"/>
      <sz val="14"/>
      <color theme="1"/>
      <name val="Arial"/>
      <family val="2"/>
    </font>
    <font>
      <b/>
      <vertAlign val="subscript"/>
      <sz val="14"/>
      <color theme="1"/>
      <name val="Arial"/>
      <family val="2"/>
    </font>
    <font>
      <b/>
      <i/>
      <sz val="14"/>
      <name val="Arial"/>
      <family val="2"/>
    </font>
    <font>
      <sz val="14"/>
      <color theme="1"/>
      <name val="Calibri"/>
      <family val="2"/>
      <scheme val="minor"/>
    </font>
    <font>
      <vertAlign val="superscript"/>
      <sz val="14"/>
      <color theme="1"/>
      <name val="Arial"/>
      <family val="2"/>
    </font>
    <font>
      <vertAlign val="subscript"/>
      <sz val="14"/>
      <color theme="1"/>
      <name val="Arial"/>
      <family val="2"/>
    </font>
    <font>
      <sz val="14"/>
      <color theme="1"/>
      <name val="Adobe Hebrew"/>
    </font>
    <font>
      <i/>
      <sz val="14"/>
      <color theme="1"/>
      <name val="Arial"/>
      <family val="2"/>
    </font>
    <font>
      <sz val="14"/>
      <color indexed="17"/>
      <name val="Verdana"/>
      <family val="2"/>
    </font>
    <font>
      <i/>
      <vertAlign val="superscript"/>
      <sz val="14"/>
      <color theme="1"/>
      <name val="Arial"/>
      <family val="2"/>
    </font>
    <font>
      <sz val="14"/>
      <color rgb="FF00B050"/>
      <name val="Arial"/>
      <family val="2"/>
    </font>
    <font>
      <b/>
      <i/>
      <sz val="14"/>
      <color theme="1"/>
      <name val="Arial"/>
      <family val="2"/>
    </font>
    <font>
      <b/>
      <sz val="14"/>
      <color rgb="FF00B050"/>
      <name val="Arial"/>
      <family val="2"/>
    </font>
    <font>
      <b/>
      <sz val="14"/>
      <color rgb="FFFF0000"/>
      <name val="Arial"/>
      <family val="2"/>
    </font>
    <font>
      <b/>
      <i/>
      <sz val="14"/>
      <color rgb="FFFF0000"/>
      <name val="Arial"/>
      <family val="2"/>
    </font>
    <font>
      <b/>
      <i/>
      <sz val="14"/>
      <color rgb="FF00B050"/>
      <name val="Arial"/>
      <family val="2"/>
    </font>
    <font>
      <b/>
      <vertAlign val="superscript"/>
      <sz val="14"/>
      <color rgb="FFFF0000"/>
      <name val="Arial"/>
      <family val="2"/>
    </font>
    <font>
      <b/>
      <vertAlign val="subscript"/>
      <sz val="14"/>
      <color rgb="FFFF0000"/>
      <name val="Arial"/>
      <family val="2"/>
    </font>
    <font>
      <b/>
      <sz val="14"/>
      <color rgb="FFFF0000"/>
      <name val="Calibri"/>
      <family val="2"/>
    </font>
    <font>
      <b/>
      <sz val="14"/>
      <color rgb="FF0070C0"/>
      <name val="Arial"/>
      <family val="2"/>
    </font>
    <font>
      <b/>
      <vertAlign val="superscript"/>
      <sz val="14"/>
      <color rgb="FF0070C0"/>
      <name val="Arial"/>
      <family val="2"/>
    </font>
    <font>
      <sz val="14"/>
      <color rgb="FF0070C0"/>
      <name val="Arial"/>
      <family val="2"/>
    </font>
    <font>
      <b/>
      <i/>
      <sz val="14"/>
      <color rgb="FF0070C0"/>
      <name val="Arial"/>
      <family val="2"/>
    </font>
    <font>
      <b/>
      <vertAlign val="superscript"/>
      <sz val="14"/>
      <color rgb="FF0070C0"/>
      <name val="Calibri"/>
      <family val="2"/>
    </font>
    <font>
      <b/>
      <sz val="14"/>
      <color rgb="FF0070C0"/>
      <name val="Calibri"/>
      <family val="2"/>
    </font>
    <font>
      <b/>
      <vertAlign val="subscript"/>
      <sz val="14"/>
      <color rgb="FF0070C0"/>
      <name val="Arial"/>
      <family val="2"/>
    </font>
    <font>
      <i/>
      <sz val="14"/>
      <color rgb="FF0070C0"/>
      <name val="Arial"/>
      <family val="2"/>
    </font>
    <font>
      <b/>
      <i/>
      <sz val="14"/>
      <color rgb="FF00B050"/>
      <name val="Calibri"/>
      <family val="2"/>
    </font>
    <font>
      <b/>
      <i/>
      <vertAlign val="subscript"/>
      <sz val="14"/>
      <color rgb="FF00B050"/>
      <name val="Arial"/>
      <family val="2"/>
    </font>
    <font>
      <b/>
      <i/>
      <vertAlign val="superscript"/>
      <sz val="14"/>
      <color rgb="FF00B050"/>
      <name val="Arial"/>
      <family val="2"/>
    </font>
    <font>
      <i/>
      <sz val="14"/>
      <color rgb="FF00B050"/>
      <name val="Arial"/>
      <family val="2"/>
    </font>
    <font>
      <i/>
      <sz val="14"/>
      <color rgb="FFFF0000"/>
      <name val="Arial"/>
      <family val="2"/>
    </font>
    <font>
      <sz val="11"/>
      <color theme="1"/>
      <name val="Calibri"/>
      <family val="2"/>
      <scheme val="minor"/>
    </font>
    <font>
      <b/>
      <vertAlign val="superscript"/>
      <sz val="14"/>
      <color rgb="FF00B050"/>
      <name val="Arial"/>
      <family val="2"/>
    </font>
    <font>
      <i/>
      <sz val="14"/>
      <color rgb="FF00B0F0"/>
      <name val="Arial"/>
      <family val="2"/>
    </font>
    <font>
      <b/>
      <sz val="11"/>
      <color theme="1"/>
      <name val="Calibri"/>
      <family val="2"/>
      <scheme val="minor"/>
    </font>
    <font>
      <i/>
      <sz val="14"/>
      <color theme="0" tint="-0.249977111117893"/>
      <name val="Arial"/>
      <family val="2"/>
    </font>
    <font>
      <b/>
      <sz val="14"/>
      <color theme="0" tint="-0.249977111117893"/>
      <name val="Arial"/>
      <family val="2"/>
    </font>
    <font>
      <sz val="14"/>
      <color theme="0" tint="-0.249977111117893"/>
      <name val="Arial"/>
      <family val="2"/>
    </font>
    <font>
      <b/>
      <sz val="14"/>
      <color rgb="FF0070C0"/>
      <name val="Cambria"/>
      <family val="1"/>
    </font>
    <font>
      <b/>
      <sz val="9.8000000000000007"/>
      <color rgb="FF0070C0"/>
      <name val="Cambria"/>
      <family val="1"/>
    </font>
    <font>
      <sz val="11"/>
      <color indexed="8"/>
      <name val="Calibri"/>
      <family val="2"/>
    </font>
    <font>
      <sz val="10"/>
      <name val="Verdana"/>
      <family val="2"/>
    </font>
    <font>
      <sz val="8"/>
      <name val="Verdana"/>
      <family val="2"/>
    </font>
    <font>
      <sz val="14"/>
      <color theme="3" tint="0.39997558519241921"/>
      <name val="Arial"/>
      <family val="2"/>
    </font>
    <font>
      <b/>
      <sz val="14"/>
      <color theme="3" tint="0.39997558519241921"/>
      <name val="Arial"/>
      <family val="2"/>
    </font>
    <font>
      <sz val="12"/>
      <color theme="1"/>
      <name val="Arial"/>
      <family val="2"/>
    </font>
    <font>
      <sz val="11"/>
      <color theme="1" tint="0.499984740745262"/>
      <name val="Calibri"/>
      <family val="2"/>
      <scheme val="minor"/>
    </font>
    <font>
      <sz val="12"/>
      <color theme="1" tint="0.499984740745262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4"/>
      <color theme="0" tint="-0.249977111117893"/>
      <name val="Arial"/>
      <family val="2"/>
    </font>
    <font>
      <i/>
      <sz val="14"/>
      <color theme="0" tint="-0.499984740745262"/>
      <name val="Arial"/>
      <family val="2"/>
    </font>
    <font>
      <b/>
      <sz val="11"/>
      <color theme="1"/>
      <name val="Calibri Light"/>
      <family val="2"/>
    </font>
    <font>
      <b/>
      <i/>
      <sz val="11"/>
      <color theme="1"/>
      <name val="Calibri Light"/>
      <family val="2"/>
    </font>
    <font>
      <sz val="12"/>
      <color rgb="FFFF4013"/>
      <name val="Arial"/>
      <family val="2"/>
    </font>
    <font>
      <u/>
      <sz val="14"/>
      <color theme="0" tint="-0.249977111117893"/>
      <name val="Arial"/>
      <family val="2"/>
    </font>
    <font>
      <u/>
      <sz val="14"/>
      <name val="Arial"/>
      <family val="2"/>
    </font>
    <font>
      <u/>
      <sz val="14"/>
      <color rgb="FF0070C0"/>
      <name val="Arial"/>
      <family val="2"/>
    </font>
    <font>
      <sz val="14"/>
      <color theme="1" tint="0.499984740745262"/>
      <name val="Arial"/>
      <family val="2"/>
    </font>
    <font>
      <b/>
      <sz val="14"/>
      <color theme="1" tint="0.499984740745262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theme="0" tint="-0.34998626667073579"/>
      <name val="Calibri"/>
      <family val="2"/>
      <scheme val="minor"/>
    </font>
    <font>
      <sz val="11"/>
      <color theme="0" tint="-0.249977111117893"/>
      <name val="Calibri"/>
      <family val="2"/>
      <scheme val="minor"/>
    </font>
    <font>
      <b/>
      <sz val="14"/>
      <color rgb="FF00B0F0"/>
      <name val="Arial"/>
      <family val="2"/>
    </font>
    <font>
      <sz val="14"/>
      <color rgb="FF00B0F0"/>
      <name val="Arial"/>
      <family val="2"/>
    </font>
    <font>
      <sz val="14"/>
      <color rgb="FFFF0000"/>
      <name val="Arial"/>
      <family val="2"/>
      <charset val="1"/>
    </font>
    <font>
      <sz val="14"/>
      <color rgb="FF0070C0"/>
      <name val="Arial"/>
      <family val="2"/>
      <charset val="1"/>
    </font>
    <font>
      <i/>
      <sz val="14"/>
      <color theme="3" tint="0.39997558519241921"/>
      <name val="Arial"/>
      <family val="2"/>
    </font>
    <font>
      <b/>
      <i/>
      <sz val="14"/>
      <color theme="3" tint="0.39997558519241921"/>
      <name val="Arial"/>
      <family val="2"/>
    </font>
    <font>
      <sz val="16"/>
      <name val="Aptos Narrow"/>
      <family val="2"/>
    </font>
    <font>
      <b/>
      <sz val="16"/>
      <name val="Aptos Narrow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31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164" fontId="5" fillId="0" borderId="6" applyBorder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6" fillId="0" borderId="0" applyBorder="0"/>
    <xf numFmtId="11" fontId="5" fillId="0" borderId="6" applyBorder="0"/>
    <xf numFmtId="0" fontId="7" fillId="0" borderId="0"/>
    <xf numFmtId="0" fontId="1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9" fontId="51" fillId="0" borderId="0" applyFont="0" applyFill="0" applyBorder="0" applyAlignment="0" applyProtection="0"/>
    <xf numFmtId="0" fontId="60" fillId="0" borderId="0"/>
    <xf numFmtId="0" fontId="51" fillId="0" borderId="0"/>
    <xf numFmtId="0" fontId="60" fillId="0" borderId="0"/>
    <xf numFmtId="0" fontId="61" fillId="0" borderId="0"/>
    <xf numFmtId="9" fontId="62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800">
    <xf numFmtId="0" fontId="0" fillId="0" borderId="0" xfId="0"/>
    <xf numFmtId="0" fontId="9" fillId="0" borderId="0" xfId="0" applyFont="1" applyAlignment="1">
      <alignment horizontal="center"/>
    </xf>
    <xf numFmtId="0" fontId="12" fillId="0" borderId="0" xfId="0" applyFont="1" applyAlignment="1">
      <alignment horizontal="center" wrapText="1"/>
    </xf>
    <xf numFmtId="11" fontId="18" fillId="0" borderId="0" xfId="0" applyNumberFormat="1" applyFont="1" applyAlignment="1">
      <alignment horizontal="center"/>
    </xf>
    <xf numFmtId="165" fontId="18" fillId="0" borderId="0" xfId="0" applyNumberFormat="1" applyFont="1" applyAlignment="1">
      <alignment horizontal="center"/>
    </xf>
    <xf numFmtId="0" fontId="18" fillId="0" borderId="0" xfId="0" applyFont="1" applyAlignment="1">
      <alignment horizontal="center"/>
    </xf>
    <xf numFmtId="2" fontId="18" fillId="0" borderId="0" xfId="0" applyNumberFormat="1" applyFont="1" applyAlignment="1">
      <alignment horizontal="center"/>
    </xf>
    <xf numFmtId="166" fontId="18" fillId="0" borderId="0" xfId="0" applyNumberFormat="1" applyFont="1" applyAlignment="1">
      <alignment horizontal="center"/>
    </xf>
    <xf numFmtId="164" fontId="18" fillId="0" borderId="0" xfId="0" applyNumberFormat="1" applyFont="1" applyAlignment="1">
      <alignment horizontal="center"/>
    </xf>
    <xf numFmtId="169" fontId="10" fillId="0" borderId="0" xfId="0" applyNumberFormat="1" applyFont="1" applyAlignment="1">
      <alignment horizontal="center"/>
    </xf>
    <xf numFmtId="11" fontId="15" fillId="0" borderId="0" xfId="0" applyNumberFormat="1" applyFont="1" applyAlignment="1">
      <alignment horizontal="center"/>
    </xf>
    <xf numFmtId="11" fontId="14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/>
    <xf numFmtId="0" fontId="17" fillId="0" borderId="10" xfId="0" applyFont="1" applyBorder="1" applyAlignment="1">
      <alignment horizontal="left"/>
    </xf>
    <xf numFmtId="0" fontId="9" fillId="0" borderId="0" xfId="0" applyFont="1" applyAlignment="1">
      <alignment horizontal="left" wrapText="1"/>
    </xf>
    <xf numFmtId="0" fontId="9" fillId="0" borderId="0" xfId="0" applyFont="1" applyAlignment="1">
      <alignment horizontal="center" wrapText="1"/>
    </xf>
    <xf numFmtId="0" fontId="16" fillId="0" borderId="0" xfId="0" applyFont="1" applyAlignment="1">
      <alignment horizontal="center" wrapText="1"/>
    </xf>
    <xf numFmtId="2" fontId="25" fillId="0" borderId="0" xfId="0" applyNumberFormat="1" applyFont="1" applyAlignment="1">
      <alignment horizontal="center" wrapText="1"/>
    </xf>
    <xf numFmtId="0" fontId="25" fillId="0" borderId="0" xfId="0" applyFont="1" applyAlignment="1">
      <alignment horizontal="center" wrapText="1"/>
    </xf>
    <xf numFmtId="2" fontId="9" fillId="0" borderId="0" xfId="0" applyNumberFormat="1" applyFont="1" applyAlignment="1">
      <alignment horizontal="center" wrapText="1"/>
    </xf>
    <xf numFmtId="0" fontId="16" fillId="0" borderId="10" xfId="0" applyFont="1" applyBorder="1" applyAlignment="1">
      <alignment horizontal="left" wrapText="1"/>
    </xf>
    <xf numFmtId="0" fontId="16" fillId="0" borderId="10" xfId="0" applyFont="1" applyBorder="1" applyAlignment="1">
      <alignment horizontal="center" wrapText="1"/>
    </xf>
    <xf numFmtId="0" fontId="9" fillId="0" borderId="0" xfId="0" applyFont="1" applyAlignment="1">
      <alignment wrapText="1"/>
    </xf>
    <xf numFmtId="0" fontId="22" fillId="0" borderId="0" xfId="0" applyFont="1" applyAlignment="1">
      <alignment wrapText="1"/>
    </xf>
    <xf numFmtId="0" fontId="9" fillId="0" borderId="10" xfId="0" applyFont="1" applyBorder="1" applyAlignment="1">
      <alignment horizontal="center" wrapText="1"/>
    </xf>
    <xf numFmtId="0" fontId="22" fillId="0" borderId="10" xfId="0" applyFont="1" applyBorder="1" applyAlignment="1">
      <alignment wrapText="1"/>
    </xf>
    <xf numFmtId="0" fontId="26" fillId="0" borderId="0" xfId="0" applyFont="1" applyAlignment="1">
      <alignment horizontal="left" wrapText="1"/>
    </xf>
    <xf numFmtId="172" fontId="9" fillId="0" borderId="0" xfId="0" applyNumberFormat="1" applyFont="1" applyAlignment="1">
      <alignment horizontal="center" wrapText="1"/>
    </xf>
    <xf numFmtId="11" fontId="9" fillId="0" borderId="0" xfId="0" applyNumberFormat="1" applyFont="1" applyAlignment="1">
      <alignment horizontal="center" wrapText="1"/>
    </xf>
    <xf numFmtId="168" fontId="9" fillId="0" borderId="0" xfId="0" applyNumberFormat="1" applyFont="1" applyAlignment="1">
      <alignment horizontal="center" wrapText="1"/>
    </xf>
    <xf numFmtId="166" fontId="9" fillId="0" borderId="0" xfId="0" applyNumberFormat="1" applyFont="1" applyAlignment="1">
      <alignment horizontal="center" wrapText="1"/>
    </xf>
    <xf numFmtId="0" fontId="23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wrapText="1"/>
    </xf>
    <xf numFmtId="0" fontId="16" fillId="0" borderId="0" xfId="0" applyFont="1" applyAlignment="1">
      <alignment horizontal="left" wrapText="1"/>
    </xf>
    <xf numFmtId="167" fontId="27" fillId="0" borderId="0" xfId="0" applyNumberFormat="1" applyFont="1" applyAlignment="1">
      <alignment wrapText="1"/>
    </xf>
    <xf numFmtId="11" fontId="27" fillId="0" borderId="0" xfId="0" applyNumberFormat="1" applyFont="1" applyAlignment="1">
      <alignment wrapText="1"/>
    </xf>
    <xf numFmtId="170" fontId="27" fillId="0" borderId="0" xfId="0" applyNumberFormat="1" applyFont="1" applyAlignment="1">
      <alignment wrapText="1"/>
    </xf>
    <xf numFmtId="0" fontId="27" fillId="0" borderId="0" xfId="0" applyFont="1" applyAlignment="1">
      <alignment wrapText="1"/>
    </xf>
    <xf numFmtId="164" fontId="9" fillId="0" borderId="0" xfId="0" applyNumberFormat="1" applyFont="1" applyAlignment="1">
      <alignment horizontal="center" wrapText="1"/>
    </xf>
    <xf numFmtId="167" fontId="9" fillId="0" borderId="0" xfId="0" applyNumberFormat="1" applyFont="1" applyAlignment="1">
      <alignment horizont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vertical="center" wrapText="1"/>
    </xf>
    <xf numFmtId="171" fontId="9" fillId="0" borderId="0" xfId="0" applyNumberFormat="1" applyFont="1" applyAlignment="1">
      <alignment horizontal="center" wrapText="1"/>
    </xf>
    <xf numFmtId="2" fontId="12" fillId="0" borderId="0" xfId="0" applyNumberFormat="1" applyFont="1" applyAlignment="1">
      <alignment horizontal="center" wrapText="1"/>
    </xf>
    <xf numFmtId="0" fontId="12" fillId="0" borderId="0" xfId="0" applyFont="1" applyAlignment="1">
      <alignment horizontal="left" wrapText="1"/>
    </xf>
    <xf numFmtId="166" fontId="12" fillId="0" borderId="0" xfId="0" applyNumberFormat="1" applyFont="1" applyAlignment="1">
      <alignment horizontal="center" wrapText="1"/>
    </xf>
    <xf numFmtId="174" fontId="9" fillId="0" borderId="0" xfId="0" applyNumberFormat="1" applyFont="1" applyAlignment="1">
      <alignment horizontal="center" wrapText="1"/>
    </xf>
    <xf numFmtId="0" fontId="23" fillId="0" borderId="0" xfId="0" applyFont="1" applyAlignment="1">
      <alignment horizontal="left" wrapText="1"/>
    </xf>
    <xf numFmtId="170" fontId="27" fillId="0" borderId="10" xfId="0" applyNumberFormat="1" applyFont="1" applyBorder="1" applyAlignment="1">
      <alignment wrapText="1"/>
    </xf>
    <xf numFmtId="0" fontId="27" fillId="0" borderId="10" xfId="0" applyFont="1" applyBorder="1" applyAlignment="1">
      <alignment wrapText="1"/>
    </xf>
    <xf numFmtId="0" fontId="13" fillId="0" borderId="0" xfId="0" applyFont="1" applyAlignment="1">
      <alignment horizontal="center" wrapText="1"/>
    </xf>
    <xf numFmtId="0" fontId="12" fillId="0" borderId="10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8" fillId="0" borderId="10" xfId="0" applyFont="1" applyBorder="1" applyAlignment="1">
      <alignment horizontal="center" wrapText="1"/>
    </xf>
    <xf numFmtId="2" fontId="13" fillId="0" borderId="0" xfId="0" applyNumberFormat="1" applyFont="1" applyAlignment="1">
      <alignment horizontal="center" wrapText="1"/>
    </xf>
    <xf numFmtId="0" fontId="13" fillId="0" borderId="0" xfId="0" applyFont="1" applyAlignment="1">
      <alignment horizontal="left" wrapText="1"/>
    </xf>
    <xf numFmtId="11" fontId="13" fillId="0" borderId="0" xfId="0" applyNumberFormat="1" applyFont="1" applyAlignment="1">
      <alignment horizontal="center" wrapText="1"/>
    </xf>
    <xf numFmtId="2" fontId="16" fillId="0" borderId="0" xfId="0" applyNumberFormat="1" applyFont="1" applyAlignment="1">
      <alignment horizontal="center" wrapText="1"/>
    </xf>
    <xf numFmtId="1" fontId="9" fillId="0" borderId="0" xfId="0" applyNumberFormat="1" applyFont="1" applyAlignment="1">
      <alignment horizontal="center" wrapText="1"/>
    </xf>
    <xf numFmtId="167" fontId="18" fillId="0" borderId="0" xfId="0" applyNumberFormat="1" applyFont="1" applyAlignment="1">
      <alignment horizontal="center"/>
    </xf>
    <xf numFmtId="171" fontId="16" fillId="0" borderId="0" xfId="0" applyNumberFormat="1" applyFont="1" applyAlignment="1">
      <alignment horizontal="center" wrapText="1"/>
    </xf>
    <xf numFmtId="0" fontId="29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26" fillId="0" borderId="0" xfId="0" applyFont="1"/>
    <xf numFmtId="0" fontId="33" fillId="0" borderId="0" xfId="0" applyFont="1" applyAlignment="1">
      <alignment vertical="center"/>
    </xf>
    <xf numFmtId="168" fontId="18" fillId="0" borderId="0" xfId="0" applyNumberFormat="1" applyFont="1" applyAlignment="1">
      <alignment horizontal="center"/>
    </xf>
    <xf numFmtId="14" fontId="18" fillId="0" borderId="0" xfId="0" applyNumberFormat="1" applyFont="1" applyAlignment="1">
      <alignment horizontal="center"/>
    </xf>
    <xf numFmtId="2" fontId="18" fillId="0" borderId="0" xfId="0" applyNumberFormat="1" applyFont="1" applyAlignment="1">
      <alignment horizontal="center" vertical="center" wrapText="1"/>
    </xf>
    <xf numFmtId="164" fontId="32" fillId="0" borderId="8" xfId="0" applyNumberFormat="1" applyFont="1" applyBorder="1" applyAlignment="1">
      <alignment horizontal="center"/>
    </xf>
    <xf numFmtId="164" fontId="32" fillId="0" borderId="10" xfId="0" applyNumberFormat="1" applyFont="1" applyBorder="1" applyAlignment="1">
      <alignment horizontal="center"/>
    </xf>
    <xf numFmtId="164" fontId="32" fillId="0" borderId="9" xfId="0" applyNumberFormat="1" applyFont="1" applyBorder="1" applyAlignment="1">
      <alignment horizontal="center"/>
    </xf>
    <xf numFmtId="166" fontId="35" fillId="0" borderId="8" xfId="0" applyNumberFormat="1" applyFont="1" applyBorder="1" applyAlignment="1">
      <alignment horizontal="center"/>
    </xf>
    <xf numFmtId="166" fontId="32" fillId="0" borderId="10" xfId="0" applyNumberFormat="1" applyFont="1" applyBorder="1" applyAlignment="1">
      <alignment horizontal="center"/>
    </xf>
    <xf numFmtId="166" fontId="35" fillId="0" borderId="10" xfId="0" applyNumberFormat="1" applyFont="1" applyBorder="1" applyAlignment="1">
      <alignment horizontal="center"/>
    </xf>
    <xf numFmtId="165" fontId="32" fillId="0" borderId="10" xfId="0" applyNumberFormat="1" applyFont="1" applyBorder="1" applyAlignment="1">
      <alignment horizontal="center"/>
    </xf>
    <xf numFmtId="166" fontId="32" fillId="0" borderId="9" xfId="0" applyNumberFormat="1" applyFont="1" applyBorder="1" applyAlignment="1">
      <alignment horizontal="center"/>
    </xf>
    <xf numFmtId="168" fontId="35" fillId="0" borderId="8" xfId="0" applyNumberFormat="1" applyFont="1" applyBorder="1" applyAlignment="1">
      <alignment horizontal="center"/>
    </xf>
    <xf numFmtId="168" fontId="32" fillId="0" borderId="10" xfId="0" applyNumberFormat="1" applyFont="1" applyBorder="1" applyAlignment="1">
      <alignment horizontal="center"/>
    </xf>
    <xf numFmtId="168" fontId="35" fillId="0" borderId="10" xfId="0" applyNumberFormat="1" applyFont="1" applyBorder="1" applyAlignment="1">
      <alignment horizontal="center"/>
    </xf>
    <xf numFmtId="168" fontId="32" fillId="0" borderId="9" xfId="0" applyNumberFormat="1" applyFont="1" applyBorder="1" applyAlignment="1">
      <alignment horizontal="center"/>
    </xf>
    <xf numFmtId="0" fontId="32" fillId="0" borderId="8" xfId="0" applyFont="1" applyBorder="1" applyAlignment="1">
      <alignment horizontal="center"/>
    </xf>
    <xf numFmtId="0" fontId="32" fillId="0" borderId="10" xfId="0" applyFont="1" applyBorder="1" applyAlignment="1">
      <alignment horizontal="center"/>
    </xf>
    <xf numFmtId="2" fontId="32" fillId="0" borderId="10" xfId="0" applyNumberFormat="1" applyFont="1" applyBorder="1" applyAlignment="1">
      <alignment horizontal="center"/>
    </xf>
    <xf numFmtId="2" fontId="32" fillId="0" borderId="9" xfId="0" applyNumberFormat="1" applyFont="1" applyBorder="1" applyAlignment="1">
      <alignment horizontal="center"/>
    </xf>
    <xf numFmtId="0" fontId="18" fillId="0" borderId="0" xfId="0" applyFont="1"/>
    <xf numFmtId="164" fontId="32" fillId="0" borderId="4" xfId="0" applyNumberFormat="1" applyFont="1" applyBorder="1" applyAlignment="1">
      <alignment horizontal="center"/>
    </xf>
    <xf numFmtId="164" fontId="32" fillId="0" borderId="5" xfId="0" applyNumberFormat="1" applyFont="1" applyBorder="1" applyAlignment="1">
      <alignment horizontal="center"/>
    </xf>
    <xf numFmtId="0" fontId="32" fillId="0" borderId="3" xfId="0" applyFont="1" applyBorder="1" applyAlignment="1">
      <alignment horizontal="center"/>
    </xf>
    <xf numFmtId="0" fontId="35" fillId="0" borderId="8" xfId="0" applyFont="1" applyBorder="1" applyAlignment="1">
      <alignment horizontal="center"/>
    </xf>
    <xf numFmtId="0" fontId="35" fillId="0" borderId="3" xfId="0" applyFont="1" applyBorder="1" applyAlignment="1">
      <alignment horizontal="center"/>
    </xf>
    <xf numFmtId="0" fontId="35" fillId="0" borderId="5" xfId="0" applyFont="1" applyBorder="1" applyAlignment="1">
      <alignment horizontal="center"/>
    </xf>
    <xf numFmtId="0" fontId="32" fillId="0" borderId="4" xfId="0" applyFont="1" applyBorder="1" applyAlignment="1">
      <alignment horizontal="center"/>
    </xf>
    <xf numFmtId="0" fontId="32" fillId="0" borderId="5" xfId="0" applyFont="1" applyBorder="1" applyAlignment="1">
      <alignment horizontal="center" wrapText="1"/>
    </xf>
    <xf numFmtId="14" fontId="32" fillId="0" borderId="10" xfId="0" applyNumberFormat="1" applyFont="1" applyBorder="1" applyAlignment="1">
      <alignment horizontal="center"/>
    </xf>
    <xf numFmtId="0" fontId="32" fillId="0" borderId="9" xfId="0" applyFont="1" applyBorder="1" applyAlignment="1">
      <alignment horizontal="center"/>
    </xf>
    <xf numFmtId="165" fontId="35" fillId="0" borderId="8" xfId="0" applyNumberFormat="1" applyFont="1" applyBorder="1" applyAlignment="1">
      <alignment horizontal="center"/>
    </xf>
    <xf numFmtId="165" fontId="35" fillId="0" borderId="10" xfId="0" applyNumberFormat="1" applyFont="1" applyBorder="1" applyAlignment="1">
      <alignment horizontal="center"/>
    </xf>
    <xf numFmtId="2" fontId="35" fillId="0" borderId="10" xfId="0" applyNumberFormat="1" applyFont="1" applyBorder="1" applyAlignment="1">
      <alignment horizontal="center"/>
    </xf>
    <xf numFmtId="14" fontId="32" fillId="0" borderId="4" xfId="0" applyNumberFormat="1" applyFont="1" applyBorder="1" applyAlignment="1">
      <alignment horizontal="center"/>
    </xf>
    <xf numFmtId="0" fontId="32" fillId="0" borderId="5" xfId="0" applyFont="1" applyBorder="1" applyAlignment="1">
      <alignment horizontal="center"/>
    </xf>
    <xf numFmtId="0" fontId="21" fillId="0" borderId="0" xfId="0" applyFont="1" applyAlignment="1">
      <alignment vertical="center"/>
    </xf>
    <xf numFmtId="14" fontId="11" fillId="0" borderId="0" xfId="0" applyNumberFormat="1" applyFont="1" applyAlignment="1">
      <alignment horizontal="center"/>
    </xf>
    <xf numFmtId="0" fontId="31" fillId="0" borderId="10" xfId="0" applyFont="1" applyBorder="1" applyAlignment="1">
      <alignment horizontal="center"/>
    </xf>
    <xf numFmtId="0" fontId="31" fillId="0" borderId="9" xfId="0" applyFont="1" applyBorder="1" applyAlignment="1">
      <alignment horizontal="center"/>
    </xf>
    <xf numFmtId="0" fontId="11" fillId="0" borderId="0" xfId="0" applyFont="1" applyAlignment="1">
      <alignment horizontal="left"/>
    </xf>
    <xf numFmtId="0" fontId="34" fillId="0" borderId="3" xfId="0" applyFont="1" applyBorder="1" applyAlignment="1">
      <alignment horizontal="center"/>
    </xf>
    <xf numFmtId="0" fontId="34" fillId="0" borderId="4" xfId="0" applyFont="1" applyBorder="1" applyAlignment="1">
      <alignment horizontal="center"/>
    </xf>
    <xf numFmtId="0" fontId="34" fillId="0" borderId="5" xfId="0" applyFont="1" applyBorder="1" applyAlignment="1">
      <alignment horizontal="center"/>
    </xf>
    <xf numFmtId="11" fontId="29" fillId="0" borderId="0" xfId="0" applyNumberFormat="1" applyFont="1" applyAlignment="1">
      <alignment horizontal="center"/>
    </xf>
    <xf numFmtId="2" fontId="32" fillId="0" borderId="4" xfId="0" applyNumberFormat="1" applyFont="1" applyBorder="1" applyAlignment="1">
      <alignment horizontal="center" vertical="center"/>
    </xf>
    <xf numFmtId="0" fontId="33" fillId="0" borderId="0" xfId="0" applyFont="1" applyAlignment="1">
      <alignment horizontal="center"/>
    </xf>
    <xf numFmtId="166" fontId="35" fillId="0" borderId="3" xfId="0" applyNumberFormat="1" applyFont="1" applyBorder="1" applyAlignment="1">
      <alignment horizontal="center" vertical="center"/>
    </xf>
    <xf numFmtId="166" fontId="32" fillId="0" borderId="4" xfId="0" applyNumberFormat="1" applyFont="1" applyBorder="1" applyAlignment="1">
      <alignment horizontal="center" vertical="center"/>
    </xf>
    <xf numFmtId="166" fontId="35" fillId="0" borderId="4" xfId="0" applyNumberFormat="1" applyFont="1" applyBorder="1" applyAlignment="1">
      <alignment horizontal="center" vertical="center"/>
    </xf>
    <xf numFmtId="165" fontId="32" fillId="0" borderId="4" xfId="0" applyNumberFormat="1" applyFont="1" applyBorder="1" applyAlignment="1">
      <alignment horizontal="center" vertical="center"/>
    </xf>
    <xf numFmtId="166" fontId="32" fillId="0" borderId="5" xfId="0" applyNumberFormat="1" applyFont="1" applyBorder="1" applyAlignment="1">
      <alignment horizontal="center" vertical="center"/>
    </xf>
    <xf numFmtId="0" fontId="32" fillId="0" borderId="0" xfId="0" applyFont="1" applyAlignment="1">
      <alignment horizontal="center"/>
    </xf>
    <xf numFmtId="2" fontId="32" fillId="0" borderId="0" xfId="0" applyNumberFormat="1" applyFont="1" applyAlignment="1">
      <alignment horizontal="center"/>
    </xf>
    <xf numFmtId="0" fontId="32" fillId="0" borderId="0" xfId="0" applyFont="1"/>
    <xf numFmtId="0" fontId="31" fillId="0" borderId="8" xfId="0" applyFont="1" applyBorder="1" applyAlignment="1">
      <alignment horizontal="center"/>
    </xf>
    <xf numFmtId="171" fontId="32" fillId="0" borderId="0" xfId="0" applyNumberFormat="1" applyFont="1" applyAlignment="1">
      <alignment horizontal="center" wrapText="1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175" fontId="9" fillId="0" borderId="0" xfId="0" applyNumberFormat="1" applyFont="1" applyAlignment="1">
      <alignment wrapText="1"/>
    </xf>
    <xf numFmtId="165" fontId="39" fillId="0" borderId="3" xfId="0" applyNumberFormat="1" applyFont="1" applyBorder="1" applyAlignment="1">
      <alignment horizontal="center"/>
    </xf>
    <xf numFmtId="165" fontId="38" fillId="0" borderId="4" xfId="0" applyNumberFormat="1" applyFont="1" applyBorder="1" applyAlignment="1">
      <alignment horizontal="center"/>
    </xf>
    <xf numFmtId="165" fontId="39" fillId="0" borderId="4" xfId="0" applyNumberFormat="1" applyFont="1" applyBorder="1" applyAlignment="1">
      <alignment horizontal="center"/>
    </xf>
    <xf numFmtId="2" fontId="39" fillId="0" borderId="4" xfId="0" applyNumberFormat="1" applyFont="1" applyBorder="1" applyAlignment="1">
      <alignment horizontal="center"/>
    </xf>
    <xf numFmtId="2" fontId="38" fillId="0" borderId="4" xfId="0" applyNumberFormat="1" applyFont="1" applyBorder="1" applyAlignment="1">
      <alignment horizontal="center"/>
    </xf>
    <xf numFmtId="166" fontId="39" fillId="0" borderId="4" xfId="0" applyNumberFormat="1" applyFont="1" applyBorder="1" applyAlignment="1">
      <alignment horizontal="center"/>
    </xf>
    <xf numFmtId="166" fontId="38" fillId="0" borderId="4" xfId="0" applyNumberFormat="1" applyFont="1" applyBorder="1" applyAlignment="1">
      <alignment horizontal="center"/>
    </xf>
    <xf numFmtId="166" fontId="38" fillId="0" borderId="5" xfId="0" applyNumberFormat="1" applyFont="1" applyBorder="1" applyAlignment="1">
      <alignment horizontal="center"/>
    </xf>
    <xf numFmtId="165" fontId="40" fillId="0" borderId="0" xfId="0" applyNumberFormat="1" applyFont="1" applyAlignment="1">
      <alignment horizontal="center"/>
    </xf>
    <xf numFmtId="0" fontId="40" fillId="0" borderId="0" xfId="0" applyFont="1" applyAlignment="1">
      <alignment horizontal="center"/>
    </xf>
    <xf numFmtId="0" fontId="38" fillId="0" borderId="5" xfId="0" applyFont="1" applyBorder="1" applyAlignment="1">
      <alignment horizontal="center"/>
    </xf>
    <xf numFmtId="0" fontId="39" fillId="0" borderId="10" xfId="0" applyFont="1" applyBorder="1" applyAlignment="1">
      <alignment horizontal="center"/>
    </xf>
    <xf numFmtId="0" fontId="38" fillId="0" borderId="10" xfId="0" applyFont="1" applyBorder="1" applyAlignment="1">
      <alignment horizontal="center"/>
    </xf>
    <xf numFmtId="0" fontId="38" fillId="0" borderId="9" xfId="0" applyFont="1" applyBorder="1" applyAlignment="1">
      <alignment horizontal="center"/>
    </xf>
    <xf numFmtId="0" fontId="40" fillId="0" borderId="0" xfId="0" applyFont="1"/>
    <xf numFmtId="0" fontId="39" fillId="0" borderId="3" xfId="0" applyFont="1" applyBorder="1" applyAlignment="1">
      <alignment horizontal="center"/>
    </xf>
    <xf numFmtId="0" fontId="38" fillId="0" borderId="4" xfId="0" applyFont="1" applyBorder="1" applyAlignment="1">
      <alignment horizontal="center"/>
    </xf>
    <xf numFmtId="0" fontId="39" fillId="0" borderId="4" xfId="0" applyFont="1" applyBorder="1" applyAlignment="1">
      <alignment horizontal="center"/>
    </xf>
    <xf numFmtId="1" fontId="40" fillId="0" borderId="0" xfId="0" applyNumberFormat="1" applyFont="1" applyAlignment="1">
      <alignment horizontal="center"/>
    </xf>
    <xf numFmtId="0" fontId="38" fillId="0" borderId="3" xfId="0" applyFont="1" applyBorder="1" applyAlignment="1">
      <alignment horizontal="center" wrapText="1"/>
    </xf>
    <xf numFmtId="0" fontId="38" fillId="0" borderId="4" xfId="0" applyFont="1" applyBorder="1" applyAlignment="1">
      <alignment horizontal="center" wrapText="1"/>
    </xf>
    <xf numFmtId="0" fontId="38" fillId="0" borderId="5" xfId="0" applyFont="1" applyBorder="1" applyAlignment="1">
      <alignment horizontal="center" wrapText="1"/>
    </xf>
    <xf numFmtId="2" fontId="40" fillId="0" borderId="0" xfId="0" applyNumberFormat="1" applyFont="1" applyAlignment="1">
      <alignment horizontal="center"/>
    </xf>
    <xf numFmtId="0" fontId="38" fillId="0" borderId="3" xfId="0" applyFont="1" applyBorder="1" applyAlignment="1">
      <alignment horizontal="center"/>
    </xf>
    <xf numFmtId="11" fontId="39" fillId="0" borderId="8" xfId="0" applyNumberFormat="1" applyFont="1" applyBorder="1" applyAlignment="1">
      <alignment horizontal="center"/>
    </xf>
    <xf numFmtId="11" fontId="38" fillId="0" borderId="10" xfId="0" applyNumberFormat="1" applyFont="1" applyBorder="1" applyAlignment="1">
      <alignment horizontal="center"/>
    </xf>
    <xf numFmtId="170" fontId="39" fillId="0" borderId="10" xfId="0" applyNumberFormat="1" applyFont="1" applyBorder="1" applyAlignment="1">
      <alignment horizontal="center"/>
    </xf>
    <xf numFmtId="11" fontId="39" fillId="0" borderId="10" xfId="0" applyNumberFormat="1" applyFont="1" applyBorder="1" applyAlignment="1">
      <alignment horizontal="center"/>
    </xf>
    <xf numFmtId="11" fontId="38" fillId="0" borderId="9" xfId="0" applyNumberFormat="1" applyFont="1" applyBorder="1" applyAlignment="1">
      <alignment horizontal="center"/>
    </xf>
    <xf numFmtId="0" fontId="38" fillId="0" borderId="8" xfId="0" applyFont="1" applyBorder="1" applyAlignment="1">
      <alignment horizontal="center"/>
    </xf>
    <xf numFmtId="2" fontId="38" fillId="0" borderId="10" xfId="0" applyNumberFormat="1" applyFont="1" applyBorder="1" applyAlignment="1">
      <alignment horizontal="center"/>
    </xf>
    <xf numFmtId="2" fontId="38" fillId="0" borderId="9" xfId="0" applyNumberFormat="1" applyFont="1" applyBorder="1" applyAlignment="1">
      <alignment horizontal="center"/>
    </xf>
    <xf numFmtId="11" fontId="40" fillId="0" borderId="0" xfId="0" applyNumberFormat="1" applyFont="1" applyAlignment="1">
      <alignment horizontal="center"/>
    </xf>
    <xf numFmtId="167" fontId="40" fillId="0" borderId="0" xfId="0" applyNumberFormat="1" applyFont="1" applyAlignment="1">
      <alignment horizontal="center"/>
    </xf>
    <xf numFmtId="166" fontId="40" fillId="0" borderId="0" xfId="0" applyNumberFormat="1" applyFont="1" applyAlignment="1">
      <alignment horizontal="center"/>
    </xf>
    <xf numFmtId="0" fontId="41" fillId="0" borderId="0" xfId="0" applyFont="1" applyAlignment="1">
      <alignment vertical="center"/>
    </xf>
    <xf numFmtId="0" fontId="38" fillId="0" borderId="0" xfId="0" applyFont="1" applyAlignment="1">
      <alignment horizontal="center"/>
    </xf>
    <xf numFmtId="2" fontId="38" fillId="0" borderId="4" xfId="0" applyNumberFormat="1" applyFont="1" applyBorder="1" applyAlignment="1">
      <alignment horizontal="center" vertical="center"/>
    </xf>
    <xf numFmtId="2" fontId="38" fillId="0" borderId="5" xfId="0" applyNumberFormat="1" applyFont="1" applyBorder="1" applyAlignment="1">
      <alignment horizontal="center" vertical="center"/>
    </xf>
    <xf numFmtId="11" fontId="39" fillId="0" borderId="4" xfId="0" applyNumberFormat="1" applyFont="1" applyBorder="1" applyAlignment="1">
      <alignment horizontal="center" vertical="center"/>
    </xf>
    <xf numFmtId="11" fontId="38" fillId="0" borderId="4" xfId="0" applyNumberFormat="1" applyFont="1" applyBorder="1" applyAlignment="1">
      <alignment horizontal="center" vertical="center"/>
    </xf>
    <xf numFmtId="0" fontId="43" fillId="0" borderId="4" xfId="0" applyFont="1" applyBorder="1" applyAlignment="1">
      <alignment horizontal="center" vertical="center"/>
    </xf>
    <xf numFmtId="164" fontId="40" fillId="0" borderId="0" xfId="0" applyNumberFormat="1" applyFont="1" applyAlignment="1">
      <alignment horizontal="center"/>
    </xf>
    <xf numFmtId="2" fontId="38" fillId="0" borderId="0" xfId="0" applyNumberFormat="1" applyFont="1" applyAlignment="1">
      <alignment horizontal="center"/>
    </xf>
    <xf numFmtId="1" fontId="41" fillId="0" borderId="0" xfId="0" applyNumberFormat="1" applyFont="1" applyAlignment="1">
      <alignment horizontal="center" vertical="center"/>
    </xf>
    <xf numFmtId="0" fontId="38" fillId="0" borderId="0" xfId="0" applyFont="1"/>
    <xf numFmtId="11" fontId="39" fillId="0" borderId="3" xfId="0" applyNumberFormat="1" applyFont="1" applyBorder="1" applyAlignment="1">
      <alignment horizontal="center" vertical="center"/>
    </xf>
    <xf numFmtId="166" fontId="39" fillId="0" borderId="3" xfId="0" applyNumberFormat="1" applyFont="1" applyBorder="1" applyAlignment="1">
      <alignment horizontal="center" vertical="center"/>
    </xf>
    <xf numFmtId="166" fontId="38" fillId="0" borderId="4" xfId="0" applyNumberFormat="1" applyFont="1" applyBorder="1" applyAlignment="1">
      <alignment horizontal="center" vertical="center"/>
    </xf>
    <xf numFmtId="166" fontId="39" fillId="0" borderId="4" xfId="0" applyNumberFormat="1" applyFont="1" applyBorder="1" applyAlignment="1">
      <alignment horizontal="center" vertical="center"/>
    </xf>
    <xf numFmtId="165" fontId="38" fillId="0" borderId="4" xfId="0" applyNumberFormat="1" applyFont="1" applyBorder="1" applyAlignment="1">
      <alignment horizontal="center" vertical="center"/>
    </xf>
    <xf numFmtId="166" fontId="38" fillId="0" borderId="5" xfId="0" applyNumberFormat="1" applyFont="1" applyBorder="1" applyAlignment="1">
      <alignment horizontal="center" vertical="center"/>
    </xf>
    <xf numFmtId="2" fontId="39" fillId="0" borderId="3" xfId="0" applyNumberFormat="1" applyFont="1" applyBorder="1" applyAlignment="1">
      <alignment horizontal="center" vertical="center"/>
    </xf>
    <xf numFmtId="2" fontId="39" fillId="0" borderId="4" xfId="0" applyNumberFormat="1" applyFont="1" applyBorder="1" applyAlignment="1">
      <alignment horizontal="center" vertical="center"/>
    </xf>
    <xf numFmtId="2" fontId="38" fillId="0" borderId="3" xfId="0" applyNumberFormat="1" applyFont="1" applyBorder="1" applyAlignment="1">
      <alignment horizontal="center" vertical="center"/>
    </xf>
    <xf numFmtId="166" fontId="39" fillId="0" borderId="10" xfId="0" applyNumberFormat="1" applyFont="1" applyBorder="1" applyAlignment="1">
      <alignment horizontal="center"/>
    </xf>
    <xf numFmtId="166" fontId="38" fillId="0" borderId="10" xfId="0" applyNumberFormat="1" applyFont="1" applyBorder="1" applyAlignment="1">
      <alignment horizontal="center"/>
    </xf>
    <xf numFmtId="166" fontId="38" fillId="0" borderId="9" xfId="0" applyNumberFormat="1" applyFont="1" applyBorder="1" applyAlignment="1">
      <alignment horizontal="center"/>
    </xf>
    <xf numFmtId="11" fontId="39" fillId="0" borderId="3" xfId="0" applyNumberFormat="1" applyFont="1" applyBorder="1" applyAlignment="1">
      <alignment horizontal="center"/>
    </xf>
    <xf numFmtId="11" fontId="38" fillId="0" borderId="4" xfId="0" applyNumberFormat="1" applyFont="1" applyBorder="1" applyAlignment="1">
      <alignment horizontal="center"/>
    </xf>
    <xf numFmtId="11" fontId="39" fillId="0" borderId="4" xfId="0" applyNumberFormat="1" applyFont="1" applyBorder="1" applyAlignment="1">
      <alignment horizontal="center"/>
    </xf>
    <xf numFmtId="2" fontId="38" fillId="0" borderId="5" xfId="0" applyNumberFormat="1" applyFont="1" applyBorder="1" applyAlignment="1">
      <alignment horizontal="center"/>
    </xf>
    <xf numFmtId="166" fontId="39" fillId="0" borderId="8" xfId="0" applyNumberFormat="1" applyFont="1" applyBorder="1" applyAlignment="1">
      <alignment horizontal="center"/>
    </xf>
    <xf numFmtId="165" fontId="38" fillId="0" borderId="10" xfId="0" applyNumberFormat="1" applyFont="1" applyBorder="1" applyAlignment="1">
      <alignment horizontal="center"/>
    </xf>
    <xf numFmtId="165" fontId="38" fillId="0" borderId="5" xfId="0" applyNumberFormat="1" applyFont="1" applyBorder="1" applyAlignment="1">
      <alignment horizontal="center"/>
    </xf>
    <xf numFmtId="14" fontId="21" fillId="0" borderId="0" xfId="0" applyNumberFormat="1" applyFont="1" applyAlignment="1">
      <alignment horizontal="center"/>
    </xf>
    <xf numFmtId="11" fontId="40" fillId="0" borderId="0" xfId="0" applyNumberFormat="1" applyFont="1" applyAlignment="1">
      <alignment horizontal="center" wrapText="1"/>
    </xf>
    <xf numFmtId="167" fontId="12" fillId="0" borderId="0" xfId="0" applyNumberFormat="1" applyFont="1" applyAlignment="1">
      <alignment horizontal="center" wrapText="1"/>
    </xf>
    <xf numFmtId="167" fontId="40" fillId="0" borderId="0" xfId="0" applyNumberFormat="1" applyFont="1" applyAlignment="1">
      <alignment horizontal="center" wrapText="1"/>
    </xf>
    <xf numFmtId="166" fontId="40" fillId="0" borderId="0" xfId="0" applyNumberFormat="1" applyFont="1" applyAlignment="1">
      <alignment horizontal="center" wrapText="1"/>
    </xf>
    <xf numFmtId="164" fontId="40" fillId="0" borderId="0" xfId="0" applyNumberFormat="1" applyFont="1" applyAlignment="1">
      <alignment horizontal="center" wrapText="1"/>
    </xf>
    <xf numFmtId="0" fontId="16" fillId="0" borderId="0" xfId="0" applyFont="1" applyAlignment="1">
      <alignment horizontal="left" vertical="center" wrapText="1"/>
    </xf>
    <xf numFmtId="173" fontId="38" fillId="0" borderId="0" xfId="0" applyNumberFormat="1" applyFont="1" applyAlignment="1">
      <alignment horizontal="center" wrapText="1"/>
    </xf>
    <xf numFmtId="173" fontId="40" fillId="0" borderId="0" xfId="0" applyNumberFormat="1" applyFont="1" applyAlignment="1">
      <alignment horizontal="center" wrapText="1"/>
    </xf>
    <xf numFmtId="0" fontId="40" fillId="0" borderId="0" xfId="0" applyFont="1" applyAlignment="1">
      <alignment horizontal="left" wrapText="1"/>
    </xf>
    <xf numFmtId="11" fontId="38" fillId="0" borderId="0" xfId="0" applyNumberFormat="1" applyFont="1" applyAlignment="1">
      <alignment horizontal="center" wrapText="1"/>
    </xf>
    <xf numFmtId="0" fontId="40" fillId="0" borderId="0" xfId="0" applyFont="1" applyAlignment="1">
      <alignment horizontal="center" wrapText="1"/>
    </xf>
    <xf numFmtId="168" fontId="40" fillId="0" borderId="0" xfId="0" applyNumberFormat="1" applyFont="1" applyAlignment="1">
      <alignment horizontal="center" wrapText="1"/>
    </xf>
    <xf numFmtId="2" fontId="39" fillId="0" borderId="8" xfId="0" applyNumberFormat="1" applyFont="1" applyBorder="1" applyAlignment="1">
      <alignment horizontal="center"/>
    </xf>
    <xf numFmtId="2" fontId="39" fillId="0" borderId="10" xfId="0" applyNumberFormat="1" applyFont="1" applyBorder="1" applyAlignment="1">
      <alignment horizontal="center"/>
    </xf>
    <xf numFmtId="170" fontId="38" fillId="0" borderId="10" xfId="0" applyNumberFormat="1" applyFont="1" applyBorder="1" applyAlignment="1">
      <alignment horizontal="center"/>
    </xf>
    <xf numFmtId="0" fontId="45" fillId="0" borderId="0" xfId="0" applyFont="1" applyAlignment="1">
      <alignment horizontal="left"/>
    </xf>
    <xf numFmtId="0" fontId="45" fillId="0" borderId="0" xfId="0" quotePrefix="1" applyFont="1" applyAlignment="1">
      <alignment horizontal="left"/>
    </xf>
    <xf numFmtId="2" fontId="39" fillId="0" borderId="3" xfId="0" applyNumberFormat="1" applyFont="1" applyBorder="1" applyAlignment="1">
      <alignment horizontal="center"/>
    </xf>
    <xf numFmtId="2" fontId="34" fillId="0" borderId="4" xfId="0" applyNumberFormat="1" applyFont="1" applyBorder="1" applyAlignment="1">
      <alignment horizontal="center" vertical="center"/>
    </xf>
    <xf numFmtId="0" fontId="46" fillId="0" borderId="4" xfId="0" applyFont="1" applyBorder="1" applyAlignment="1">
      <alignment horizontal="center" vertical="center"/>
    </xf>
    <xf numFmtId="1" fontId="49" fillId="0" borderId="0" xfId="0" applyNumberFormat="1" applyFont="1" applyAlignment="1">
      <alignment horizontal="center"/>
    </xf>
    <xf numFmtId="2" fontId="49" fillId="0" borderId="0" xfId="0" applyNumberFormat="1" applyFont="1" applyAlignment="1">
      <alignment horizontal="center"/>
    </xf>
    <xf numFmtId="1" fontId="49" fillId="0" borderId="0" xfId="0" applyNumberFormat="1" applyFont="1" applyAlignment="1">
      <alignment horizontal="center" vertical="center"/>
    </xf>
    <xf numFmtId="11" fontId="49" fillId="0" borderId="0" xfId="0" applyNumberFormat="1" applyFont="1" applyAlignment="1">
      <alignment horizontal="center"/>
    </xf>
    <xf numFmtId="0" fontId="49" fillId="0" borderId="0" xfId="0" applyFont="1" applyAlignment="1">
      <alignment horizontal="center"/>
    </xf>
    <xf numFmtId="0" fontId="34" fillId="0" borderId="8" xfId="0" applyFont="1" applyBorder="1" applyAlignment="1">
      <alignment horizontal="center"/>
    </xf>
    <xf numFmtId="2" fontId="34" fillId="0" borderId="10" xfId="0" applyNumberFormat="1" applyFont="1" applyBorder="1" applyAlignment="1">
      <alignment horizontal="center"/>
    </xf>
    <xf numFmtId="0" fontId="48" fillId="0" borderId="10" xfId="0" applyFont="1" applyBorder="1" applyAlignment="1">
      <alignment horizontal="center"/>
    </xf>
    <xf numFmtId="2" fontId="48" fillId="0" borderId="10" xfId="0" applyNumberFormat="1" applyFont="1" applyBorder="1" applyAlignment="1">
      <alignment horizontal="center"/>
    </xf>
    <xf numFmtId="2" fontId="34" fillId="0" borderId="9" xfId="0" applyNumberFormat="1" applyFont="1" applyBorder="1" applyAlignment="1">
      <alignment horizontal="center"/>
    </xf>
    <xf numFmtId="0" fontId="49" fillId="0" borderId="0" xfId="0" applyFont="1"/>
    <xf numFmtId="0" fontId="50" fillId="0" borderId="0" xfId="0" applyFont="1" applyAlignment="1">
      <alignment horizontal="left"/>
    </xf>
    <xf numFmtId="0" fontId="33" fillId="0" borderId="0" xfId="0" applyFont="1" applyAlignment="1">
      <alignment horizontal="left"/>
    </xf>
    <xf numFmtId="2" fontId="32" fillId="0" borderId="3" xfId="0" applyNumberFormat="1" applyFont="1" applyBorder="1" applyAlignment="1">
      <alignment horizontal="center" vertical="center"/>
    </xf>
    <xf numFmtId="2" fontId="38" fillId="0" borderId="10" xfId="0" applyNumberFormat="1" applyFont="1" applyBorder="1" applyAlignment="1">
      <alignment horizontal="center" vertical="center"/>
    </xf>
    <xf numFmtId="2" fontId="38" fillId="0" borderId="9" xfId="0" applyNumberFormat="1" applyFont="1" applyBorder="1" applyAlignment="1">
      <alignment horizontal="center" vertical="center"/>
    </xf>
    <xf numFmtId="2" fontId="32" fillId="0" borderId="5" xfId="0" applyNumberFormat="1" applyFont="1" applyBorder="1" applyAlignment="1">
      <alignment horizontal="center" vertical="center"/>
    </xf>
    <xf numFmtId="1" fontId="40" fillId="0" borderId="0" xfId="0" applyNumberFormat="1" applyFont="1" applyAlignment="1">
      <alignment horizontal="center" vertical="center"/>
    </xf>
    <xf numFmtId="11" fontId="40" fillId="0" borderId="0" xfId="0" applyNumberFormat="1" applyFont="1" applyAlignment="1">
      <alignment horizontal="center" vertical="center"/>
    </xf>
    <xf numFmtId="0" fontId="34" fillId="0" borderId="0" xfId="0" applyFont="1"/>
    <xf numFmtId="11" fontId="34" fillId="0" borderId="8" xfId="0" applyNumberFormat="1" applyFont="1" applyBorder="1" applyAlignment="1">
      <alignment horizontal="center" vertical="center"/>
    </xf>
    <xf numFmtId="0" fontId="34" fillId="0" borderId="10" xfId="0" applyFont="1" applyBorder="1" applyAlignment="1">
      <alignment horizontal="center"/>
    </xf>
    <xf numFmtId="2" fontId="34" fillId="0" borderId="10" xfId="0" applyNumberFormat="1" applyFont="1" applyBorder="1" applyAlignment="1">
      <alignment horizontal="center" vertical="center"/>
    </xf>
    <xf numFmtId="2" fontId="34" fillId="0" borderId="9" xfId="0" applyNumberFormat="1" applyFont="1" applyBorder="1" applyAlignment="1">
      <alignment horizontal="center" vertical="center"/>
    </xf>
    <xf numFmtId="0" fontId="32" fillId="0" borderId="3" xfId="0" applyFont="1" applyBorder="1" applyAlignment="1">
      <alignment horizontal="center" vertical="center"/>
    </xf>
    <xf numFmtId="0" fontId="32" fillId="0" borderId="4" xfId="0" applyFont="1" applyBorder="1" applyAlignment="1">
      <alignment horizontal="center" vertical="center"/>
    </xf>
    <xf numFmtId="0" fontId="41" fillId="0" borderId="0" xfId="0" applyFont="1" applyAlignment="1">
      <alignment horizontal="center"/>
    </xf>
    <xf numFmtId="0" fontId="32" fillId="0" borderId="11" xfId="0" applyFont="1" applyBorder="1" applyAlignment="1">
      <alignment horizontal="center"/>
    </xf>
    <xf numFmtId="167" fontId="40" fillId="0" borderId="0" xfId="0" applyNumberFormat="1" applyFont="1" applyAlignment="1">
      <alignment horizontal="center" vertical="center"/>
    </xf>
    <xf numFmtId="15" fontId="0" fillId="0" borderId="0" xfId="0" applyNumberFormat="1"/>
    <xf numFmtId="11" fontId="0" fillId="0" borderId="0" xfId="0" applyNumberFormat="1"/>
    <xf numFmtId="0" fontId="21" fillId="0" borderId="0" xfId="0" applyFont="1" applyAlignment="1">
      <alignment horizontal="left" vertical="center"/>
    </xf>
    <xf numFmtId="0" fontId="33" fillId="0" borderId="0" xfId="0" applyFont="1" applyAlignment="1">
      <alignment horizontal="left" vertical="center"/>
    </xf>
    <xf numFmtId="0" fontId="41" fillId="0" borderId="0" xfId="0" applyFont="1" applyAlignment="1">
      <alignment horizontal="left" vertical="center"/>
    </xf>
    <xf numFmtId="0" fontId="18" fillId="0" borderId="0" xfId="0" applyFont="1" applyAlignment="1">
      <alignment horizontal="left"/>
    </xf>
    <xf numFmtId="0" fontId="32" fillId="0" borderId="3" xfId="0" applyFont="1" applyBorder="1" applyAlignment="1">
      <alignment horizontal="left"/>
    </xf>
    <xf numFmtId="1" fontId="38" fillId="0" borderId="0" xfId="0" applyNumberFormat="1" applyFont="1" applyAlignment="1">
      <alignment horizontal="center"/>
    </xf>
    <xf numFmtId="9" fontId="40" fillId="0" borderId="0" xfId="624" applyFont="1" applyFill="1" applyAlignment="1">
      <alignment horizontal="center"/>
    </xf>
    <xf numFmtId="9" fontId="18" fillId="0" borderId="0" xfId="624" applyFont="1" applyFill="1" applyAlignment="1">
      <alignment horizontal="center"/>
    </xf>
    <xf numFmtId="0" fontId="49" fillId="0" borderId="0" xfId="0" applyFont="1" applyAlignment="1">
      <alignment horizontal="left"/>
    </xf>
    <xf numFmtId="0" fontId="34" fillId="0" borderId="3" xfId="0" applyFont="1" applyBorder="1" applyAlignment="1">
      <alignment vertical="center"/>
    </xf>
    <xf numFmtId="0" fontId="34" fillId="0" borderId="4" xfId="0" applyFont="1" applyBorder="1" applyAlignment="1">
      <alignment vertical="center"/>
    </xf>
    <xf numFmtId="2" fontId="34" fillId="0" borderId="3" xfId="0" applyNumberFormat="1" applyFont="1" applyBorder="1" applyAlignment="1">
      <alignment horizontal="center" vertical="center"/>
    </xf>
    <xf numFmtId="2" fontId="34" fillId="0" borderId="5" xfId="0" applyNumberFormat="1" applyFont="1" applyBorder="1" applyAlignment="1">
      <alignment horizontal="center" vertical="center"/>
    </xf>
    <xf numFmtId="11" fontId="34" fillId="0" borderId="10" xfId="0" applyNumberFormat="1" applyFont="1" applyBorder="1" applyAlignment="1">
      <alignment horizontal="center" vertical="center"/>
    </xf>
    <xf numFmtId="0" fontId="53" fillId="0" borderId="0" xfId="0" applyFont="1"/>
    <xf numFmtId="0" fontId="34" fillId="0" borderId="0" xfId="0" applyFont="1" applyAlignment="1">
      <alignment horizontal="center"/>
    </xf>
    <xf numFmtId="0" fontId="50" fillId="0" borderId="0" xfId="0" applyFont="1" applyAlignment="1">
      <alignment horizontal="center"/>
    </xf>
    <xf numFmtId="14" fontId="0" fillId="0" borderId="0" xfId="0" applyNumberFormat="1"/>
    <xf numFmtId="0" fontId="54" fillId="0" borderId="3" xfId="0" applyFont="1" applyBorder="1"/>
    <xf numFmtId="0" fontId="54" fillId="0" borderId="4" xfId="0" applyFont="1" applyBorder="1"/>
    <xf numFmtId="0" fontId="54" fillId="0" borderId="5" xfId="0" applyFont="1" applyBorder="1"/>
    <xf numFmtId="0" fontId="45" fillId="0" borderId="0" xfId="0" applyFont="1" applyAlignment="1">
      <alignment horizontal="center"/>
    </xf>
    <xf numFmtId="0" fontId="45" fillId="0" borderId="0" xfId="0" applyFont="1"/>
    <xf numFmtId="11" fontId="41" fillId="0" borderId="0" xfId="0" applyNumberFormat="1" applyFont="1" applyAlignment="1">
      <alignment horizontal="center"/>
    </xf>
    <xf numFmtId="11" fontId="55" fillId="0" borderId="0" xfId="0" applyNumberFormat="1" applyFont="1" applyAlignment="1">
      <alignment horizontal="center"/>
    </xf>
    <xf numFmtId="165" fontId="32" fillId="0" borderId="0" xfId="0" applyNumberFormat="1" applyFont="1" applyAlignment="1">
      <alignment horizontal="center"/>
    </xf>
    <xf numFmtId="2" fontId="57" fillId="0" borderId="0" xfId="0" applyNumberFormat="1" applyFont="1" applyAlignment="1">
      <alignment horizontal="center"/>
    </xf>
    <xf numFmtId="164" fontId="57" fillId="0" borderId="0" xfId="0" applyNumberFormat="1" applyFont="1" applyAlignment="1">
      <alignment horizontal="center"/>
    </xf>
    <xf numFmtId="165" fontId="57" fillId="0" borderId="0" xfId="0" applyNumberFormat="1" applyFont="1" applyAlignment="1">
      <alignment horizontal="center"/>
    </xf>
    <xf numFmtId="0" fontId="57" fillId="0" borderId="0" xfId="0" applyFont="1" applyAlignment="1">
      <alignment horizontal="center"/>
    </xf>
    <xf numFmtId="168" fontId="18" fillId="0" borderId="0" xfId="0" applyNumberFormat="1" applyFont="1" applyAlignment="1">
      <alignment horizontal="left"/>
    </xf>
    <xf numFmtId="0" fontId="18" fillId="0" borderId="0" xfId="0" applyFont="1" applyAlignment="1">
      <alignment horizontal="center" vertical="center"/>
    </xf>
    <xf numFmtId="14" fontId="18" fillId="0" borderId="0" xfId="0" applyNumberFormat="1" applyFont="1"/>
    <xf numFmtId="0" fontId="21" fillId="0" borderId="0" xfId="0" applyFont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41" fillId="0" borderId="0" xfId="0" applyFont="1" applyAlignment="1">
      <alignment horizontal="center" vertical="center"/>
    </xf>
    <xf numFmtId="2" fontId="32" fillId="0" borderId="10" xfId="0" applyNumberFormat="1" applyFont="1" applyBorder="1" applyAlignment="1">
      <alignment horizontal="center" vertical="center"/>
    </xf>
    <xf numFmtId="164" fontId="63" fillId="0" borderId="0" xfId="0" applyNumberFormat="1" applyFont="1" applyAlignment="1">
      <alignment horizontal="center"/>
    </xf>
    <xf numFmtId="2" fontId="64" fillId="0" borderId="0" xfId="0" applyNumberFormat="1" applyFont="1" applyAlignment="1">
      <alignment horizontal="center"/>
    </xf>
    <xf numFmtId="166" fontId="13" fillId="0" borderId="0" xfId="0" applyNumberFormat="1" applyFont="1" applyAlignment="1">
      <alignment horizontal="center" wrapText="1"/>
    </xf>
    <xf numFmtId="164" fontId="13" fillId="0" borderId="0" xfId="0" applyNumberFormat="1" applyFont="1" applyAlignment="1">
      <alignment horizontal="center" wrapText="1"/>
    </xf>
    <xf numFmtId="165" fontId="13" fillId="0" borderId="0" xfId="0" applyNumberFormat="1" applyFont="1" applyAlignment="1">
      <alignment horizontal="center" wrapText="1"/>
    </xf>
    <xf numFmtId="1" fontId="13" fillId="0" borderId="0" xfId="0" applyNumberFormat="1" applyFont="1" applyAlignment="1">
      <alignment horizontal="center" wrapText="1"/>
    </xf>
    <xf numFmtId="2" fontId="40" fillId="0" borderId="0" xfId="0" applyNumberFormat="1" applyFont="1" applyAlignment="1">
      <alignment horizontal="center" wrapText="1"/>
    </xf>
    <xf numFmtId="177" fontId="65" fillId="0" borderId="0" xfId="0" applyNumberFormat="1" applyFont="1" applyAlignment="1">
      <alignment horizontal="right"/>
    </xf>
    <xf numFmtId="0" fontId="65" fillId="0" borderId="0" xfId="0" applyFont="1" applyAlignment="1">
      <alignment horizontal="right"/>
    </xf>
    <xf numFmtId="0" fontId="66" fillId="0" borderId="0" xfId="0" applyFont="1"/>
    <xf numFmtId="0" fontId="67" fillId="0" borderId="0" xfId="0" applyFont="1" applyAlignment="1">
      <alignment horizontal="right"/>
    </xf>
    <xf numFmtId="0" fontId="54" fillId="0" borderId="0" xfId="0" applyFont="1"/>
    <xf numFmtId="0" fontId="68" fillId="0" borderId="0" xfId="0" applyFont="1"/>
    <xf numFmtId="177" fontId="0" fillId="0" borderId="0" xfId="0" applyNumberFormat="1"/>
    <xf numFmtId="0" fontId="69" fillId="0" borderId="0" xfId="0" applyFont="1"/>
    <xf numFmtId="2" fontId="66" fillId="0" borderId="0" xfId="0" applyNumberFormat="1" applyFont="1"/>
    <xf numFmtId="0" fontId="70" fillId="0" borderId="0" xfId="0" applyFont="1"/>
    <xf numFmtId="0" fontId="0" fillId="0" borderId="0" xfId="0" applyAlignment="1">
      <alignment vertical="center" wrapText="1"/>
    </xf>
    <xf numFmtId="0" fontId="16" fillId="0" borderId="0" xfId="0" applyFont="1"/>
    <xf numFmtId="168" fontId="57" fillId="0" borderId="0" xfId="0" applyNumberFormat="1" applyFont="1" applyAlignment="1">
      <alignment horizontal="center"/>
    </xf>
    <xf numFmtId="14" fontId="57" fillId="0" borderId="0" xfId="0" applyNumberFormat="1" applyFont="1" applyAlignment="1">
      <alignment horizontal="center"/>
    </xf>
    <xf numFmtId="2" fontId="57" fillId="0" borderId="0" xfId="0" applyNumberFormat="1" applyFont="1" applyAlignment="1">
      <alignment horizontal="center" vertical="center" wrapText="1"/>
    </xf>
    <xf numFmtId="166" fontId="57" fillId="0" borderId="0" xfId="0" applyNumberFormat="1" applyFont="1" applyAlignment="1">
      <alignment horizontal="center"/>
    </xf>
    <xf numFmtId="1" fontId="57" fillId="0" borderId="0" xfId="0" applyNumberFormat="1" applyFont="1" applyAlignment="1">
      <alignment horizontal="center"/>
    </xf>
    <xf numFmtId="11" fontId="57" fillId="0" borderId="0" xfId="0" applyNumberFormat="1" applyFont="1" applyAlignment="1">
      <alignment horizontal="center"/>
    </xf>
    <xf numFmtId="0" fontId="57" fillId="0" borderId="0" xfId="0" applyFont="1"/>
    <xf numFmtId="2" fontId="56" fillId="0" borderId="0" xfId="0" applyNumberFormat="1" applyFont="1" applyAlignment="1">
      <alignment horizontal="center"/>
    </xf>
    <xf numFmtId="2" fontId="18" fillId="0" borderId="6" xfId="0" applyNumberFormat="1" applyFont="1" applyBorder="1" applyAlignment="1">
      <alignment horizontal="center"/>
    </xf>
    <xf numFmtId="0" fontId="55" fillId="0" borderId="0" xfId="0" applyFont="1" applyAlignment="1">
      <alignment horizontal="center"/>
    </xf>
    <xf numFmtId="2" fontId="55" fillId="0" borderId="0" xfId="0" applyNumberFormat="1" applyFont="1" applyAlignment="1">
      <alignment horizontal="center"/>
    </xf>
    <xf numFmtId="0" fontId="57" fillId="0" borderId="0" xfId="0" applyFont="1" applyAlignment="1">
      <alignment horizontal="center" vertical="center"/>
    </xf>
    <xf numFmtId="169" fontId="57" fillId="0" borderId="0" xfId="0" applyNumberFormat="1" applyFont="1" applyAlignment="1">
      <alignment horizontal="center"/>
    </xf>
    <xf numFmtId="167" fontId="57" fillId="0" borderId="0" xfId="0" applyNumberFormat="1" applyFont="1" applyAlignment="1">
      <alignment horizontal="center"/>
    </xf>
    <xf numFmtId="165" fontId="57" fillId="0" borderId="0" xfId="0" applyNumberFormat="1" applyFont="1" applyAlignment="1">
      <alignment horizontal="center" vertical="center" wrapText="1"/>
    </xf>
    <xf numFmtId="1" fontId="71" fillId="0" borderId="0" xfId="0" applyNumberFormat="1" applyFont="1" applyAlignment="1">
      <alignment horizontal="center" vertical="center"/>
    </xf>
    <xf numFmtId="164" fontId="57" fillId="0" borderId="0" xfId="0" applyNumberFormat="1" applyFont="1" applyAlignment="1">
      <alignment horizontal="center" vertical="center" wrapText="1"/>
    </xf>
    <xf numFmtId="1" fontId="55" fillId="0" borderId="0" xfId="0" applyNumberFormat="1" applyFont="1" applyAlignment="1">
      <alignment horizontal="center"/>
    </xf>
    <xf numFmtId="1" fontId="55" fillId="0" borderId="0" xfId="0" applyNumberFormat="1" applyFont="1" applyAlignment="1">
      <alignment horizontal="center" vertical="center"/>
    </xf>
    <xf numFmtId="4" fontId="57" fillId="0" borderId="0" xfId="0" applyNumberFormat="1" applyFont="1" applyAlignment="1">
      <alignment horizontal="center"/>
    </xf>
    <xf numFmtId="4" fontId="18" fillId="0" borderId="0" xfId="0" applyNumberFormat="1" applyFont="1" applyAlignment="1">
      <alignment horizontal="center"/>
    </xf>
    <xf numFmtId="0" fontId="38" fillId="0" borderId="3" xfId="0" applyFont="1" applyBorder="1" applyAlignment="1">
      <alignment horizontal="center" vertical="center"/>
    </xf>
    <xf numFmtId="0" fontId="38" fillId="0" borderId="4" xfId="0" applyFont="1" applyBorder="1" applyAlignment="1">
      <alignment horizontal="center" vertical="center"/>
    </xf>
    <xf numFmtId="0" fontId="38" fillId="0" borderId="5" xfId="0" applyFont="1" applyBorder="1" applyAlignment="1">
      <alignment horizontal="center" vertical="center"/>
    </xf>
    <xf numFmtId="0" fontId="32" fillId="0" borderId="5" xfId="0" applyFont="1" applyBorder="1" applyAlignment="1">
      <alignment horizontal="center" vertical="center"/>
    </xf>
    <xf numFmtId="0" fontId="34" fillId="0" borderId="3" xfId="0" applyFont="1" applyBorder="1" applyAlignment="1">
      <alignment horizontal="center" vertical="center"/>
    </xf>
    <xf numFmtId="0" fontId="34" fillId="0" borderId="4" xfId="0" applyFont="1" applyBorder="1" applyAlignment="1">
      <alignment horizontal="center" vertical="center"/>
    </xf>
    <xf numFmtId="0" fontId="34" fillId="0" borderId="5" xfId="0" applyFont="1" applyBorder="1" applyAlignment="1">
      <alignment horizontal="center" vertical="center"/>
    </xf>
    <xf numFmtId="165" fontId="18" fillId="0" borderId="0" xfId="0" applyNumberFormat="1" applyFont="1" applyAlignment="1">
      <alignment horizontal="center" vertical="center" wrapText="1"/>
    </xf>
    <xf numFmtId="14" fontId="18" fillId="0" borderId="0" xfId="0" applyNumberFormat="1" applyFont="1" applyAlignment="1">
      <alignment horizontal="center" vertical="center"/>
    </xf>
    <xf numFmtId="2" fontId="18" fillId="0" borderId="0" xfId="0" applyNumberFormat="1" applyFont="1" applyAlignment="1">
      <alignment horizontal="center" vertical="center"/>
    </xf>
    <xf numFmtId="0" fontId="40" fillId="0" borderId="0" xfId="0" applyFont="1" applyAlignment="1">
      <alignment horizontal="center" vertical="center"/>
    </xf>
    <xf numFmtId="0" fontId="49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14" fontId="11" fillId="0" borderId="0" xfId="0" applyNumberFormat="1" applyFont="1" applyAlignment="1">
      <alignment horizontal="center" vertical="center"/>
    </xf>
    <xf numFmtId="14" fontId="32" fillId="0" borderId="4" xfId="0" applyNumberFormat="1" applyFont="1" applyBorder="1" applyAlignment="1">
      <alignment horizontal="center" vertical="center"/>
    </xf>
    <xf numFmtId="0" fontId="32" fillId="0" borderId="10" xfId="0" applyFont="1" applyBorder="1" applyAlignment="1">
      <alignment horizontal="center" vertical="center"/>
    </xf>
    <xf numFmtId="14" fontId="32" fillId="0" borderId="10" xfId="0" applyNumberFormat="1" applyFont="1" applyBorder="1" applyAlignment="1">
      <alignment horizontal="center" vertical="center"/>
    </xf>
    <xf numFmtId="0" fontId="32" fillId="0" borderId="9" xfId="0" applyFont="1" applyBorder="1" applyAlignment="1">
      <alignment horizontal="center" vertical="center"/>
    </xf>
    <xf numFmtId="165" fontId="35" fillId="0" borderId="8" xfId="0" applyNumberFormat="1" applyFont="1" applyBorder="1" applyAlignment="1">
      <alignment horizontal="center" vertical="center"/>
    </xf>
    <xf numFmtId="165" fontId="32" fillId="0" borderId="10" xfId="0" applyNumberFormat="1" applyFont="1" applyBorder="1" applyAlignment="1">
      <alignment horizontal="center" vertical="center"/>
    </xf>
    <xf numFmtId="165" fontId="35" fillId="0" borderId="10" xfId="0" applyNumberFormat="1" applyFont="1" applyBorder="1" applyAlignment="1">
      <alignment horizontal="center" vertical="center"/>
    </xf>
    <xf numFmtId="2" fontId="35" fillId="0" borderId="10" xfId="0" applyNumberFormat="1" applyFont="1" applyBorder="1" applyAlignment="1">
      <alignment horizontal="center" vertical="center"/>
    </xf>
    <xf numFmtId="166" fontId="35" fillId="0" borderId="10" xfId="0" applyNumberFormat="1" applyFont="1" applyBorder="1" applyAlignment="1">
      <alignment horizontal="center" vertical="center"/>
    </xf>
    <xf numFmtId="166" fontId="32" fillId="0" borderId="10" xfId="0" applyNumberFormat="1" applyFont="1" applyBorder="1" applyAlignment="1">
      <alignment horizontal="center" vertical="center"/>
    </xf>
    <xf numFmtId="166" fontId="32" fillId="0" borderId="9" xfId="0" applyNumberFormat="1" applyFont="1" applyBorder="1" applyAlignment="1">
      <alignment horizontal="center" vertical="center"/>
    </xf>
    <xf numFmtId="165" fontId="39" fillId="0" borderId="3" xfId="0" applyNumberFormat="1" applyFont="1" applyBorder="1" applyAlignment="1">
      <alignment horizontal="center" vertical="center"/>
    </xf>
    <xf numFmtId="165" fontId="39" fillId="0" borderId="4" xfId="0" applyNumberFormat="1" applyFont="1" applyBorder="1" applyAlignment="1">
      <alignment horizontal="center" vertical="center"/>
    </xf>
    <xf numFmtId="0" fontId="32" fillId="0" borderId="5" xfId="0" applyFont="1" applyBorder="1" applyAlignment="1">
      <alignment horizontal="center" vertical="center" wrapText="1"/>
    </xf>
    <xf numFmtId="0" fontId="39" fillId="0" borderId="10" xfId="0" applyFont="1" applyBorder="1" applyAlignment="1">
      <alignment horizontal="center" vertical="center"/>
    </xf>
    <xf numFmtId="0" fontId="38" fillId="0" borderId="10" xfId="0" applyFont="1" applyBorder="1" applyAlignment="1">
      <alignment horizontal="center" vertical="center"/>
    </xf>
    <xf numFmtId="0" fontId="38" fillId="0" borderId="9" xfId="0" applyFont="1" applyBorder="1" applyAlignment="1">
      <alignment horizontal="center" vertical="center"/>
    </xf>
    <xf numFmtId="0" fontId="35" fillId="0" borderId="3" xfId="0" applyFont="1" applyBorder="1" applyAlignment="1">
      <alignment horizontal="center" vertical="center"/>
    </xf>
    <xf numFmtId="0" fontId="35" fillId="0" borderId="5" xfId="0" applyFont="1" applyBorder="1" applyAlignment="1">
      <alignment horizontal="center" vertical="center"/>
    </xf>
    <xf numFmtId="0" fontId="39" fillId="0" borderId="3" xfId="0" applyFont="1" applyBorder="1" applyAlignment="1">
      <alignment horizontal="center" vertical="center"/>
    </xf>
    <xf numFmtId="0" fontId="39" fillId="0" borderId="4" xfId="0" applyFont="1" applyBorder="1" applyAlignment="1">
      <alignment horizontal="center" vertical="center"/>
    </xf>
    <xf numFmtId="0" fontId="35" fillId="0" borderId="8" xfId="0" applyFont="1" applyBorder="1" applyAlignment="1">
      <alignment horizontal="center" vertical="center"/>
    </xf>
    <xf numFmtId="0" fontId="38" fillId="0" borderId="3" xfId="0" applyFont="1" applyBorder="1" applyAlignment="1">
      <alignment horizontal="center" vertical="center" wrapText="1"/>
    </xf>
    <xf numFmtId="0" fontId="38" fillId="0" borderId="4" xfId="0" applyFont="1" applyBorder="1" applyAlignment="1">
      <alignment horizontal="center" vertical="center" wrapText="1"/>
    </xf>
    <xf numFmtId="0" fontId="38" fillId="0" borderId="5" xfId="0" applyFont="1" applyBorder="1" applyAlignment="1">
      <alignment horizontal="center" vertical="center" wrapText="1"/>
    </xf>
    <xf numFmtId="11" fontId="39" fillId="0" borderId="8" xfId="0" applyNumberFormat="1" applyFont="1" applyBorder="1" applyAlignment="1">
      <alignment horizontal="center" vertical="center"/>
    </xf>
    <xf numFmtId="11" fontId="38" fillId="0" borderId="10" xfId="0" applyNumberFormat="1" applyFont="1" applyBorder="1" applyAlignment="1">
      <alignment horizontal="center" vertical="center"/>
    </xf>
    <xf numFmtId="0" fontId="38" fillId="0" borderId="8" xfId="0" applyFont="1" applyBorder="1" applyAlignment="1">
      <alignment horizontal="center" vertical="center"/>
    </xf>
    <xf numFmtId="0" fontId="34" fillId="0" borderId="10" xfId="0" applyFont="1" applyBorder="1" applyAlignment="1">
      <alignment horizontal="center" vertical="center"/>
    </xf>
    <xf numFmtId="2" fontId="40" fillId="0" borderId="0" xfId="0" applyNumberFormat="1" applyFont="1" applyAlignment="1">
      <alignment horizontal="center" vertical="center"/>
    </xf>
    <xf numFmtId="165" fontId="40" fillId="0" borderId="0" xfId="0" applyNumberFormat="1" applyFont="1" applyAlignment="1">
      <alignment horizontal="center" vertical="center"/>
    </xf>
    <xf numFmtId="166" fontId="40" fillId="0" borderId="0" xfId="0" applyNumberFormat="1" applyFont="1" applyAlignment="1">
      <alignment horizontal="center" vertical="center"/>
    </xf>
    <xf numFmtId="169" fontId="49" fillId="0" borderId="0" xfId="0" applyNumberFormat="1" applyFont="1" applyAlignment="1">
      <alignment horizontal="center" vertical="center"/>
    </xf>
    <xf numFmtId="11" fontId="49" fillId="0" borderId="0" xfId="0" applyNumberFormat="1" applyFont="1" applyAlignment="1">
      <alignment horizontal="center" vertical="center"/>
    </xf>
    <xf numFmtId="2" fontId="49" fillId="0" borderId="0" xfId="0" applyNumberFormat="1" applyFont="1" applyAlignment="1">
      <alignment horizontal="center" vertical="center"/>
    </xf>
    <xf numFmtId="4" fontId="18" fillId="0" borderId="0" xfId="0" applyNumberFormat="1" applyFont="1" applyAlignment="1">
      <alignment horizontal="center" vertical="center" wrapText="1"/>
    </xf>
    <xf numFmtId="169" fontId="18" fillId="0" borderId="0" xfId="0" applyNumberFormat="1" applyFont="1" applyAlignment="1">
      <alignment horizontal="center"/>
    </xf>
    <xf numFmtId="178" fontId="18" fillId="0" borderId="0" xfId="0" applyNumberFormat="1" applyFont="1" applyAlignment="1">
      <alignment horizontal="center" vertical="center" wrapText="1"/>
    </xf>
    <xf numFmtId="166" fontId="18" fillId="0" borderId="0" xfId="0" applyNumberFormat="1" applyFont="1" applyAlignment="1">
      <alignment horizontal="center" vertical="center" wrapText="1"/>
    </xf>
    <xf numFmtId="11" fontId="72" fillId="0" borderId="0" xfId="0" applyNumberFormat="1" applyFont="1" applyAlignment="1">
      <alignment horizontal="center"/>
    </xf>
    <xf numFmtId="2" fontId="72" fillId="0" borderId="0" xfId="0" applyNumberFormat="1" applyFont="1" applyAlignment="1">
      <alignment horizontal="center"/>
    </xf>
    <xf numFmtId="164" fontId="72" fillId="0" borderId="0" xfId="0" applyNumberFormat="1" applyFont="1" applyAlignment="1">
      <alignment horizontal="center"/>
    </xf>
    <xf numFmtId="0" fontId="72" fillId="0" borderId="0" xfId="0" applyFont="1"/>
    <xf numFmtId="0" fontId="18" fillId="3" borderId="0" xfId="0" applyFont="1" applyFill="1" applyAlignment="1">
      <alignment horizontal="center"/>
    </xf>
    <xf numFmtId="0" fontId="40" fillId="3" borderId="0" xfId="0" applyFont="1" applyFill="1" applyAlignment="1">
      <alignment horizontal="center"/>
    </xf>
    <xf numFmtId="176" fontId="18" fillId="0" borderId="0" xfId="0" applyNumberFormat="1" applyFont="1" applyAlignment="1">
      <alignment horizontal="center"/>
    </xf>
    <xf numFmtId="11" fontId="40" fillId="0" borderId="0" xfId="0" applyNumberFormat="1" applyFont="1"/>
    <xf numFmtId="0" fontId="18" fillId="4" borderId="0" xfId="0" applyFont="1" applyFill="1" applyAlignment="1">
      <alignment horizontal="center" wrapText="1"/>
    </xf>
    <xf numFmtId="179" fontId="18" fillId="0" borderId="0" xfId="0" applyNumberFormat="1" applyFont="1" applyAlignment="1">
      <alignment horizontal="center" wrapText="1"/>
    </xf>
    <xf numFmtId="0" fontId="73" fillId="0" borderId="7" xfId="0" applyFont="1" applyBorder="1"/>
    <xf numFmtId="179" fontId="18" fillId="2" borderId="0" xfId="0" applyNumberFormat="1" applyFont="1" applyFill="1" applyAlignment="1">
      <alignment horizontal="center" wrapText="1"/>
    </xf>
    <xf numFmtId="0" fontId="9" fillId="2" borderId="0" xfId="0" applyFont="1" applyFill="1" applyAlignment="1">
      <alignment horizontal="center" wrapText="1"/>
    </xf>
    <xf numFmtId="0" fontId="73" fillId="2" borderId="7" xfId="0" applyFont="1" applyFill="1" applyBorder="1"/>
    <xf numFmtId="0" fontId="74" fillId="0" borderId="12" xfId="0" applyFont="1" applyBorder="1"/>
    <xf numFmtId="0" fontId="75" fillId="0" borderId="0" xfId="0" applyFont="1"/>
    <xf numFmtId="0" fontId="3" fillId="0" borderId="0" xfId="630"/>
    <xf numFmtId="177" fontId="18" fillId="0" borderId="0" xfId="0" applyNumberFormat="1" applyFont="1" applyAlignment="1">
      <alignment horizontal="center" vertical="center"/>
    </xf>
    <xf numFmtId="168" fontId="12" fillId="0" borderId="0" xfId="0" applyNumberFormat="1" applyFont="1" applyAlignment="1">
      <alignment horizontal="center"/>
    </xf>
    <xf numFmtId="0" fontId="13" fillId="0" borderId="0" xfId="0" applyFont="1"/>
    <xf numFmtId="2" fontId="12" fillId="0" borderId="0" xfId="0" applyNumberFormat="1" applyFont="1" applyAlignment="1">
      <alignment horizontal="center"/>
    </xf>
    <xf numFmtId="165" fontId="12" fillId="0" borderId="0" xfId="0" applyNumberFormat="1" applyFont="1" applyAlignment="1">
      <alignment horizontal="center"/>
    </xf>
    <xf numFmtId="166" fontId="12" fillId="0" borderId="0" xfId="0" applyNumberFormat="1" applyFont="1" applyAlignment="1">
      <alignment horizontal="center"/>
    </xf>
    <xf numFmtId="1" fontId="12" fillId="0" borderId="0" xfId="0" applyNumberFormat="1" applyFont="1" applyAlignment="1">
      <alignment horizontal="center"/>
    </xf>
    <xf numFmtId="11" fontId="12" fillId="0" borderId="0" xfId="0" applyNumberFormat="1" applyFont="1" applyAlignment="1">
      <alignment horizontal="center"/>
    </xf>
    <xf numFmtId="2" fontId="12" fillId="0" borderId="0" xfId="0" applyNumberFormat="1" applyFont="1"/>
    <xf numFmtId="0" fontId="18" fillId="0" borderId="12" xfId="0" applyFont="1" applyBorder="1" applyAlignment="1">
      <alignment horizontal="center"/>
    </xf>
    <xf numFmtId="0" fontId="9" fillId="0" borderId="12" xfId="0" applyFont="1" applyBorder="1"/>
    <xf numFmtId="0" fontId="16" fillId="0" borderId="12" xfId="0" applyFont="1" applyBorder="1"/>
    <xf numFmtId="165" fontId="57" fillId="0" borderId="12" xfId="0" applyNumberFormat="1" applyFont="1" applyBorder="1" applyAlignment="1">
      <alignment horizontal="center"/>
    </xf>
    <xf numFmtId="165" fontId="12" fillId="0" borderId="12" xfId="0" applyNumberFormat="1" applyFont="1" applyBorder="1" applyAlignment="1">
      <alignment horizontal="center"/>
    </xf>
    <xf numFmtId="166" fontId="40" fillId="0" borderId="12" xfId="0" applyNumberFormat="1" applyFont="1" applyBorder="1" applyAlignment="1">
      <alignment horizontal="center"/>
    </xf>
    <xf numFmtId="166" fontId="12" fillId="0" borderId="12" xfId="0" applyNumberFormat="1" applyFont="1" applyBorder="1" applyAlignment="1">
      <alignment horizontal="center"/>
    </xf>
    <xf numFmtId="0" fontId="57" fillId="0" borderId="7" xfId="0" applyFont="1" applyBorder="1" applyAlignment="1">
      <alignment horizontal="center"/>
    </xf>
    <xf numFmtId="4" fontId="18" fillId="0" borderId="0" xfId="0" applyNumberFormat="1" applyFont="1" applyAlignment="1">
      <alignment horizontal="center" vertical="center"/>
    </xf>
    <xf numFmtId="166" fontId="18" fillId="0" borderId="0" xfId="0" applyNumberFormat="1" applyFont="1" applyAlignment="1">
      <alignment horizontal="center" vertical="center"/>
    </xf>
    <xf numFmtId="168" fontId="40" fillId="0" borderId="0" xfId="0" applyNumberFormat="1" applyFont="1" applyAlignment="1">
      <alignment horizontal="center"/>
    </xf>
    <xf numFmtId="169" fontId="40" fillId="0" borderId="0" xfId="0" applyNumberFormat="1" applyFont="1" applyAlignment="1">
      <alignment horizontal="center" vertical="center"/>
    </xf>
    <xf numFmtId="0" fontId="38" fillId="0" borderId="2" xfId="0" applyFont="1" applyBorder="1" applyAlignment="1">
      <alignment horizontal="center"/>
    </xf>
    <xf numFmtId="0" fontId="38" fillId="0" borderId="7" xfId="0" applyFont="1" applyBorder="1" applyAlignment="1">
      <alignment horizontal="center"/>
    </xf>
    <xf numFmtId="164" fontId="18" fillId="0" borderId="0" xfId="0" applyNumberFormat="1" applyFont="1" applyAlignment="1">
      <alignment horizontal="center" vertical="center"/>
    </xf>
    <xf numFmtId="164" fontId="18" fillId="0" borderId="0" xfId="0" applyNumberFormat="1" applyFont="1" applyAlignment="1">
      <alignment horizontal="center" vertical="center" wrapText="1"/>
    </xf>
    <xf numFmtId="165" fontId="35" fillId="0" borderId="6" xfId="0" applyNumberFormat="1" applyFont="1" applyBorder="1" applyAlignment="1">
      <alignment horizontal="center"/>
    </xf>
    <xf numFmtId="165" fontId="35" fillId="0" borderId="0" xfId="0" applyNumberFormat="1" applyFont="1" applyAlignment="1">
      <alignment horizontal="center"/>
    </xf>
    <xf numFmtId="2" fontId="35" fillId="0" borderId="0" xfId="0" applyNumberFormat="1" applyFont="1" applyAlignment="1">
      <alignment horizontal="center"/>
    </xf>
    <xf numFmtId="166" fontId="35" fillId="0" borderId="0" xfId="0" applyNumberFormat="1" applyFont="1" applyAlignment="1">
      <alignment horizontal="center"/>
    </xf>
    <xf numFmtId="166" fontId="32" fillId="0" borderId="0" xfId="0" applyNumberFormat="1" applyFont="1" applyAlignment="1">
      <alignment horizontal="center"/>
    </xf>
    <xf numFmtId="2" fontId="18" fillId="0" borderId="0" xfId="0" applyNumberFormat="1" applyFont="1" applyAlignment="1">
      <alignment horizontal="center" wrapText="1"/>
    </xf>
    <xf numFmtId="2" fontId="18" fillId="0" borderId="12" xfId="0" applyNumberFormat="1" applyFont="1" applyBorder="1" applyAlignment="1">
      <alignment horizontal="center" vertical="center" wrapText="1"/>
    </xf>
    <xf numFmtId="2" fontId="18" fillId="0" borderId="12" xfId="0" applyNumberFormat="1" applyFont="1" applyBorder="1" applyAlignment="1">
      <alignment horizontal="center"/>
    </xf>
    <xf numFmtId="166" fontId="32" fillId="0" borderId="7" xfId="0" applyNumberFormat="1" applyFont="1" applyBorder="1" applyAlignment="1">
      <alignment horizontal="center"/>
    </xf>
    <xf numFmtId="164" fontId="76" fillId="0" borderId="12" xfId="0" applyNumberFormat="1" applyFont="1" applyBorder="1" applyAlignment="1">
      <alignment horizontal="center"/>
    </xf>
    <xf numFmtId="168" fontId="77" fillId="0" borderId="12" xfId="0" applyNumberFormat="1" applyFont="1" applyBorder="1"/>
    <xf numFmtId="2" fontId="78" fillId="0" borderId="12" xfId="0" applyNumberFormat="1" applyFont="1" applyBorder="1" applyAlignment="1">
      <alignment horizontal="center"/>
    </xf>
    <xf numFmtId="2" fontId="12" fillId="0" borderId="12" xfId="0" applyNumberFormat="1" applyFont="1" applyBorder="1" applyAlignment="1">
      <alignment horizontal="center"/>
    </xf>
    <xf numFmtId="165" fontId="40" fillId="0" borderId="12" xfId="0" applyNumberFormat="1" applyFont="1" applyBorder="1" applyAlignment="1">
      <alignment horizontal="center"/>
    </xf>
    <xf numFmtId="177" fontId="18" fillId="0" borderId="13" xfId="0" applyNumberFormat="1" applyFont="1" applyBorder="1"/>
    <xf numFmtId="177" fontId="12" fillId="0" borderId="13" xfId="0" applyNumberFormat="1" applyFont="1" applyBorder="1"/>
    <xf numFmtId="1" fontId="40" fillId="0" borderId="12" xfId="0" applyNumberFormat="1" applyFont="1" applyBorder="1" applyAlignment="1">
      <alignment horizontal="center"/>
    </xf>
    <xf numFmtId="1" fontId="12" fillId="0" borderId="12" xfId="0" applyNumberFormat="1" applyFont="1" applyBorder="1" applyAlignment="1">
      <alignment horizontal="center"/>
    </xf>
    <xf numFmtId="168" fontId="12" fillId="0" borderId="12" xfId="0" applyNumberFormat="1" applyFont="1" applyBorder="1" applyAlignment="1">
      <alignment horizontal="center"/>
    </xf>
    <xf numFmtId="11" fontId="40" fillId="0" borderId="12" xfId="0" applyNumberFormat="1" applyFont="1" applyBorder="1" applyAlignment="1">
      <alignment horizontal="center"/>
    </xf>
    <xf numFmtId="164" fontId="12" fillId="0" borderId="12" xfId="0" applyNumberFormat="1" applyFont="1" applyBorder="1" applyAlignment="1">
      <alignment horizontal="center"/>
    </xf>
    <xf numFmtId="0" fontId="32" fillId="0" borderId="7" xfId="0" applyFont="1" applyBorder="1" applyAlignment="1">
      <alignment horizontal="center"/>
    </xf>
    <xf numFmtId="165" fontId="39" fillId="0" borderId="2" xfId="0" applyNumberFormat="1" applyFont="1" applyBorder="1" applyAlignment="1">
      <alignment horizontal="center"/>
    </xf>
    <xf numFmtId="166" fontId="38" fillId="0" borderId="7" xfId="0" applyNumberFormat="1" applyFont="1" applyBorder="1" applyAlignment="1">
      <alignment horizontal="center"/>
    </xf>
    <xf numFmtId="0" fontId="32" fillId="0" borderId="2" xfId="0" applyFont="1" applyBorder="1" applyAlignment="1">
      <alignment horizontal="center"/>
    </xf>
    <xf numFmtId="0" fontId="32" fillId="0" borderId="7" xfId="0" applyFont="1" applyBorder="1" applyAlignment="1">
      <alignment horizontal="center" wrapText="1"/>
    </xf>
    <xf numFmtId="0" fontId="38" fillId="0" borderId="12" xfId="0" applyFont="1" applyBorder="1" applyAlignment="1">
      <alignment horizontal="center"/>
    </xf>
    <xf numFmtId="0" fontId="35" fillId="0" borderId="1" xfId="0" applyFont="1" applyBorder="1" applyAlignment="1">
      <alignment horizontal="center"/>
    </xf>
    <xf numFmtId="0" fontId="35" fillId="0" borderId="7" xfId="0" applyFont="1" applyBorder="1" applyAlignment="1">
      <alignment horizontal="center"/>
    </xf>
    <xf numFmtId="0" fontId="35" fillId="0" borderId="6" xfId="0" applyFont="1" applyBorder="1" applyAlignment="1">
      <alignment horizontal="center"/>
    </xf>
    <xf numFmtId="0" fontId="38" fillId="0" borderId="7" xfId="0" applyFont="1" applyBorder="1" applyAlignment="1">
      <alignment horizontal="center" wrapText="1"/>
    </xf>
    <xf numFmtId="0" fontId="18" fillId="0" borderId="12" xfId="0" applyFont="1" applyBorder="1" applyAlignment="1">
      <alignment horizontal="center" vertical="center"/>
    </xf>
    <xf numFmtId="2" fontId="18" fillId="0" borderId="12" xfId="0" applyNumberFormat="1" applyFont="1" applyBorder="1" applyAlignment="1">
      <alignment horizontal="center" vertical="center"/>
    </xf>
    <xf numFmtId="165" fontId="18" fillId="0" borderId="12" xfId="0" applyNumberFormat="1" applyFont="1" applyBorder="1" applyAlignment="1">
      <alignment horizontal="center"/>
    </xf>
    <xf numFmtId="164" fontId="32" fillId="3" borderId="4" xfId="0" applyNumberFormat="1" applyFont="1" applyFill="1" applyBorder="1" applyAlignment="1">
      <alignment horizontal="center"/>
    </xf>
    <xf numFmtId="167" fontId="32" fillId="3" borderId="4" xfId="0" applyNumberFormat="1" applyFont="1" applyFill="1" applyBorder="1" applyAlignment="1">
      <alignment horizontal="center"/>
    </xf>
    <xf numFmtId="167" fontId="32" fillId="3" borderId="5" xfId="0" applyNumberFormat="1" applyFont="1" applyFill="1" applyBorder="1" applyAlignment="1">
      <alignment horizontal="center"/>
    </xf>
    <xf numFmtId="164" fontId="32" fillId="3" borderId="3" xfId="0" applyNumberFormat="1" applyFont="1" applyFill="1" applyBorder="1" applyAlignment="1">
      <alignment horizontal="center"/>
    </xf>
    <xf numFmtId="11" fontId="32" fillId="3" borderId="4" xfId="0" applyNumberFormat="1" applyFont="1" applyFill="1" applyBorder="1" applyAlignment="1">
      <alignment horizontal="center"/>
    </xf>
    <xf numFmtId="164" fontId="32" fillId="2" borderId="0" xfId="0" applyNumberFormat="1" applyFont="1" applyFill="1" applyAlignment="1">
      <alignment horizontal="center" wrapText="1"/>
    </xf>
    <xf numFmtId="11" fontId="32" fillId="2" borderId="0" xfId="0" applyNumberFormat="1" applyFont="1" applyFill="1" applyAlignment="1">
      <alignment horizontal="center" wrapText="1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2" fontId="18" fillId="0" borderId="6" xfId="0" applyNumberFormat="1" applyFont="1" applyBorder="1" applyAlignment="1">
      <alignment horizontal="center" vertical="center"/>
    </xf>
    <xf numFmtId="165" fontId="49" fillId="0" borderId="0" xfId="0" applyNumberFormat="1" applyFont="1" applyAlignment="1">
      <alignment horizontal="center" vertical="center"/>
    </xf>
    <xf numFmtId="181" fontId="18" fillId="0" borderId="0" xfId="0" applyNumberFormat="1" applyFont="1" applyAlignment="1">
      <alignment horizontal="center" vertical="center" wrapText="1"/>
    </xf>
    <xf numFmtId="4" fontId="0" fillId="0" borderId="0" xfId="0" applyNumberFormat="1" applyAlignment="1">
      <alignment vertical="center" wrapText="1"/>
    </xf>
    <xf numFmtId="165" fontId="49" fillId="0" borderId="0" xfId="0" applyNumberFormat="1" applyFont="1" applyAlignment="1">
      <alignment horizontal="center"/>
    </xf>
    <xf numFmtId="11" fontId="18" fillId="2" borderId="0" xfId="0" applyNumberFormat="1" applyFont="1" applyFill="1" applyAlignment="1">
      <alignment horizontal="center"/>
    </xf>
    <xf numFmtId="168" fontId="32" fillId="3" borderId="4" xfId="0" applyNumberFormat="1" applyFont="1" applyFill="1" applyBorder="1" applyAlignment="1">
      <alignment horizontal="center"/>
    </xf>
    <xf numFmtId="169" fontId="32" fillId="3" borderId="4" xfId="0" applyNumberFormat="1" applyFont="1" applyFill="1" applyBorder="1" applyAlignment="1">
      <alignment horizontal="center"/>
    </xf>
    <xf numFmtId="164" fontId="49" fillId="0" borderId="0" xfId="0" applyNumberFormat="1" applyFont="1" applyAlignment="1">
      <alignment horizontal="center" vertical="center"/>
    </xf>
    <xf numFmtId="1" fontId="18" fillId="0" borderId="0" xfId="0" applyNumberFormat="1" applyFont="1" applyAlignment="1">
      <alignment horizontal="center"/>
    </xf>
    <xf numFmtId="180" fontId="18" fillId="0" borderId="0" xfId="0" applyNumberFormat="1" applyFont="1" applyAlignment="1">
      <alignment horizontal="center"/>
    </xf>
    <xf numFmtId="0" fontId="9" fillId="0" borderId="0" xfId="0" applyFont="1" applyAlignment="1">
      <alignment horizontal="left"/>
    </xf>
    <xf numFmtId="167" fontId="0" fillId="0" borderId="0" xfId="0" applyNumberFormat="1"/>
    <xf numFmtId="0" fontId="79" fillId="0" borderId="0" xfId="0" applyFont="1" applyAlignment="1">
      <alignment horizontal="center"/>
    </xf>
    <xf numFmtId="168" fontId="79" fillId="0" borderId="0" xfId="0" applyNumberFormat="1" applyFont="1" applyAlignment="1">
      <alignment horizontal="center"/>
    </xf>
    <xf numFmtId="2" fontId="79" fillId="0" borderId="0" xfId="0" applyNumberFormat="1" applyFont="1" applyAlignment="1">
      <alignment horizontal="center"/>
    </xf>
    <xf numFmtId="165" fontId="79" fillId="0" borderId="0" xfId="0" applyNumberFormat="1" applyFont="1" applyAlignment="1">
      <alignment horizontal="center"/>
    </xf>
    <xf numFmtId="164" fontId="79" fillId="0" borderId="0" xfId="0" applyNumberFormat="1" applyFont="1" applyAlignment="1">
      <alignment horizontal="center"/>
    </xf>
    <xf numFmtId="1" fontId="79" fillId="0" borderId="0" xfId="0" applyNumberFormat="1" applyFont="1" applyAlignment="1">
      <alignment horizontal="center"/>
    </xf>
    <xf numFmtId="11" fontId="79" fillId="0" borderId="0" xfId="0" applyNumberFormat="1" applyFont="1" applyAlignment="1">
      <alignment horizontal="center"/>
    </xf>
    <xf numFmtId="1" fontId="79" fillId="0" borderId="0" xfId="0" applyNumberFormat="1" applyFont="1" applyAlignment="1">
      <alignment horizontal="center" vertical="center"/>
    </xf>
    <xf numFmtId="167" fontId="79" fillId="0" borderId="0" xfId="0" applyNumberFormat="1" applyFont="1" applyAlignment="1">
      <alignment horizontal="center" vertical="center"/>
    </xf>
    <xf numFmtId="11" fontId="79" fillId="0" borderId="0" xfId="0" applyNumberFormat="1" applyFont="1" applyAlignment="1">
      <alignment horizontal="center" vertical="center"/>
    </xf>
    <xf numFmtId="1" fontId="80" fillId="0" borderId="0" xfId="0" applyNumberFormat="1" applyFont="1" applyAlignment="1">
      <alignment horizontal="center"/>
    </xf>
    <xf numFmtId="11" fontId="38" fillId="0" borderId="0" xfId="0" applyNumberFormat="1" applyFont="1" applyAlignment="1">
      <alignment horizontal="center"/>
    </xf>
    <xf numFmtId="2" fontId="38" fillId="0" borderId="3" xfId="0" applyNumberFormat="1" applyFont="1" applyBorder="1" applyAlignment="1">
      <alignment horizontal="center"/>
    </xf>
    <xf numFmtId="0" fontId="16" fillId="0" borderId="0" xfId="0" applyFont="1" applyAlignment="1">
      <alignment horizontal="center"/>
    </xf>
    <xf numFmtId="0" fontId="32" fillId="0" borderId="0" xfId="0" applyFont="1" applyAlignment="1">
      <alignment horizontal="left"/>
    </xf>
    <xf numFmtId="168" fontId="32" fillId="0" borderId="0" xfId="0" applyNumberFormat="1" applyFont="1" applyAlignment="1">
      <alignment horizontal="center"/>
    </xf>
    <xf numFmtId="14" fontId="32" fillId="0" borderId="0" xfId="0" applyNumberFormat="1" applyFont="1" applyAlignment="1">
      <alignment horizontal="center"/>
    </xf>
    <xf numFmtId="14" fontId="32" fillId="0" borderId="0" xfId="0" applyNumberFormat="1" applyFont="1" applyAlignment="1">
      <alignment horizontal="center" vertical="center"/>
    </xf>
    <xf numFmtId="165" fontId="38" fillId="0" borderId="0" xfId="0" applyNumberFormat="1" applyFont="1" applyAlignment="1">
      <alignment horizontal="center"/>
    </xf>
    <xf numFmtId="164" fontId="32" fillId="0" borderId="0" xfId="0" applyNumberFormat="1" applyFont="1" applyAlignment="1">
      <alignment horizontal="center"/>
    </xf>
    <xf numFmtId="11" fontId="32" fillId="0" borderId="0" xfId="0" applyNumberFormat="1" applyFont="1" applyAlignment="1">
      <alignment horizontal="center"/>
    </xf>
    <xf numFmtId="167" fontId="38" fillId="0" borderId="0" xfId="0" applyNumberFormat="1" applyFont="1" applyAlignment="1">
      <alignment horizontal="center"/>
    </xf>
    <xf numFmtId="167" fontId="32" fillId="0" borderId="0" xfId="0" applyNumberFormat="1" applyFont="1" applyAlignment="1">
      <alignment horizontal="center"/>
    </xf>
    <xf numFmtId="166" fontId="38" fillId="0" borderId="0" xfId="0" applyNumberFormat="1" applyFont="1" applyAlignment="1">
      <alignment horizontal="center"/>
    </xf>
    <xf numFmtId="164" fontId="38" fillId="0" borderId="0" xfId="0" applyNumberFormat="1" applyFont="1" applyAlignment="1">
      <alignment horizontal="center"/>
    </xf>
    <xf numFmtId="0" fontId="31" fillId="0" borderId="0" xfId="0" applyFont="1" applyAlignment="1">
      <alignment horizontal="center"/>
    </xf>
    <xf numFmtId="11" fontId="80" fillId="0" borderId="0" xfId="0" applyNumberFormat="1" applyFont="1" applyAlignment="1">
      <alignment horizontal="center"/>
    </xf>
    <xf numFmtId="0" fontId="38" fillId="0" borderId="3" xfId="0" applyFont="1" applyBorder="1"/>
    <xf numFmtId="0" fontId="38" fillId="0" borderId="4" xfId="0" applyFont="1" applyBorder="1"/>
    <xf numFmtId="0" fontId="38" fillId="0" borderId="5" xfId="0" applyFont="1" applyBorder="1"/>
    <xf numFmtId="9" fontId="40" fillId="0" borderId="0" xfId="624" applyFont="1" applyFill="1" applyBorder="1" applyAlignment="1">
      <alignment horizontal="center"/>
    </xf>
    <xf numFmtId="9" fontId="38" fillId="0" borderId="0" xfId="0" applyNumberFormat="1" applyFont="1" applyAlignment="1">
      <alignment horizontal="center"/>
    </xf>
    <xf numFmtId="9" fontId="38" fillId="0" borderId="0" xfId="624" applyFont="1" applyFill="1" applyBorder="1" applyAlignment="1">
      <alignment horizontal="center"/>
    </xf>
    <xf numFmtId="176" fontId="40" fillId="0" borderId="0" xfId="624" applyNumberFormat="1" applyFont="1" applyFill="1" applyBorder="1" applyAlignment="1">
      <alignment horizontal="center"/>
    </xf>
    <xf numFmtId="10" fontId="40" fillId="0" borderId="0" xfId="624" applyNumberFormat="1" applyFont="1" applyFill="1" applyAlignment="1">
      <alignment horizontal="center"/>
    </xf>
    <xf numFmtId="2" fontId="29" fillId="0" borderId="0" xfId="0" applyNumberFormat="1" applyFont="1" applyAlignment="1">
      <alignment horizontal="center"/>
    </xf>
    <xf numFmtId="2" fontId="32" fillId="0" borderId="9" xfId="0" applyNumberFormat="1" applyFont="1" applyBorder="1" applyAlignment="1">
      <alignment horizontal="center" vertical="center"/>
    </xf>
    <xf numFmtId="11" fontId="34" fillId="0" borderId="0" xfId="0" applyNumberFormat="1" applyFont="1" applyAlignment="1">
      <alignment horizontal="center"/>
    </xf>
    <xf numFmtId="1" fontId="34" fillId="0" borderId="0" xfId="0" applyNumberFormat="1" applyFont="1" applyAlignment="1">
      <alignment horizontal="center"/>
    </xf>
    <xf numFmtId="2" fontId="31" fillId="0" borderId="0" xfId="0" applyNumberFormat="1" applyFont="1" applyAlignment="1">
      <alignment horizontal="center"/>
    </xf>
    <xf numFmtId="11" fontId="31" fillId="0" borderId="0" xfId="0" applyNumberFormat="1" applyFont="1" applyAlignment="1">
      <alignment horizontal="center"/>
    </xf>
    <xf numFmtId="165" fontId="29" fillId="0" borderId="0" xfId="0" applyNumberFormat="1" applyFont="1" applyAlignment="1">
      <alignment horizontal="center"/>
    </xf>
    <xf numFmtId="167" fontId="29" fillId="0" borderId="0" xfId="0" applyNumberFormat="1" applyFont="1" applyAlignment="1">
      <alignment horizontal="center"/>
    </xf>
    <xf numFmtId="2" fontId="16" fillId="0" borderId="0" xfId="0" applyNumberFormat="1" applyFont="1" applyAlignment="1">
      <alignment horizontal="center"/>
    </xf>
    <xf numFmtId="0" fontId="54" fillId="0" borderId="1" xfId="0" applyFont="1" applyBorder="1"/>
    <xf numFmtId="0" fontId="0" fillId="0" borderId="2" xfId="0" applyBorder="1"/>
    <xf numFmtId="0" fontId="0" fillId="0" borderId="7" xfId="0" applyBorder="1"/>
    <xf numFmtId="0" fontId="0" fillId="0" borderId="6" xfId="0" applyBorder="1"/>
    <xf numFmtId="0" fontId="0" fillId="0" borderId="12" xfId="0" applyBorder="1"/>
    <xf numFmtId="0" fontId="83" fillId="0" borderId="0" xfId="0" applyFont="1"/>
    <xf numFmtId="0" fontId="0" fillId="2" borderId="14" xfId="0" applyFill="1" applyBorder="1"/>
    <xf numFmtId="0" fontId="84" fillId="0" borderId="0" xfId="0" applyFont="1"/>
    <xf numFmtId="182" fontId="0" fillId="0" borderId="0" xfId="0" applyNumberFormat="1"/>
    <xf numFmtId="169" fontId="0" fillId="0" borderId="0" xfId="0" applyNumberFormat="1"/>
    <xf numFmtId="0" fontId="0" fillId="0" borderId="0" xfId="0" applyAlignment="1">
      <alignment horizontal="center"/>
    </xf>
    <xf numFmtId="0" fontId="54" fillId="6" borderId="15" xfId="0" applyFont="1" applyFill="1" applyBorder="1" applyAlignment="1">
      <alignment horizontal="center"/>
    </xf>
    <xf numFmtId="0" fontId="54" fillId="6" borderId="16" xfId="0" applyFont="1" applyFill="1" applyBorder="1" applyAlignment="1">
      <alignment horizontal="center"/>
    </xf>
    <xf numFmtId="0" fontId="54" fillId="0" borderId="0" xfId="0" applyFont="1" applyAlignment="1">
      <alignment horizontal="right"/>
    </xf>
    <xf numFmtId="0" fontId="54" fillId="6" borderId="17" xfId="0" applyFont="1" applyFill="1" applyBorder="1"/>
    <xf numFmtId="169" fontId="54" fillId="6" borderId="18" xfId="0" applyNumberFormat="1" applyFont="1" applyFill="1" applyBorder="1"/>
    <xf numFmtId="0" fontId="54" fillId="6" borderId="18" xfId="0" applyFont="1" applyFill="1" applyBorder="1"/>
    <xf numFmtId="177" fontId="54" fillId="6" borderId="17" xfId="0" applyNumberFormat="1" applyFont="1" applyFill="1" applyBorder="1"/>
    <xf numFmtId="0" fontId="0" fillId="0" borderId="8" xfId="0" applyBorder="1"/>
    <xf numFmtId="0" fontId="0" fillId="0" borderId="10" xfId="0" applyBorder="1"/>
    <xf numFmtId="164" fontId="0" fillId="0" borderId="10" xfId="0" applyNumberFormat="1" applyBorder="1"/>
    <xf numFmtId="164" fontId="0" fillId="5" borderId="10" xfId="0" applyNumberFormat="1" applyFill="1" applyBorder="1"/>
    <xf numFmtId="0" fontId="0" fillId="0" borderId="9" xfId="0" applyBorder="1"/>
    <xf numFmtId="0" fontId="83" fillId="0" borderId="0" xfId="0" applyFont="1" applyAlignment="1">
      <alignment horizontal="right"/>
    </xf>
    <xf numFmtId="22" fontId="0" fillId="0" borderId="0" xfId="0" applyNumberFormat="1" applyAlignment="1">
      <alignment vertical="center" wrapText="1"/>
    </xf>
    <xf numFmtId="0" fontId="85" fillId="0" borderId="0" xfId="0" applyFont="1" applyAlignment="1">
      <alignment horizontal="center"/>
    </xf>
    <xf numFmtId="0" fontId="85" fillId="0" borderId="3" xfId="0" applyFont="1" applyBorder="1" applyAlignment="1">
      <alignment horizontal="center"/>
    </xf>
    <xf numFmtId="0" fontId="85" fillId="0" borderId="4" xfId="0" applyFont="1" applyBorder="1" applyAlignment="1">
      <alignment horizontal="center"/>
    </xf>
    <xf numFmtId="0" fontId="85" fillId="0" borderId="5" xfId="0" applyFont="1" applyBorder="1" applyAlignment="1">
      <alignment horizontal="center"/>
    </xf>
    <xf numFmtId="0" fontId="86" fillId="0" borderId="0" xfId="0" applyFont="1" applyAlignment="1">
      <alignment horizontal="center"/>
    </xf>
    <xf numFmtId="0" fontId="85" fillId="0" borderId="3" xfId="0" applyFont="1" applyBorder="1" applyAlignment="1">
      <alignment horizontal="center" vertical="center"/>
    </xf>
    <xf numFmtId="0" fontId="32" fillId="0" borderId="20" xfId="0" applyFont="1" applyBorder="1" applyAlignment="1">
      <alignment horizontal="center"/>
    </xf>
    <xf numFmtId="0" fontId="16" fillId="0" borderId="20" xfId="0" applyFont="1" applyBorder="1" applyAlignment="1">
      <alignment horizontal="center"/>
    </xf>
    <xf numFmtId="0" fontId="32" fillId="0" borderId="20" xfId="0" applyFont="1" applyBorder="1" applyAlignment="1">
      <alignment horizontal="left"/>
    </xf>
    <xf numFmtId="168" fontId="32" fillId="0" borderId="20" xfId="0" applyNumberFormat="1" applyFont="1" applyBorder="1" applyAlignment="1">
      <alignment horizontal="center"/>
    </xf>
    <xf numFmtId="14" fontId="32" fillId="0" borderId="20" xfId="0" applyNumberFormat="1" applyFont="1" applyBorder="1" applyAlignment="1">
      <alignment horizontal="center"/>
    </xf>
    <xf numFmtId="14" fontId="32" fillId="0" borderId="20" xfId="0" applyNumberFormat="1" applyFont="1" applyBorder="1" applyAlignment="1">
      <alignment horizontal="center" vertical="center"/>
    </xf>
    <xf numFmtId="2" fontId="32" fillId="0" borderId="20" xfId="0" applyNumberFormat="1" applyFont="1" applyBorder="1" applyAlignment="1">
      <alignment horizontal="center"/>
    </xf>
    <xf numFmtId="2" fontId="38" fillId="0" borderId="20" xfId="0" applyNumberFormat="1" applyFont="1" applyBorder="1" applyAlignment="1">
      <alignment horizontal="center"/>
    </xf>
    <xf numFmtId="165" fontId="32" fillId="0" borderId="20" xfId="0" applyNumberFormat="1" applyFont="1" applyBorder="1" applyAlignment="1">
      <alignment horizontal="center"/>
    </xf>
    <xf numFmtId="165" fontId="38" fillId="0" borderId="20" xfId="0" applyNumberFormat="1" applyFont="1" applyBorder="1" applyAlignment="1">
      <alignment horizontal="center"/>
    </xf>
    <xf numFmtId="164" fontId="32" fillId="0" borderId="20" xfId="0" applyNumberFormat="1" applyFont="1" applyBorder="1" applyAlignment="1">
      <alignment horizontal="center"/>
    </xf>
    <xf numFmtId="1" fontId="38" fillId="0" borderId="20" xfId="0" applyNumberFormat="1" applyFont="1" applyBorder="1" applyAlignment="1">
      <alignment horizontal="center"/>
    </xf>
    <xf numFmtId="11" fontId="32" fillId="0" borderId="20" xfId="0" applyNumberFormat="1" applyFont="1" applyBorder="1" applyAlignment="1">
      <alignment horizontal="center"/>
    </xf>
    <xf numFmtId="11" fontId="38" fillId="0" borderId="20" xfId="0" applyNumberFormat="1" applyFont="1" applyBorder="1" applyAlignment="1">
      <alignment horizontal="center"/>
    </xf>
    <xf numFmtId="167" fontId="38" fillId="0" borderId="20" xfId="0" applyNumberFormat="1" applyFont="1" applyBorder="1" applyAlignment="1">
      <alignment horizontal="center"/>
    </xf>
    <xf numFmtId="11" fontId="80" fillId="0" borderId="20" xfId="0" applyNumberFormat="1" applyFont="1" applyBorder="1" applyAlignment="1">
      <alignment horizontal="center"/>
    </xf>
    <xf numFmtId="167" fontId="32" fillId="0" borderId="20" xfId="0" applyNumberFormat="1" applyFont="1" applyBorder="1" applyAlignment="1">
      <alignment horizontal="center"/>
    </xf>
    <xf numFmtId="166" fontId="38" fillId="0" borderId="20" xfId="0" applyNumberFormat="1" applyFont="1" applyBorder="1" applyAlignment="1">
      <alignment horizontal="center"/>
    </xf>
    <xf numFmtId="164" fontId="38" fillId="0" borderId="20" xfId="0" applyNumberFormat="1" applyFont="1" applyBorder="1" applyAlignment="1">
      <alignment horizontal="center"/>
    </xf>
    <xf numFmtId="9" fontId="38" fillId="0" borderId="20" xfId="624" applyFont="1" applyFill="1" applyBorder="1" applyAlignment="1">
      <alignment horizontal="center"/>
    </xf>
    <xf numFmtId="0" fontId="80" fillId="0" borderId="20" xfId="0" applyFont="1" applyBorder="1" applyAlignment="1">
      <alignment horizontal="center"/>
    </xf>
    <xf numFmtId="11" fontId="34" fillId="0" borderId="20" xfId="0" applyNumberFormat="1" applyFont="1" applyBorder="1" applyAlignment="1">
      <alignment horizontal="center"/>
    </xf>
    <xf numFmtId="2" fontId="34" fillId="0" borderId="20" xfId="0" applyNumberFormat="1" applyFont="1" applyBorder="1" applyAlignment="1">
      <alignment horizontal="center"/>
    </xf>
    <xf numFmtId="1" fontId="34" fillId="0" borderId="20" xfId="0" applyNumberFormat="1" applyFont="1" applyBorder="1" applyAlignment="1">
      <alignment horizontal="center"/>
    </xf>
    <xf numFmtId="2" fontId="31" fillId="0" borderId="20" xfId="0" applyNumberFormat="1" applyFont="1" applyBorder="1" applyAlignment="1">
      <alignment horizontal="center"/>
    </xf>
    <xf numFmtId="11" fontId="31" fillId="0" borderId="20" xfId="0" applyNumberFormat="1" applyFont="1" applyBorder="1" applyAlignment="1">
      <alignment horizontal="center"/>
    </xf>
    <xf numFmtId="167" fontId="31" fillId="0" borderId="20" xfId="0" applyNumberFormat="1" applyFont="1" applyBorder="1" applyAlignment="1">
      <alignment horizontal="center"/>
    </xf>
    <xf numFmtId="166" fontId="38" fillId="0" borderId="19" xfId="0" applyNumberFormat="1" applyFont="1" applyBorder="1" applyAlignment="1">
      <alignment horizontal="center"/>
    </xf>
    <xf numFmtId="0" fontId="32" fillId="7" borderId="19" xfId="0" applyFont="1" applyFill="1" applyBorder="1" applyAlignment="1">
      <alignment horizontal="left"/>
    </xf>
    <xf numFmtId="0" fontId="32" fillId="7" borderId="19" xfId="0" applyFont="1" applyFill="1" applyBorder="1" applyAlignment="1">
      <alignment horizontal="center"/>
    </xf>
    <xf numFmtId="168" fontId="32" fillId="7" borderId="19" xfId="0" applyNumberFormat="1" applyFont="1" applyFill="1" applyBorder="1" applyAlignment="1">
      <alignment horizontal="center"/>
    </xf>
    <xf numFmtId="14" fontId="32" fillId="7" borderId="19" xfId="0" applyNumberFormat="1" applyFont="1" applyFill="1" applyBorder="1" applyAlignment="1">
      <alignment horizontal="center"/>
    </xf>
    <xf numFmtId="14" fontId="32" fillId="7" borderId="19" xfId="0" applyNumberFormat="1" applyFont="1" applyFill="1" applyBorder="1" applyAlignment="1">
      <alignment horizontal="center" vertical="center"/>
    </xf>
    <xf numFmtId="2" fontId="32" fillId="7" borderId="19" xfId="0" applyNumberFormat="1" applyFont="1" applyFill="1" applyBorder="1" applyAlignment="1">
      <alignment horizontal="center"/>
    </xf>
    <xf numFmtId="2" fontId="38" fillId="7" borderId="19" xfId="0" applyNumberFormat="1" applyFont="1" applyFill="1" applyBorder="1" applyAlignment="1">
      <alignment horizontal="center"/>
    </xf>
    <xf numFmtId="165" fontId="32" fillId="7" borderId="19" xfId="0" applyNumberFormat="1" applyFont="1" applyFill="1" applyBorder="1" applyAlignment="1">
      <alignment horizontal="center"/>
    </xf>
    <xf numFmtId="165" fontId="38" fillId="7" borderId="19" xfId="0" applyNumberFormat="1" applyFont="1" applyFill="1" applyBorder="1" applyAlignment="1">
      <alignment horizontal="center"/>
    </xf>
    <xf numFmtId="164" fontId="32" fillId="7" borderId="19" xfId="0" applyNumberFormat="1" applyFont="1" applyFill="1" applyBorder="1" applyAlignment="1">
      <alignment horizontal="center"/>
    </xf>
    <xf numFmtId="1" fontId="38" fillId="7" borderId="19" xfId="0" applyNumberFormat="1" applyFont="1" applyFill="1" applyBorder="1" applyAlignment="1">
      <alignment horizontal="center"/>
    </xf>
    <xf numFmtId="11" fontId="32" fillId="7" borderId="19" xfId="0" applyNumberFormat="1" applyFont="1" applyFill="1" applyBorder="1" applyAlignment="1">
      <alignment horizontal="center"/>
    </xf>
    <xf numFmtId="11" fontId="38" fillId="7" borderId="19" xfId="0" applyNumberFormat="1" applyFont="1" applyFill="1" applyBorder="1" applyAlignment="1">
      <alignment horizontal="center"/>
    </xf>
    <xf numFmtId="167" fontId="38" fillId="7" borderId="19" xfId="0" applyNumberFormat="1" applyFont="1" applyFill="1" applyBorder="1" applyAlignment="1">
      <alignment horizontal="center"/>
    </xf>
    <xf numFmtId="11" fontId="80" fillId="7" borderId="19" xfId="0" applyNumberFormat="1" applyFont="1" applyFill="1" applyBorder="1" applyAlignment="1">
      <alignment horizontal="center"/>
    </xf>
    <xf numFmtId="167" fontId="32" fillId="7" borderId="19" xfId="0" applyNumberFormat="1" applyFont="1" applyFill="1" applyBorder="1" applyAlignment="1">
      <alignment horizontal="center"/>
    </xf>
    <xf numFmtId="166" fontId="38" fillId="7" borderId="19" xfId="0" applyNumberFormat="1" applyFont="1" applyFill="1" applyBorder="1" applyAlignment="1">
      <alignment horizontal="center"/>
    </xf>
    <xf numFmtId="164" fontId="38" fillId="7" borderId="19" xfId="0" applyNumberFormat="1" applyFont="1" applyFill="1" applyBorder="1" applyAlignment="1">
      <alignment horizontal="center"/>
    </xf>
    <xf numFmtId="9" fontId="38" fillId="7" borderId="19" xfId="624" applyFont="1" applyFill="1" applyBorder="1" applyAlignment="1">
      <alignment horizontal="center"/>
    </xf>
    <xf numFmtId="0" fontId="80" fillId="7" borderId="19" xfId="0" applyFont="1" applyFill="1" applyBorder="1" applyAlignment="1">
      <alignment horizontal="center"/>
    </xf>
    <xf numFmtId="0" fontId="16" fillId="7" borderId="19" xfId="0" applyFont="1" applyFill="1" applyBorder="1" applyAlignment="1">
      <alignment horizontal="center"/>
    </xf>
    <xf numFmtId="11" fontId="34" fillId="7" borderId="19" xfId="0" applyNumberFormat="1" applyFont="1" applyFill="1" applyBorder="1" applyAlignment="1">
      <alignment horizontal="center"/>
    </xf>
    <xf numFmtId="2" fontId="34" fillId="7" borderId="19" xfId="0" applyNumberFormat="1" applyFont="1" applyFill="1" applyBorder="1" applyAlignment="1">
      <alignment horizontal="center"/>
    </xf>
    <xf numFmtId="1" fontId="34" fillId="7" borderId="19" xfId="0" applyNumberFormat="1" applyFont="1" applyFill="1" applyBorder="1" applyAlignment="1">
      <alignment horizontal="center"/>
    </xf>
    <xf numFmtId="2" fontId="31" fillId="7" borderId="19" xfId="0" applyNumberFormat="1" applyFont="1" applyFill="1" applyBorder="1" applyAlignment="1">
      <alignment horizontal="center"/>
    </xf>
    <xf numFmtId="11" fontId="31" fillId="7" borderId="19" xfId="0" applyNumberFormat="1" applyFont="1" applyFill="1" applyBorder="1" applyAlignment="1">
      <alignment horizontal="center"/>
    </xf>
    <xf numFmtId="11" fontId="35" fillId="0" borderId="3" xfId="0" applyNumberFormat="1" applyFont="1" applyBorder="1" applyAlignment="1">
      <alignment horizontal="center" vertical="center"/>
    </xf>
    <xf numFmtId="11" fontId="32" fillId="0" borderId="4" xfId="0" applyNumberFormat="1" applyFont="1" applyBorder="1" applyAlignment="1">
      <alignment horizontal="center" vertical="center"/>
    </xf>
    <xf numFmtId="11" fontId="35" fillId="0" borderId="4" xfId="0" applyNumberFormat="1" applyFont="1" applyBorder="1" applyAlignment="1">
      <alignment horizontal="center" vertical="center"/>
    </xf>
    <xf numFmtId="11" fontId="32" fillId="0" borderId="5" xfId="0" applyNumberFormat="1" applyFont="1" applyBorder="1" applyAlignment="1">
      <alignment horizontal="center" vertical="center"/>
    </xf>
    <xf numFmtId="11" fontId="38" fillId="0" borderId="5" xfId="0" applyNumberFormat="1" applyFont="1" applyBorder="1" applyAlignment="1">
      <alignment horizontal="center" vertical="center"/>
    </xf>
    <xf numFmtId="1" fontId="38" fillId="0" borderId="4" xfId="0" applyNumberFormat="1" applyFont="1" applyBorder="1" applyAlignment="1">
      <alignment horizontal="center" wrapText="1"/>
    </xf>
    <xf numFmtId="1" fontId="38" fillId="0" borderId="5" xfId="0" applyNumberFormat="1" applyFont="1" applyBorder="1" applyAlignment="1">
      <alignment horizontal="center" wrapText="1"/>
    </xf>
    <xf numFmtId="1" fontId="39" fillId="0" borderId="4" xfId="0" applyNumberFormat="1" applyFont="1" applyBorder="1" applyAlignment="1">
      <alignment horizontal="center"/>
    </xf>
    <xf numFmtId="166" fontId="39" fillId="0" borderId="3" xfId="0" applyNumberFormat="1" applyFont="1" applyBorder="1" applyAlignment="1">
      <alignment horizontal="center"/>
    </xf>
    <xf numFmtId="1" fontId="38" fillId="0" borderId="20" xfId="0" applyNumberFormat="1" applyFont="1" applyBorder="1" applyAlignment="1">
      <alignment horizontal="center" vertical="center"/>
    </xf>
    <xf numFmtId="167" fontId="38" fillId="0" borderId="20" xfId="0" applyNumberFormat="1" applyFont="1" applyBorder="1" applyAlignment="1">
      <alignment horizontal="center" vertical="center"/>
    </xf>
    <xf numFmtId="11" fontId="38" fillId="0" borderId="20" xfId="0" applyNumberFormat="1" applyFont="1" applyBorder="1" applyAlignment="1">
      <alignment horizontal="center" vertical="center"/>
    </xf>
    <xf numFmtId="2" fontId="38" fillId="0" borderId="20" xfId="0" applyNumberFormat="1" applyFont="1" applyBorder="1" applyAlignment="1">
      <alignment horizontal="center" vertical="center"/>
    </xf>
    <xf numFmtId="1" fontId="38" fillId="7" borderId="19" xfId="0" applyNumberFormat="1" applyFont="1" applyFill="1" applyBorder="1" applyAlignment="1">
      <alignment horizontal="center" vertical="center"/>
    </xf>
    <xf numFmtId="167" fontId="38" fillId="7" borderId="19" xfId="0" applyNumberFormat="1" applyFont="1" applyFill="1" applyBorder="1" applyAlignment="1">
      <alignment horizontal="center" vertical="center"/>
    </xf>
    <xf numFmtId="11" fontId="38" fillId="7" borderId="19" xfId="0" applyNumberFormat="1" applyFont="1" applyFill="1" applyBorder="1" applyAlignment="1">
      <alignment horizontal="center" vertical="center"/>
    </xf>
    <xf numFmtId="2" fontId="38" fillId="7" borderId="19" xfId="0" applyNumberFormat="1" applyFont="1" applyFill="1" applyBorder="1" applyAlignment="1">
      <alignment horizontal="center" vertical="center"/>
    </xf>
    <xf numFmtId="166" fontId="38" fillId="0" borderId="20" xfId="0" applyNumberFormat="1" applyFont="1" applyBorder="1" applyAlignment="1">
      <alignment horizontal="center" vertical="center"/>
    </xf>
    <xf numFmtId="166" fontId="38" fillId="7" borderId="19" xfId="0" applyNumberFormat="1" applyFont="1" applyFill="1" applyBorder="1" applyAlignment="1">
      <alignment horizontal="center" vertical="center"/>
    </xf>
    <xf numFmtId="0" fontId="38" fillId="0" borderId="20" xfId="0" applyFont="1" applyBorder="1" applyAlignment="1">
      <alignment horizontal="center"/>
    </xf>
    <xf numFmtId="0" fontId="38" fillId="7" borderId="19" xfId="0" applyFont="1" applyFill="1" applyBorder="1" applyAlignment="1">
      <alignment horizontal="center"/>
    </xf>
    <xf numFmtId="11" fontId="86" fillId="0" borderId="0" xfId="0" applyNumberFormat="1" applyFont="1" applyAlignment="1">
      <alignment horizontal="center"/>
    </xf>
    <xf numFmtId="1" fontId="86" fillId="0" borderId="0" xfId="0" applyNumberFormat="1" applyFont="1" applyAlignment="1">
      <alignment horizontal="center"/>
    </xf>
    <xf numFmtId="11" fontId="85" fillId="0" borderId="20" xfId="0" applyNumberFormat="1" applyFont="1" applyBorder="1" applyAlignment="1">
      <alignment horizontal="center"/>
    </xf>
    <xf numFmtId="1" fontId="85" fillId="0" borderId="20" xfId="0" applyNumberFormat="1" applyFont="1" applyBorder="1" applyAlignment="1">
      <alignment horizontal="center"/>
    </xf>
    <xf numFmtId="11" fontId="85" fillId="7" borderId="19" xfId="0" applyNumberFormat="1" applyFont="1" applyFill="1" applyBorder="1" applyAlignment="1">
      <alignment horizontal="center"/>
    </xf>
    <xf numFmtId="1" fontId="85" fillId="7" borderId="19" xfId="0" applyNumberFormat="1" applyFont="1" applyFill="1" applyBorder="1" applyAlignment="1">
      <alignment horizontal="center"/>
    </xf>
    <xf numFmtId="11" fontId="32" fillId="0" borderId="4" xfId="0" applyNumberFormat="1" applyFont="1" applyBorder="1" applyAlignment="1">
      <alignment horizontal="center"/>
    </xf>
    <xf numFmtId="2" fontId="35" fillId="0" borderId="8" xfId="0" applyNumberFormat="1" applyFont="1" applyBorder="1" applyAlignment="1">
      <alignment horizontal="center"/>
    </xf>
    <xf numFmtId="2" fontId="9" fillId="0" borderId="0" xfId="0" applyNumberFormat="1" applyFont="1" applyAlignment="1">
      <alignment horizontal="center"/>
    </xf>
    <xf numFmtId="0" fontId="18" fillId="0" borderId="19" xfId="0" applyFont="1" applyBorder="1" applyAlignment="1">
      <alignment horizontal="left"/>
    </xf>
    <xf numFmtId="0" fontId="18" fillId="0" borderId="19" xfId="0" applyFont="1" applyBorder="1" applyAlignment="1">
      <alignment horizontal="center"/>
    </xf>
    <xf numFmtId="168" fontId="18" fillId="0" borderId="19" xfId="0" applyNumberFormat="1" applyFont="1" applyBorder="1" applyAlignment="1">
      <alignment horizontal="center"/>
    </xf>
    <xf numFmtId="14" fontId="18" fillId="0" borderId="19" xfId="0" applyNumberFormat="1" applyFont="1" applyBorder="1" applyAlignment="1">
      <alignment horizontal="center"/>
    </xf>
    <xf numFmtId="14" fontId="18" fillId="0" borderId="19" xfId="0" applyNumberFormat="1" applyFont="1" applyBorder="1" applyAlignment="1">
      <alignment horizontal="center" vertical="center"/>
    </xf>
    <xf numFmtId="2" fontId="18" fillId="0" borderId="19" xfId="0" applyNumberFormat="1" applyFont="1" applyBorder="1" applyAlignment="1">
      <alignment horizontal="center"/>
    </xf>
    <xf numFmtId="4" fontId="18" fillId="0" borderId="19" xfId="0" applyNumberFormat="1" applyFont="1" applyBorder="1" applyAlignment="1">
      <alignment horizontal="center"/>
    </xf>
    <xf numFmtId="2" fontId="40" fillId="0" borderId="19" xfId="0" applyNumberFormat="1" applyFont="1" applyBorder="1" applyAlignment="1">
      <alignment horizontal="center"/>
    </xf>
    <xf numFmtId="165" fontId="18" fillId="0" borderId="19" xfId="0" applyNumberFormat="1" applyFont="1" applyBorder="1" applyAlignment="1">
      <alignment horizontal="center"/>
    </xf>
    <xf numFmtId="165" fontId="40" fillId="0" borderId="19" xfId="0" applyNumberFormat="1" applyFont="1" applyBorder="1" applyAlignment="1">
      <alignment horizontal="center"/>
    </xf>
    <xf numFmtId="164" fontId="18" fillId="0" borderId="19" xfId="0" applyNumberFormat="1" applyFont="1" applyBorder="1" applyAlignment="1">
      <alignment horizontal="center"/>
    </xf>
    <xf numFmtId="11" fontId="40" fillId="0" borderId="19" xfId="0" applyNumberFormat="1" applyFont="1" applyBorder="1" applyAlignment="1">
      <alignment horizontal="center"/>
    </xf>
    <xf numFmtId="1" fontId="40" fillId="0" borderId="19" xfId="0" applyNumberFormat="1" applyFont="1" applyBorder="1" applyAlignment="1">
      <alignment horizontal="center"/>
    </xf>
    <xf numFmtId="11" fontId="18" fillId="0" borderId="19" xfId="0" applyNumberFormat="1" applyFont="1" applyBorder="1" applyAlignment="1">
      <alignment horizontal="center"/>
    </xf>
    <xf numFmtId="167" fontId="40" fillId="0" borderId="19" xfId="0" applyNumberFormat="1" applyFont="1" applyBorder="1" applyAlignment="1">
      <alignment horizontal="center"/>
    </xf>
    <xf numFmtId="11" fontId="79" fillId="0" borderId="19" xfId="0" applyNumberFormat="1" applyFont="1" applyBorder="1" applyAlignment="1">
      <alignment horizontal="center"/>
    </xf>
    <xf numFmtId="167" fontId="18" fillId="0" borderId="19" xfId="0" applyNumberFormat="1" applyFont="1" applyBorder="1" applyAlignment="1">
      <alignment horizontal="center"/>
    </xf>
    <xf numFmtId="166" fontId="40" fillId="0" borderId="19" xfId="0" applyNumberFormat="1" applyFont="1" applyBorder="1" applyAlignment="1">
      <alignment horizontal="center"/>
    </xf>
    <xf numFmtId="164" fontId="40" fillId="0" borderId="19" xfId="0" applyNumberFormat="1" applyFont="1" applyBorder="1" applyAlignment="1">
      <alignment horizontal="center"/>
    </xf>
    <xf numFmtId="9" fontId="40" fillId="0" borderId="19" xfId="624" applyFont="1" applyFill="1" applyBorder="1" applyAlignment="1">
      <alignment horizontal="center"/>
    </xf>
    <xf numFmtId="1" fontId="40" fillId="0" borderId="19" xfId="0" applyNumberFormat="1" applyFont="1" applyBorder="1" applyAlignment="1">
      <alignment horizontal="center" vertical="center"/>
    </xf>
    <xf numFmtId="167" fontId="40" fillId="0" borderId="19" xfId="0" applyNumberFormat="1" applyFont="1" applyBorder="1" applyAlignment="1">
      <alignment horizontal="center" vertical="center"/>
    </xf>
    <xf numFmtId="11" fontId="40" fillId="0" borderId="19" xfId="0" applyNumberFormat="1" applyFont="1" applyBorder="1" applyAlignment="1">
      <alignment horizontal="center" vertical="center"/>
    </xf>
    <xf numFmtId="2" fontId="40" fillId="0" borderId="19" xfId="0" applyNumberFormat="1" applyFont="1" applyBorder="1" applyAlignment="1">
      <alignment horizontal="center" vertical="center"/>
    </xf>
    <xf numFmtId="166" fontId="40" fillId="0" borderId="19" xfId="0" applyNumberFormat="1" applyFont="1" applyBorder="1" applyAlignment="1">
      <alignment horizontal="center" vertical="center"/>
    </xf>
    <xf numFmtId="0" fontId="79" fillId="0" borderId="19" xfId="0" applyFont="1" applyBorder="1" applyAlignment="1">
      <alignment horizontal="center"/>
    </xf>
    <xf numFmtId="0" fontId="40" fillId="0" borderId="19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11" fontId="49" fillId="0" borderId="19" xfId="0" applyNumberFormat="1" applyFont="1" applyBorder="1" applyAlignment="1">
      <alignment horizontal="center"/>
    </xf>
    <xf numFmtId="2" fontId="49" fillId="0" borderId="19" xfId="0" applyNumberFormat="1" applyFont="1" applyBorder="1" applyAlignment="1">
      <alignment horizontal="center"/>
    </xf>
    <xf numFmtId="1" fontId="49" fillId="0" borderId="19" xfId="0" applyNumberFormat="1" applyFont="1" applyBorder="1" applyAlignment="1">
      <alignment horizontal="center"/>
    </xf>
    <xf numFmtId="2" fontId="29" fillId="0" borderId="19" xfId="0" applyNumberFormat="1" applyFont="1" applyBorder="1" applyAlignment="1">
      <alignment horizontal="center"/>
    </xf>
    <xf numFmtId="11" fontId="29" fillId="0" borderId="19" xfId="0" applyNumberFormat="1" applyFont="1" applyBorder="1" applyAlignment="1">
      <alignment horizontal="center"/>
    </xf>
    <xf numFmtId="167" fontId="29" fillId="0" borderId="19" xfId="0" applyNumberFormat="1" applyFont="1" applyBorder="1" applyAlignment="1">
      <alignment horizontal="center"/>
    </xf>
    <xf numFmtId="11" fontId="86" fillId="0" borderId="19" xfId="0" applyNumberFormat="1" applyFont="1" applyBorder="1" applyAlignment="1">
      <alignment horizontal="center"/>
    </xf>
    <xf numFmtId="1" fontId="86" fillId="0" borderId="19" xfId="0" applyNumberFormat="1" applyFont="1" applyBorder="1" applyAlignment="1">
      <alignment horizontal="center"/>
    </xf>
    <xf numFmtId="0" fontId="18" fillId="0" borderId="20" xfId="0" applyFont="1" applyBorder="1" applyAlignment="1">
      <alignment horizontal="left"/>
    </xf>
    <xf numFmtId="0" fontId="18" fillId="0" borderId="20" xfId="0" applyFont="1" applyBorder="1" applyAlignment="1">
      <alignment horizontal="center"/>
    </xf>
    <xf numFmtId="168" fontId="18" fillId="0" borderId="20" xfId="0" applyNumberFormat="1" applyFont="1" applyBorder="1" applyAlignment="1">
      <alignment horizontal="center"/>
    </xf>
    <xf numFmtId="14" fontId="18" fillId="0" borderId="20" xfId="0" applyNumberFormat="1" applyFont="1" applyBorder="1" applyAlignment="1">
      <alignment horizontal="center"/>
    </xf>
    <xf numFmtId="14" fontId="18" fillId="0" borderId="20" xfId="0" applyNumberFormat="1" applyFont="1" applyBorder="1" applyAlignment="1">
      <alignment horizontal="center" vertical="center"/>
    </xf>
    <xf numFmtId="2" fontId="18" fillId="0" borderId="20" xfId="0" applyNumberFormat="1" applyFont="1" applyBorder="1" applyAlignment="1">
      <alignment horizontal="center"/>
    </xf>
    <xf numFmtId="2" fontId="40" fillId="0" borderId="20" xfId="0" applyNumberFormat="1" applyFont="1" applyBorder="1" applyAlignment="1">
      <alignment horizontal="center"/>
    </xf>
    <xf numFmtId="165" fontId="18" fillId="0" borderId="20" xfId="0" applyNumberFormat="1" applyFont="1" applyBorder="1" applyAlignment="1">
      <alignment horizontal="center"/>
    </xf>
    <xf numFmtId="165" fontId="40" fillId="0" borderId="20" xfId="0" applyNumberFormat="1" applyFont="1" applyBorder="1" applyAlignment="1">
      <alignment horizontal="center"/>
    </xf>
    <xf numFmtId="164" fontId="18" fillId="0" borderId="20" xfId="0" applyNumberFormat="1" applyFont="1" applyBorder="1" applyAlignment="1">
      <alignment horizontal="center"/>
    </xf>
    <xf numFmtId="11" fontId="40" fillId="0" borderId="20" xfId="0" applyNumberFormat="1" applyFont="1" applyBorder="1" applyAlignment="1">
      <alignment horizontal="center"/>
    </xf>
    <xf numFmtId="1" fontId="40" fillId="0" borderId="20" xfId="0" applyNumberFormat="1" applyFont="1" applyBorder="1" applyAlignment="1">
      <alignment horizontal="center"/>
    </xf>
    <xf numFmtId="11" fontId="18" fillId="0" borderId="20" xfId="0" applyNumberFormat="1" applyFont="1" applyBorder="1" applyAlignment="1">
      <alignment horizontal="center"/>
    </xf>
    <xf numFmtId="167" fontId="40" fillId="0" borderId="20" xfId="0" applyNumberFormat="1" applyFont="1" applyBorder="1" applyAlignment="1">
      <alignment horizontal="center"/>
    </xf>
    <xf numFmtId="11" fontId="79" fillId="0" borderId="20" xfId="0" applyNumberFormat="1" applyFont="1" applyBorder="1" applyAlignment="1">
      <alignment horizontal="center"/>
    </xf>
    <xf numFmtId="167" fontId="18" fillId="0" borderId="20" xfId="0" applyNumberFormat="1" applyFont="1" applyBorder="1" applyAlignment="1">
      <alignment horizontal="center"/>
    </xf>
    <xf numFmtId="166" fontId="40" fillId="0" borderId="20" xfId="0" applyNumberFormat="1" applyFont="1" applyBorder="1" applyAlignment="1">
      <alignment horizontal="center"/>
    </xf>
    <xf numFmtId="164" fontId="40" fillId="0" borderId="20" xfId="0" applyNumberFormat="1" applyFont="1" applyBorder="1" applyAlignment="1">
      <alignment horizontal="center"/>
    </xf>
    <xf numFmtId="9" fontId="40" fillId="0" borderId="20" xfId="624" applyFont="1" applyFill="1" applyBorder="1" applyAlignment="1">
      <alignment horizontal="center"/>
    </xf>
    <xf numFmtId="1" fontId="40" fillId="0" borderId="20" xfId="0" applyNumberFormat="1" applyFont="1" applyBorder="1" applyAlignment="1">
      <alignment horizontal="center" vertical="center"/>
    </xf>
    <xf numFmtId="167" fontId="40" fillId="0" borderId="20" xfId="0" applyNumberFormat="1" applyFont="1" applyBorder="1" applyAlignment="1">
      <alignment horizontal="center" vertical="center"/>
    </xf>
    <xf numFmtId="11" fontId="40" fillId="0" borderId="20" xfId="0" applyNumberFormat="1" applyFont="1" applyBorder="1" applyAlignment="1">
      <alignment horizontal="center" vertical="center"/>
    </xf>
    <xf numFmtId="2" fontId="40" fillId="0" borderId="20" xfId="0" applyNumberFormat="1" applyFont="1" applyBorder="1" applyAlignment="1">
      <alignment horizontal="center" vertical="center"/>
    </xf>
    <xf numFmtId="166" fontId="40" fillId="0" borderId="20" xfId="0" applyNumberFormat="1" applyFont="1" applyBorder="1" applyAlignment="1">
      <alignment horizontal="center" vertical="center"/>
    </xf>
    <xf numFmtId="0" fontId="79" fillId="0" borderId="20" xfId="0" applyFont="1" applyBorder="1" applyAlignment="1">
      <alignment horizontal="center"/>
    </xf>
    <xf numFmtId="0" fontId="40" fillId="0" borderId="20" xfId="0" applyFont="1" applyBorder="1" applyAlignment="1">
      <alignment horizontal="center"/>
    </xf>
    <xf numFmtId="0" fontId="9" fillId="0" borderId="20" xfId="0" applyFont="1" applyBorder="1" applyAlignment="1">
      <alignment horizontal="center"/>
    </xf>
    <xf numFmtId="11" fontId="49" fillId="0" borderId="20" xfId="0" applyNumberFormat="1" applyFont="1" applyBorder="1" applyAlignment="1">
      <alignment horizontal="center"/>
    </xf>
    <xf numFmtId="2" fontId="49" fillId="0" borderId="20" xfId="0" applyNumberFormat="1" applyFont="1" applyBorder="1" applyAlignment="1">
      <alignment horizontal="center"/>
    </xf>
    <xf numFmtId="1" fontId="49" fillId="0" borderId="20" xfId="0" applyNumberFormat="1" applyFont="1" applyBorder="1" applyAlignment="1">
      <alignment horizontal="center"/>
    </xf>
    <xf numFmtId="2" fontId="29" fillId="0" borderId="20" xfId="0" applyNumberFormat="1" applyFont="1" applyBorder="1" applyAlignment="1">
      <alignment horizontal="center"/>
    </xf>
    <xf numFmtId="11" fontId="29" fillId="0" borderId="20" xfId="0" applyNumberFormat="1" applyFont="1" applyBorder="1" applyAlignment="1">
      <alignment horizontal="center"/>
    </xf>
    <xf numFmtId="167" fontId="29" fillId="0" borderId="20" xfId="0" applyNumberFormat="1" applyFont="1" applyBorder="1" applyAlignment="1">
      <alignment horizontal="center"/>
    </xf>
    <xf numFmtId="11" fontId="86" fillId="0" borderId="20" xfId="0" applyNumberFormat="1" applyFont="1" applyBorder="1" applyAlignment="1">
      <alignment horizontal="center"/>
    </xf>
    <xf numFmtId="1" fontId="86" fillId="0" borderId="20" xfId="0" applyNumberFormat="1" applyFont="1" applyBorder="1" applyAlignment="1">
      <alignment horizontal="center"/>
    </xf>
    <xf numFmtId="179" fontId="29" fillId="0" borderId="0" xfId="0" applyNumberFormat="1" applyFont="1" applyAlignment="1">
      <alignment horizontal="center"/>
    </xf>
    <xf numFmtId="166" fontId="86" fillId="0" borderId="0" xfId="0" applyNumberFormat="1" applyFont="1" applyAlignment="1">
      <alignment horizontal="center"/>
    </xf>
    <xf numFmtId="166" fontId="85" fillId="0" borderId="4" xfId="0" applyNumberFormat="1" applyFont="1" applyBorder="1" applyAlignment="1">
      <alignment horizontal="center"/>
    </xf>
    <xf numFmtId="166" fontId="85" fillId="0" borderId="5" xfId="0" applyNumberFormat="1" applyFont="1" applyBorder="1" applyAlignment="1">
      <alignment horizontal="center"/>
    </xf>
    <xf numFmtId="166" fontId="85" fillId="0" borderId="0" xfId="0" applyNumberFormat="1" applyFont="1" applyAlignment="1">
      <alignment horizontal="center"/>
    </xf>
    <xf numFmtId="11" fontId="85" fillId="0" borderId="4" xfId="0" applyNumberFormat="1" applyFont="1" applyBorder="1" applyAlignment="1">
      <alignment horizontal="center"/>
    </xf>
    <xf numFmtId="11" fontId="85" fillId="0" borderId="0" xfId="0" applyNumberFormat="1" applyFont="1" applyAlignment="1">
      <alignment horizontal="center"/>
    </xf>
    <xf numFmtId="0" fontId="87" fillId="0" borderId="0" xfId="0" applyFont="1" applyAlignment="1">
      <alignment horizontal="center"/>
    </xf>
    <xf numFmtId="0" fontId="88" fillId="0" borderId="0" xfId="0" applyFont="1" applyAlignment="1">
      <alignment horizontal="center"/>
    </xf>
    <xf numFmtId="164" fontId="50" fillId="0" borderId="0" xfId="0" applyNumberFormat="1" applyFont="1" applyAlignment="1">
      <alignment horizontal="center"/>
    </xf>
    <xf numFmtId="164" fontId="35" fillId="0" borderId="3" xfId="0" applyNumberFormat="1" applyFont="1" applyBorder="1" applyAlignment="1">
      <alignment horizontal="center"/>
    </xf>
    <xf numFmtId="164" fontId="87" fillId="0" borderId="1" xfId="0" applyNumberFormat="1" applyFont="1" applyBorder="1" applyAlignment="1">
      <alignment horizontal="center"/>
    </xf>
    <xf numFmtId="164" fontId="88" fillId="0" borderId="7" xfId="0" applyNumberFormat="1" applyFont="1" applyBorder="1" applyAlignment="1">
      <alignment horizontal="center"/>
    </xf>
    <xf numFmtId="164" fontId="87" fillId="0" borderId="6" xfId="0" applyNumberFormat="1" applyFont="1" applyBorder="1" applyAlignment="1">
      <alignment horizontal="center"/>
    </xf>
    <xf numFmtId="164" fontId="88" fillId="0" borderId="12" xfId="0" applyNumberFormat="1" applyFont="1" applyBorder="1" applyAlignment="1">
      <alignment horizontal="center"/>
    </xf>
    <xf numFmtId="164" fontId="18" fillId="0" borderId="6" xfId="0" applyNumberFormat="1" applyFont="1" applyBorder="1" applyAlignment="1">
      <alignment horizontal="center"/>
    </xf>
    <xf numFmtId="164" fontId="40" fillId="0" borderId="12" xfId="0" applyNumberFormat="1" applyFont="1" applyBorder="1" applyAlignment="1">
      <alignment horizontal="center"/>
    </xf>
    <xf numFmtId="164" fontId="18" fillId="0" borderId="8" xfId="0" applyNumberFormat="1" applyFont="1" applyBorder="1" applyAlignment="1">
      <alignment horizontal="center"/>
    </xf>
    <xf numFmtId="164" fontId="40" fillId="0" borderId="9" xfId="0" applyNumberFormat="1" applyFont="1" applyBorder="1" applyAlignment="1">
      <alignment horizontal="center"/>
    </xf>
    <xf numFmtId="164" fontId="18" fillId="2" borderId="0" xfId="0" applyNumberFormat="1" applyFont="1" applyFill="1" applyAlignment="1">
      <alignment horizontal="center"/>
    </xf>
    <xf numFmtId="0" fontId="50" fillId="0" borderId="0" xfId="0" applyFont="1" applyAlignment="1">
      <alignment horizontal="center" vertical="center"/>
    </xf>
    <xf numFmtId="168" fontId="50" fillId="0" borderId="0" xfId="0" applyNumberFormat="1" applyFont="1" applyAlignment="1">
      <alignment horizontal="center"/>
    </xf>
    <xf numFmtId="14" fontId="50" fillId="0" borderId="0" xfId="0" applyNumberFormat="1" applyFont="1" applyAlignment="1">
      <alignment horizontal="center"/>
    </xf>
    <xf numFmtId="14" fontId="50" fillId="0" borderId="0" xfId="0" applyNumberFormat="1" applyFont="1" applyAlignment="1">
      <alignment horizontal="center" vertical="center"/>
    </xf>
    <xf numFmtId="176" fontId="50" fillId="0" borderId="0" xfId="0" applyNumberFormat="1" applyFont="1" applyAlignment="1">
      <alignment horizontal="center"/>
    </xf>
    <xf numFmtId="164" fontId="89" fillId="0" borderId="0" xfId="0" applyNumberFormat="1" applyFont="1" applyAlignment="1">
      <alignment horizontal="center"/>
    </xf>
    <xf numFmtId="2" fontId="90" fillId="0" borderId="0" xfId="0" applyNumberFormat="1" applyFont="1" applyAlignment="1">
      <alignment horizontal="center"/>
    </xf>
    <xf numFmtId="164" fontId="45" fillId="0" borderId="0" xfId="0" applyNumberFormat="1" applyFont="1" applyAlignment="1">
      <alignment horizontal="center"/>
    </xf>
    <xf numFmtId="164" fontId="50" fillId="0" borderId="1" xfId="0" applyNumberFormat="1" applyFont="1" applyBorder="1" applyAlignment="1">
      <alignment horizontal="center"/>
    </xf>
    <xf numFmtId="164" fontId="45" fillId="0" borderId="7" xfId="0" applyNumberFormat="1" applyFont="1" applyBorder="1" applyAlignment="1">
      <alignment horizontal="center"/>
    </xf>
    <xf numFmtId="164" fontId="50" fillId="0" borderId="6" xfId="0" applyNumberFormat="1" applyFont="1" applyBorder="1" applyAlignment="1">
      <alignment horizontal="center"/>
    </xf>
    <xf numFmtId="164" fontId="45" fillId="0" borderId="12" xfId="0" applyNumberFormat="1" applyFont="1" applyBorder="1" applyAlignment="1">
      <alignment horizontal="center"/>
    </xf>
    <xf numFmtId="164" fontId="50" fillId="0" borderId="8" xfId="0" applyNumberFormat="1" applyFont="1" applyBorder="1" applyAlignment="1">
      <alignment horizontal="center"/>
    </xf>
    <xf numFmtId="164" fontId="45" fillId="0" borderId="9" xfId="0" applyNumberFormat="1" applyFont="1" applyBorder="1" applyAlignment="1">
      <alignment horizontal="center"/>
    </xf>
    <xf numFmtId="11" fontId="50" fillId="0" borderId="0" xfId="0" applyNumberFormat="1" applyFont="1" applyAlignment="1">
      <alignment horizontal="center"/>
    </xf>
    <xf numFmtId="168" fontId="45" fillId="0" borderId="0" xfId="0" applyNumberFormat="1" applyFont="1" applyAlignment="1">
      <alignment horizontal="center"/>
    </xf>
    <xf numFmtId="166" fontId="45" fillId="0" borderId="0" xfId="0" applyNumberFormat="1" applyFont="1" applyAlignment="1">
      <alignment horizontal="center"/>
    </xf>
    <xf numFmtId="11" fontId="45" fillId="0" borderId="0" xfId="0" applyNumberFormat="1" applyFont="1" applyAlignment="1">
      <alignment horizontal="center"/>
    </xf>
    <xf numFmtId="167" fontId="45" fillId="0" borderId="0" xfId="0" applyNumberFormat="1" applyFont="1" applyAlignment="1">
      <alignment horizontal="center"/>
    </xf>
    <xf numFmtId="2" fontId="45" fillId="0" borderId="0" xfId="0" applyNumberFormat="1" applyFont="1" applyAlignment="1">
      <alignment horizontal="center"/>
    </xf>
    <xf numFmtId="0" fontId="91" fillId="0" borderId="0" xfId="0" applyFont="1" applyAlignment="1">
      <alignment horizontal="left" vertical="center"/>
    </xf>
    <xf numFmtId="0" fontId="38" fillId="0" borderId="3" xfId="0" applyFont="1" applyBorder="1" applyAlignment="1">
      <alignment horizontal="center" vertical="center"/>
    </xf>
    <xf numFmtId="0" fontId="38" fillId="0" borderId="4" xfId="0" applyFont="1" applyBorder="1" applyAlignment="1">
      <alignment horizontal="center" vertical="center"/>
    </xf>
    <xf numFmtId="0" fontId="38" fillId="0" borderId="5" xfId="0" applyFont="1" applyBorder="1" applyAlignment="1">
      <alignment horizontal="center" vertical="center"/>
    </xf>
    <xf numFmtId="0" fontId="32" fillId="0" borderId="3" xfId="0" applyFont="1" applyBorder="1" applyAlignment="1">
      <alignment horizontal="center" vertical="center"/>
    </xf>
    <xf numFmtId="0" fontId="32" fillId="0" borderId="4" xfId="0" applyFont="1" applyBorder="1" applyAlignment="1">
      <alignment horizontal="center" vertical="center"/>
    </xf>
    <xf numFmtId="0" fontId="32" fillId="0" borderId="5" xfId="0" applyFont="1" applyBorder="1" applyAlignment="1">
      <alignment horizontal="center" vertical="center"/>
    </xf>
    <xf numFmtId="0" fontId="38" fillId="0" borderId="3" xfId="0" applyFont="1" applyBorder="1" applyAlignment="1">
      <alignment horizontal="center"/>
    </xf>
    <xf numFmtId="0" fontId="38" fillId="0" borderId="5" xfId="0" applyFont="1" applyBorder="1" applyAlignment="1">
      <alignment horizontal="center"/>
    </xf>
    <xf numFmtId="0" fontId="41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0" fontId="33" fillId="0" borderId="0" xfId="0" applyFont="1" applyAlignment="1">
      <alignment horizontal="center"/>
    </xf>
    <xf numFmtId="11" fontId="38" fillId="0" borderId="3" xfId="0" applyNumberFormat="1" applyFont="1" applyBorder="1" applyAlignment="1">
      <alignment horizontal="center"/>
    </xf>
    <xf numFmtId="11" fontId="38" fillId="0" borderId="4" xfId="0" applyNumberFormat="1" applyFont="1" applyBorder="1" applyAlignment="1">
      <alignment horizontal="center"/>
    </xf>
    <xf numFmtId="11" fontId="38" fillId="0" borderId="5" xfId="0" applyNumberFormat="1" applyFont="1" applyBorder="1" applyAlignment="1">
      <alignment horizontal="center"/>
    </xf>
    <xf numFmtId="0" fontId="38" fillId="0" borderId="4" xfId="0" applyFont="1" applyBorder="1" applyAlignment="1">
      <alignment horizontal="center"/>
    </xf>
    <xf numFmtId="0" fontId="32" fillId="0" borderId="3" xfId="0" applyFont="1" applyBorder="1" applyAlignment="1">
      <alignment horizontal="center"/>
    </xf>
    <xf numFmtId="0" fontId="32" fillId="0" borderId="4" xfId="0" applyFont="1" applyBorder="1" applyAlignment="1">
      <alignment horizontal="center"/>
    </xf>
    <xf numFmtId="0" fontId="32" fillId="0" borderId="5" xfId="0" applyFont="1" applyBorder="1" applyAlignment="1">
      <alignment horizontal="center"/>
    </xf>
    <xf numFmtId="165" fontId="38" fillId="0" borderId="3" xfId="0" applyNumberFormat="1" applyFont="1" applyBorder="1" applyAlignment="1">
      <alignment horizontal="center" vertical="center"/>
    </xf>
    <xf numFmtId="165" fontId="38" fillId="0" borderId="5" xfId="0" applyNumberFormat="1" applyFont="1" applyBorder="1" applyAlignment="1">
      <alignment horizontal="center" vertical="center"/>
    </xf>
    <xf numFmtId="0" fontId="38" fillId="0" borderId="2" xfId="0" applyFont="1" applyBorder="1" applyAlignment="1">
      <alignment horizontal="center" vertical="center"/>
    </xf>
    <xf numFmtId="0" fontId="38" fillId="0" borderId="7" xfId="0" applyFont="1" applyBorder="1" applyAlignment="1">
      <alignment horizontal="center" vertical="center"/>
    </xf>
    <xf numFmtId="0" fontId="34" fillId="0" borderId="3" xfId="0" applyFont="1" applyBorder="1" applyAlignment="1">
      <alignment horizontal="center" vertical="center"/>
    </xf>
    <xf numFmtId="0" fontId="34" fillId="0" borderId="4" xfId="0" applyFont="1" applyBorder="1" applyAlignment="1">
      <alignment horizontal="center" vertical="center"/>
    </xf>
    <xf numFmtId="0" fontId="34" fillId="0" borderId="5" xfId="0" applyFont="1" applyBorder="1" applyAlignment="1">
      <alignment horizontal="center" vertical="center"/>
    </xf>
    <xf numFmtId="0" fontId="41" fillId="0" borderId="3" xfId="0" applyFont="1" applyBorder="1" applyAlignment="1">
      <alignment horizontal="center"/>
    </xf>
    <xf numFmtId="0" fontId="41" fillId="0" borderId="4" xfId="0" applyFont="1" applyBorder="1" applyAlignment="1">
      <alignment horizontal="center"/>
    </xf>
    <xf numFmtId="0" fontId="41" fillId="0" borderId="5" xfId="0" applyFont="1" applyBorder="1" applyAlignment="1">
      <alignment horizontal="center"/>
    </xf>
    <xf numFmtId="0" fontId="41" fillId="0" borderId="3" xfId="0" applyFont="1" applyBorder="1" applyAlignment="1">
      <alignment horizontal="center" vertical="center"/>
    </xf>
    <xf numFmtId="0" fontId="41" fillId="0" borderId="4" xfId="0" applyFont="1" applyBorder="1" applyAlignment="1">
      <alignment horizontal="center" vertical="center"/>
    </xf>
    <xf numFmtId="0" fontId="41" fillId="0" borderId="5" xfId="0" applyFont="1" applyBorder="1" applyAlignment="1">
      <alignment horizontal="center" vertical="center"/>
    </xf>
    <xf numFmtId="0" fontId="30" fillId="0" borderId="3" xfId="0" applyFont="1" applyBorder="1" applyAlignment="1">
      <alignment horizontal="center"/>
    </xf>
    <xf numFmtId="0" fontId="30" fillId="0" borderId="4" xfId="0" applyFont="1" applyBorder="1" applyAlignment="1">
      <alignment horizontal="center"/>
    </xf>
    <xf numFmtId="0" fontId="30" fillId="0" borderId="5" xfId="0" applyFont="1" applyBorder="1" applyAlignment="1">
      <alignment horizontal="center"/>
    </xf>
    <xf numFmtId="0" fontId="30" fillId="0" borderId="3" xfId="0" applyFont="1" applyBorder="1" applyAlignment="1">
      <alignment horizontal="center" vertical="center"/>
    </xf>
    <xf numFmtId="0" fontId="30" fillId="0" borderId="4" xfId="0" applyFont="1" applyBorder="1" applyAlignment="1">
      <alignment horizontal="center" vertical="center"/>
    </xf>
    <xf numFmtId="0" fontId="30" fillId="0" borderId="5" xfId="0" applyFont="1" applyBorder="1" applyAlignment="1">
      <alignment horizontal="center" vertical="center"/>
    </xf>
    <xf numFmtId="0" fontId="38" fillId="0" borderId="1" xfId="0" applyFont="1" applyBorder="1" applyAlignment="1">
      <alignment horizontal="center" vertical="center"/>
    </xf>
    <xf numFmtId="0" fontId="38" fillId="0" borderId="1" xfId="0" applyFont="1" applyBorder="1" applyAlignment="1">
      <alignment horizontal="center"/>
    </xf>
    <xf numFmtId="0" fontId="38" fillId="0" borderId="2" xfId="0" applyFont="1" applyBorder="1" applyAlignment="1">
      <alignment horizontal="center"/>
    </xf>
    <xf numFmtId="0" fontId="38" fillId="0" borderId="7" xfId="0" applyFont="1" applyBorder="1" applyAlignment="1">
      <alignment horizontal="center"/>
    </xf>
    <xf numFmtId="164" fontId="32" fillId="0" borderId="3" xfId="0" applyNumberFormat="1" applyFont="1" applyBorder="1" applyAlignment="1">
      <alignment horizontal="center" vertical="center"/>
    </xf>
    <xf numFmtId="164" fontId="32" fillId="0" borderId="5" xfId="0" applyNumberFormat="1" applyFont="1" applyBorder="1" applyAlignment="1">
      <alignment horizontal="center" vertical="center"/>
    </xf>
    <xf numFmtId="0" fontId="85" fillId="0" borderId="3" xfId="0" applyFont="1" applyBorder="1" applyAlignment="1">
      <alignment horizontal="center" vertical="center"/>
    </xf>
    <xf numFmtId="0" fontId="85" fillId="0" borderId="4" xfId="0" applyFont="1" applyBorder="1" applyAlignment="1">
      <alignment horizontal="center" vertical="center"/>
    </xf>
    <xf numFmtId="0" fontId="85" fillId="0" borderId="5" xfId="0" applyFont="1" applyBorder="1" applyAlignment="1">
      <alignment horizontal="center" vertical="center"/>
    </xf>
    <xf numFmtId="166" fontId="38" fillId="0" borderId="3" xfId="0" applyNumberFormat="1" applyFont="1" applyBorder="1" applyAlignment="1">
      <alignment horizontal="center" vertical="center"/>
    </xf>
    <xf numFmtId="166" fontId="38" fillId="0" borderId="4" xfId="0" applyNumberFormat="1" applyFont="1" applyBorder="1" applyAlignment="1">
      <alignment horizontal="center" vertical="center"/>
    </xf>
    <xf numFmtId="166" fontId="38" fillId="0" borderId="5" xfId="0" applyNumberFormat="1" applyFont="1" applyBorder="1" applyAlignment="1">
      <alignment horizontal="center" vertical="center"/>
    </xf>
    <xf numFmtId="11" fontId="32" fillId="0" borderId="3" xfId="0" applyNumberFormat="1" applyFont="1" applyBorder="1" applyAlignment="1">
      <alignment horizontal="center" vertical="center"/>
    </xf>
    <xf numFmtId="11" fontId="32" fillId="0" borderId="4" xfId="0" applyNumberFormat="1" applyFont="1" applyBorder="1" applyAlignment="1">
      <alignment horizontal="center" vertical="center"/>
    </xf>
    <xf numFmtId="11" fontId="32" fillId="0" borderId="5" xfId="0" applyNumberFormat="1" applyFont="1" applyBorder="1" applyAlignment="1">
      <alignment horizontal="center" vertical="center"/>
    </xf>
    <xf numFmtId="11" fontId="38" fillId="0" borderId="3" xfId="0" applyNumberFormat="1" applyFont="1" applyBorder="1" applyAlignment="1">
      <alignment horizontal="center" vertical="center"/>
    </xf>
    <xf numFmtId="11" fontId="38" fillId="0" borderId="4" xfId="0" applyNumberFormat="1" applyFont="1" applyBorder="1" applyAlignment="1">
      <alignment horizontal="center" vertical="center"/>
    </xf>
    <xf numFmtId="11" fontId="38" fillId="0" borderId="5" xfId="0" applyNumberFormat="1" applyFont="1" applyBorder="1" applyAlignment="1">
      <alignment horizontal="center" vertical="center"/>
    </xf>
    <xf numFmtId="2" fontId="40" fillId="0" borderId="0" xfId="0" applyNumberFormat="1" applyFont="1" applyFill="1" applyAlignment="1">
      <alignment horizontal="center"/>
    </xf>
    <xf numFmtId="2" fontId="40" fillId="0" borderId="20" xfId="0" applyNumberFormat="1" applyFont="1" applyFill="1" applyBorder="1" applyAlignment="1">
      <alignment horizontal="center"/>
    </xf>
    <xf numFmtId="2" fontId="40" fillId="0" borderId="19" xfId="0" applyNumberFormat="1" applyFont="1" applyFill="1" applyBorder="1" applyAlignment="1">
      <alignment horizontal="center"/>
    </xf>
  </cellXfs>
  <cellStyles count="631">
    <cellStyle name="Calculated cell" xfId="35" xr:uid="{00000000-0005-0000-0000-000000000000}"/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7" builtinId="9" hidden="1"/>
    <cellStyle name="Followed Hyperlink" xfId="39" builtinId="9" hidden="1"/>
    <cellStyle name="Followed Hyperlink" xfId="41" builtinId="9" hidden="1"/>
    <cellStyle name="Followed Hyperlink" xfId="43" builtinId="9" hidden="1"/>
    <cellStyle name="Followed Hyperlink" xfId="45" builtinId="9" hidden="1"/>
    <cellStyle name="Followed Hyperlink" xfId="47" builtinId="9" hidden="1"/>
    <cellStyle name="Followed Hyperlink" xfId="49" builtinId="9" hidden="1"/>
    <cellStyle name="Followed Hyperlink" xfId="51" builtinId="9" hidden="1"/>
    <cellStyle name="Followed Hyperlink" xfId="53" builtinId="9" hidden="1"/>
    <cellStyle name="Followed Hyperlink" xfId="55" builtinId="9" hidden="1"/>
    <cellStyle name="Followed Hyperlink" xfId="57" builtinId="9" hidden="1"/>
    <cellStyle name="Followed Hyperlink" xfId="59" builtinId="9" hidden="1"/>
    <cellStyle name="Followed Hyperlink" xfId="61" builtinId="9" hidden="1"/>
    <cellStyle name="Followed Hyperlink" xfId="63" builtinId="9" hidden="1"/>
    <cellStyle name="Followed Hyperlink" xfId="65" builtinId="9" hidden="1"/>
    <cellStyle name="Followed Hyperlink" xfId="67" builtinId="9" hidden="1"/>
    <cellStyle name="Followed Hyperlink" xfId="69" builtinId="9" hidden="1"/>
    <cellStyle name="Followed Hyperlink" xfId="71" builtinId="9" hidden="1"/>
    <cellStyle name="Followed Hyperlink" xfId="73" builtinId="9" hidden="1"/>
    <cellStyle name="Followed Hyperlink" xfId="79" builtinId="9" hidden="1"/>
    <cellStyle name="Followed Hyperlink" xfId="81" builtinId="9" hidden="1"/>
    <cellStyle name="Followed Hyperlink" xfId="83" builtinId="9" hidden="1"/>
    <cellStyle name="Followed Hyperlink" xfId="85" builtinId="9" hidden="1"/>
    <cellStyle name="Followed Hyperlink" xfId="87" builtinId="9" hidden="1"/>
    <cellStyle name="Followed Hyperlink" xfId="89" builtinId="9" hidden="1"/>
    <cellStyle name="Followed Hyperlink" xfId="91" builtinId="9" hidden="1"/>
    <cellStyle name="Followed Hyperlink" xfId="93" builtinId="9" hidden="1"/>
    <cellStyle name="Followed Hyperlink" xfId="95" builtinId="9" hidden="1"/>
    <cellStyle name="Followed Hyperlink" xfId="97" builtinId="9" hidden="1"/>
    <cellStyle name="Followed Hyperlink" xfId="99" builtinId="9" hidden="1"/>
    <cellStyle name="Followed Hyperlink" xfId="101" builtinId="9" hidden="1"/>
    <cellStyle name="Followed Hyperlink" xfId="103" builtinId="9" hidden="1"/>
    <cellStyle name="Followed Hyperlink" xfId="105" builtinId="9" hidden="1"/>
    <cellStyle name="Followed Hyperlink" xfId="107" builtinId="9" hidden="1"/>
    <cellStyle name="Followed Hyperlink" xfId="109" builtinId="9" hidden="1"/>
    <cellStyle name="Followed Hyperlink" xfId="111" builtinId="9" hidden="1"/>
    <cellStyle name="Followed Hyperlink" xfId="113" builtinId="9" hidden="1"/>
    <cellStyle name="Followed Hyperlink" xfId="115" builtinId="9" hidden="1"/>
    <cellStyle name="Followed Hyperlink" xfId="117" builtinId="9" hidden="1"/>
    <cellStyle name="Followed Hyperlink" xfId="119" builtinId="9" hidden="1"/>
    <cellStyle name="Followed Hyperlink" xfId="121" builtinId="9" hidden="1"/>
    <cellStyle name="Followed Hyperlink" xfId="123" builtinId="9" hidden="1"/>
    <cellStyle name="Followed Hyperlink" xfId="125" builtinId="9" hidden="1"/>
    <cellStyle name="Followed Hyperlink" xfId="127" builtinId="9" hidden="1"/>
    <cellStyle name="Followed Hyperlink" xfId="129" builtinId="9" hidden="1"/>
    <cellStyle name="Followed Hyperlink" xfId="131" builtinId="9" hidden="1"/>
    <cellStyle name="Followed Hyperlink" xfId="133" builtinId="9" hidden="1"/>
    <cellStyle name="Followed Hyperlink" xfId="135" builtinId="9" hidden="1"/>
    <cellStyle name="Followed Hyperlink" xfId="137" builtinId="9" hidden="1"/>
    <cellStyle name="Followed Hyperlink" xfId="139" builtinId="9" hidden="1"/>
    <cellStyle name="Followed Hyperlink" xfId="141" builtinId="9" hidden="1"/>
    <cellStyle name="Followed Hyperlink" xfId="143" builtinId="9" hidden="1"/>
    <cellStyle name="Followed Hyperlink" xfId="145" builtinId="9" hidden="1"/>
    <cellStyle name="Followed Hyperlink" xfId="147" builtinId="9" hidden="1"/>
    <cellStyle name="Followed Hyperlink" xfId="149" builtinId="9" hidden="1"/>
    <cellStyle name="Followed Hyperlink" xfId="151" builtinId="9" hidden="1"/>
    <cellStyle name="Followed Hyperlink" xfId="153" builtinId="9" hidden="1"/>
    <cellStyle name="Followed Hyperlink" xfId="155" builtinId="9" hidden="1"/>
    <cellStyle name="Followed Hyperlink" xfId="157" builtinId="9" hidden="1"/>
    <cellStyle name="Followed Hyperlink" xfId="159" builtinId="9" hidden="1"/>
    <cellStyle name="Followed Hyperlink" xfId="161" builtinId="9" hidden="1"/>
    <cellStyle name="Followed Hyperlink" xfId="163" builtinId="9" hidden="1"/>
    <cellStyle name="Followed Hyperlink" xfId="165" builtinId="9" hidden="1"/>
    <cellStyle name="Followed Hyperlink" xfId="167" builtinId="9" hidden="1"/>
    <cellStyle name="Followed Hyperlink" xfId="169" builtinId="9" hidden="1"/>
    <cellStyle name="Followed Hyperlink" xfId="171" builtinId="9" hidden="1"/>
    <cellStyle name="Followed Hyperlink" xfId="173" builtinId="9" hidden="1"/>
    <cellStyle name="Followed Hyperlink" xfId="175" builtinId="9" hidden="1"/>
    <cellStyle name="Followed Hyperlink" xfId="177" builtinId="9" hidden="1"/>
    <cellStyle name="Followed Hyperlink" xfId="179" builtinId="9" hidden="1"/>
    <cellStyle name="Followed Hyperlink" xfId="181" builtinId="9" hidden="1"/>
    <cellStyle name="Followed Hyperlink" xfId="183" builtinId="9" hidden="1"/>
    <cellStyle name="Followed Hyperlink" xfId="185" builtinId="9" hidden="1"/>
    <cellStyle name="Followed Hyperlink" xfId="187" builtinId="9" hidden="1"/>
    <cellStyle name="Followed Hyperlink" xfId="189" builtinId="9" hidden="1"/>
    <cellStyle name="Followed Hyperlink" xfId="191" builtinId="9" hidden="1"/>
    <cellStyle name="Followed Hyperlink" xfId="193" builtinId="9" hidden="1"/>
    <cellStyle name="Followed Hyperlink" xfId="195" builtinId="9" hidden="1"/>
    <cellStyle name="Followed Hyperlink" xfId="197" builtinId="9" hidden="1"/>
    <cellStyle name="Followed Hyperlink" xfId="199" builtinId="9" hidden="1"/>
    <cellStyle name="Followed Hyperlink" xfId="201" builtinId="9" hidden="1"/>
    <cellStyle name="Followed Hyperlink" xfId="203" builtinId="9" hidden="1"/>
    <cellStyle name="Followed Hyperlink" xfId="205" builtinId="9" hidden="1"/>
    <cellStyle name="Followed Hyperlink" xfId="207" builtinId="9" hidden="1"/>
    <cellStyle name="Followed Hyperlink" xfId="209" builtinId="9" hidden="1"/>
    <cellStyle name="Followed Hyperlink" xfId="211" builtinId="9" hidden="1"/>
    <cellStyle name="Followed Hyperlink" xfId="213" builtinId="9" hidden="1"/>
    <cellStyle name="Followed Hyperlink" xfId="215" builtinId="9" hidden="1"/>
    <cellStyle name="Followed Hyperlink" xfId="217" builtinId="9" hidden="1"/>
    <cellStyle name="Followed Hyperlink" xfId="219" builtinId="9" hidden="1"/>
    <cellStyle name="Followed Hyperlink" xfId="221" builtinId="9" hidden="1"/>
    <cellStyle name="Followed Hyperlink" xfId="223" builtinId="9" hidden="1"/>
    <cellStyle name="Followed Hyperlink" xfId="225" builtinId="9" hidden="1"/>
    <cellStyle name="Followed Hyperlink" xfId="227" builtinId="9" hidden="1"/>
    <cellStyle name="Followed Hyperlink" xfId="229" builtinId="9" hidden="1"/>
    <cellStyle name="Followed Hyperlink" xfId="231" builtinId="9" hidden="1"/>
    <cellStyle name="Followed Hyperlink" xfId="233" builtinId="9" hidden="1"/>
    <cellStyle name="Followed Hyperlink" xfId="235" builtinId="9" hidden="1"/>
    <cellStyle name="Followed Hyperlink" xfId="237" builtinId="9" hidden="1"/>
    <cellStyle name="Followed Hyperlink" xfId="239" builtinId="9" hidden="1"/>
    <cellStyle name="Followed Hyperlink" xfId="241" builtinId="9" hidden="1"/>
    <cellStyle name="Followed Hyperlink" xfId="243" builtinId="9" hidden="1"/>
    <cellStyle name="Followed Hyperlink" xfId="245" builtinId="9" hidden="1"/>
    <cellStyle name="Followed Hyperlink" xfId="247" builtinId="9" hidden="1"/>
    <cellStyle name="Followed Hyperlink" xfId="249" builtinId="9" hidden="1"/>
    <cellStyle name="Followed Hyperlink" xfId="251" builtinId="9" hidden="1"/>
    <cellStyle name="Followed Hyperlink" xfId="253" builtinId="9" hidden="1"/>
    <cellStyle name="Followed Hyperlink" xfId="255" builtinId="9" hidden="1"/>
    <cellStyle name="Followed Hyperlink" xfId="257" builtinId="9" hidden="1"/>
    <cellStyle name="Followed Hyperlink" xfId="259" builtinId="9" hidden="1"/>
    <cellStyle name="Followed Hyperlink" xfId="261" builtinId="9" hidden="1"/>
    <cellStyle name="Followed Hyperlink" xfId="263" builtinId="9" hidden="1"/>
    <cellStyle name="Followed Hyperlink" xfId="265" builtinId="9" hidden="1"/>
    <cellStyle name="Followed Hyperlink" xfId="267" builtinId="9" hidden="1"/>
    <cellStyle name="Followed Hyperlink" xfId="269" builtinId="9" hidden="1"/>
    <cellStyle name="Followed Hyperlink" xfId="271" builtinId="9" hidden="1"/>
    <cellStyle name="Followed Hyperlink" xfId="273" builtinId="9" hidden="1"/>
    <cellStyle name="Followed Hyperlink" xfId="275" builtinId="9" hidden="1"/>
    <cellStyle name="Followed Hyperlink" xfId="277" builtinId="9" hidden="1"/>
    <cellStyle name="Followed Hyperlink" xfId="279" builtinId="9" hidden="1"/>
    <cellStyle name="Followed Hyperlink" xfId="281" builtinId="9" hidden="1"/>
    <cellStyle name="Followed Hyperlink" xfId="283" builtinId="9" hidden="1"/>
    <cellStyle name="Followed Hyperlink" xfId="285" builtinId="9" hidden="1"/>
    <cellStyle name="Followed Hyperlink" xfId="287" builtinId="9" hidden="1"/>
    <cellStyle name="Followed Hyperlink" xfId="289" builtinId="9" hidden="1"/>
    <cellStyle name="Followed Hyperlink" xfId="291" builtinId="9" hidden="1"/>
    <cellStyle name="Followed Hyperlink" xfId="293" builtinId="9" hidden="1"/>
    <cellStyle name="Followed Hyperlink" xfId="295" builtinId="9" hidden="1"/>
    <cellStyle name="Followed Hyperlink" xfId="297" builtinId="9" hidden="1"/>
    <cellStyle name="Followed Hyperlink" xfId="299" builtinId="9" hidden="1"/>
    <cellStyle name="Followed Hyperlink" xfId="301" builtinId="9" hidden="1"/>
    <cellStyle name="Followed Hyperlink" xfId="303" builtinId="9" hidden="1"/>
    <cellStyle name="Followed Hyperlink" xfId="305" builtinId="9" hidden="1"/>
    <cellStyle name="Followed Hyperlink" xfId="307" builtinId="9" hidden="1"/>
    <cellStyle name="Followed Hyperlink" xfId="309" builtinId="9" hidden="1"/>
    <cellStyle name="Followed Hyperlink" xfId="311" builtinId="9" hidden="1"/>
    <cellStyle name="Followed Hyperlink" xfId="313" builtinId="9" hidden="1"/>
    <cellStyle name="Followed Hyperlink" xfId="315" builtinId="9" hidden="1"/>
    <cellStyle name="Followed Hyperlink" xfId="317" builtinId="9" hidden="1"/>
    <cellStyle name="Followed Hyperlink" xfId="319" builtinId="9" hidden="1"/>
    <cellStyle name="Followed Hyperlink" xfId="321" builtinId="9" hidden="1"/>
    <cellStyle name="Followed Hyperlink" xfId="323" builtinId="9" hidden="1"/>
    <cellStyle name="Followed Hyperlink" xfId="325" builtinId="9" hidden="1"/>
    <cellStyle name="Followed Hyperlink" xfId="327" builtinId="9" hidden="1"/>
    <cellStyle name="Followed Hyperlink" xfId="329" builtinId="9" hidden="1"/>
    <cellStyle name="Followed Hyperlink" xfId="331" builtinId="9" hidden="1"/>
    <cellStyle name="Followed Hyperlink" xfId="333" builtinId="9" hidden="1"/>
    <cellStyle name="Followed Hyperlink" xfId="335" builtinId="9" hidden="1"/>
    <cellStyle name="Followed Hyperlink" xfId="337" builtinId="9" hidden="1"/>
    <cellStyle name="Followed Hyperlink" xfId="339" builtinId="9" hidden="1"/>
    <cellStyle name="Followed Hyperlink" xfId="341" builtinId="9" hidden="1"/>
    <cellStyle name="Followed Hyperlink" xfId="343" builtinId="9" hidden="1"/>
    <cellStyle name="Followed Hyperlink" xfId="345" builtinId="9" hidden="1"/>
    <cellStyle name="Followed Hyperlink" xfId="347" builtinId="9" hidden="1"/>
    <cellStyle name="Followed Hyperlink" xfId="349" builtinId="9" hidden="1"/>
    <cellStyle name="Followed Hyperlink" xfId="351" builtinId="9" hidden="1"/>
    <cellStyle name="Followed Hyperlink" xfId="353" builtinId="9" hidden="1"/>
    <cellStyle name="Followed Hyperlink" xfId="355" builtinId="9" hidden="1"/>
    <cellStyle name="Followed Hyperlink" xfId="357" builtinId="9" hidden="1"/>
    <cellStyle name="Followed Hyperlink" xfId="359" builtinId="9" hidden="1"/>
    <cellStyle name="Followed Hyperlink" xfId="361" builtinId="9" hidden="1"/>
    <cellStyle name="Followed Hyperlink" xfId="363" builtinId="9" hidden="1"/>
    <cellStyle name="Followed Hyperlink" xfId="365" builtinId="9" hidden="1"/>
    <cellStyle name="Followed Hyperlink" xfId="367" builtinId="9" hidden="1"/>
    <cellStyle name="Followed Hyperlink" xfId="369" builtinId="9" hidden="1"/>
    <cellStyle name="Followed Hyperlink" xfId="371" builtinId="9" hidden="1"/>
    <cellStyle name="Followed Hyperlink" xfId="373" builtinId="9" hidden="1"/>
    <cellStyle name="Followed Hyperlink" xfId="375" builtinId="9" hidden="1"/>
    <cellStyle name="Followed Hyperlink" xfId="377" builtinId="9" hidden="1"/>
    <cellStyle name="Followed Hyperlink" xfId="379" builtinId="9" hidden="1"/>
    <cellStyle name="Followed Hyperlink" xfId="381" builtinId="9" hidden="1"/>
    <cellStyle name="Followed Hyperlink" xfId="383" builtinId="9" hidden="1"/>
    <cellStyle name="Followed Hyperlink" xfId="385" builtinId="9" hidden="1"/>
    <cellStyle name="Followed Hyperlink" xfId="387" builtinId="9" hidden="1"/>
    <cellStyle name="Followed Hyperlink" xfId="389" builtinId="9" hidden="1"/>
    <cellStyle name="Followed Hyperlink" xfId="391" builtinId="9" hidden="1"/>
    <cellStyle name="Followed Hyperlink" xfId="393" builtinId="9" hidden="1"/>
    <cellStyle name="Followed Hyperlink" xfId="395" builtinId="9" hidden="1"/>
    <cellStyle name="Followed Hyperlink" xfId="397" builtinId="9" hidden="1"/>
    <cellStyle name="Followed Hyperlink" xfId="399" builtinId="9" hidden="1"/>
    <cellStyle name="Followed Hyperlink" xfId="401" builtinId="9" hidden="1"/>
    <cellStyle name="Followed Hyperlink" xfId="403" builtinId="9" hidden="1"/>
    <cellStyle name="Followed Hyperlink" xfId="405" builtinId="9" hidden="1"/>
    <cellStyle name="Followed Hyperlink" xfId="407" builtinId="9" hidden="1"/>
    <cellStyle name="Followed Hyperlink" xfId="409" builtinId="9" hidden="1"/>
    <cellStyle name="Followed Hyperlink" xfId="411" builtinId="9" hidden="1"/>
    <cellStyle name="Followed Hyperlink" xfId="413" builtinId="9" hidden="1"/>
    <cellStyle name="Followed Hyperlink" xfId="415" builtinId="9" hidden="1"/>
    <cellStyle name="Followed Hyperlink" xfId="417" builtinId="9" hidden="1"/>
    <cellStyle name="Followed Hyperlink" xfId="419" builtinId="9" hidden="1"/>
    <cellStyle name="Followed Hyperlink" xfId="421" builtinId="9" hidden="1"/>
    <cellStyle name="Followed Hyperlink" xfId="423" builtinId="9" hidden="1"/>
    <cellStyle name="Followed Hyperlink" xfId="425" builtinId="9" hidden="1"/>
    <cellStyle name="Followed Hyperlink" xfId="427" builtinId="9" hidden="1"/>
    <cellStyle name="Followed Hyperlink" xfId="429" builtinId="9" hidden="1"/>
    <cellStyle name="Followed Hyperlink" xfId="431" builtinId="9" hidden="1"/>
    <cellStyle name="Followed Hyperlink" xfId="433" builtinId="9" hidden="1"/>
    <cellStyle name="Followed Hyperlink" xfId="435" builtinId="9" hidden="1"/>
    <cellStyle name="Followed Hyperlink" xfId="437" builtinId="9" hidden="1"/>
    <cellStyle name="Followed Hyperlink" xfId="439" builtinId="9" hidden="1"/>
    <cellStyle name="Followed Hyperlink" xfId="441" builtinId="9" hidden="1"/>
    <cellStyle name="Followed Hyperlink" xfId="443" builtinId="9" hidden="1"/>
    <cellStyle name="Followed Hyperlink" xfId="445" builtinId="9" hidden="1"/>
    <cellStyle name="Followed Hyperlink" xfId="447" builtinId="9" hidden="1"/>
    <cellStyle name="Followed Hyperlink" xfId="449" builtinId="9" hidden="1"/>
    <cellStyle name="Followed Hyperlink" xfId="451" builtinId="9" hidden="1"/>
    <cellStyle name="Followed Hyperlink" xfId="453" builtinId="9" hidden="1"/>
    <cellStyle name="Followed Hyperlink" xfId="455" builtinId="9" hidden="1"/>
    <cellStyle name="Followed Hyperlink" xfId="457" builtinId="9" hidden="1"/>
    <cellStyle name="Followed Hyperlink" xfId="459" builtinId="9" hidden="1"/>
    <cellStyle name="Followed Hyperlink" xfId="461" builtinId="9" hidden="1"/>
    <cellStyle name="Followed Hyperlink" xfId="463" builtinId="9" hidden="1"/>
    <cellStyle name="Followed Hyperlink" xfId="465" builtinId="9" hidden="1"/>
    <cellStyle name="Followed Hyperlink" xfId="467" builtinId="9" hidden="1"/>
    <cellStyle name="Followed Hyperlink" xfId="469" builtinId="9" hidden="1"/>
    <cellStyle name="Followed Hyperlink" xfId="471" builtinId="9" hidden="1"/>
    <cellStyle name="Followed Hyperlink" xfId="473" builtinId="9" hidden="1"/>
    <cellStyle name="Followed Hyperlink" xfId="475" builtinId="9" hidden="1"/>
    <cellStyle name="Followed Hyperlink" xfId="477" builtinId="9" hidden="1"/>
    <cellStyle name="Followed Hyperlink" xfId="479" builtinId="9" hidden="1"/>
    <cellStyle name="Followed Hyperlink" xfId="481" builtinId="9" hidden="1"/>
    <cellStyle name="Followed Hyperlink" xfId="483" builtinId="9" hidden="1"/>
    <cellStyle name="Followed Hyperlink" xfId="485" builtinId="9" hidden="1"/>
    <cellStyle name="Followed Hyperlink" xfId="487" builtinId="9" hidden="1"/>
    <cellStyle name="Followed Hyperlink" xfId="489" builtinId="9" hidden="1"/>
    <cellStyle name="Followed Hyperlink" xfId="491" builtinId="9" hidden="1"/>
    <cellStyle name="Followed Hyperlink" xfId="493" builtinId="9" hidden="1"/>
    <cellStyle name="Followed Hyperlink" xfId="495" builtinId="9" hidden="1"/>
    <cellStyle name="Followed Hyperlink" xfId="497" builtinId="9" hidden="1"/>
    <cellStyle name="Followed Hyperlink" xfId="499" builtinId="9" hidden="1"/>
    <cellStyle name="Followed Hyperlink" xfId="501" builtinId="9" hidden="1"/>
    <cellStyle name="Followed Hyperlink" xfId="503" builtinId="9" hidden="1"/>
    <cellStyle name="Followed Hyperlink" xfId="505" builtinId="9" hidden="1"/>
    <cellStyle name="Followed Hyperlink" xfId="507" builtinId="9" hidden="1"/>
    <cellStyle name="Followed Hyperlink" xfId="509" builtinId="9" hidden="1"/>
    <cellStyle name="Followed Hyperlink" xfId="511" builtinId="9" hidden="1"/>
    <cellStyle name="Followed Hyperlink" xfId="513" builtinId="9" hidden="1"/>
    <cellStyle name="Followed Hyperlink" xfId="515" builtinId="9" hidden="1"/>
    <cellStyle name="Followed Hyperlink" xfId="517" builtinId="9" hidden="1"/>
    <cellStyle name="Followed Hyperlink" xfId="519" builtinId="9" hidden="1"/>
    <cellStyle name="Followed Hyperlink" xfId="521" builtinId="9" hidden="1"/>
    <cellStyle name="Followed Hyperlink" xfId="523" builtinId="9" hidden="1"/>
    <cellStyle name="Followed Hyperlink" xfId="525" builtinId="9" hidden="1"/>
    <cellStyle name="Followed Hyperlink" xfId="527" builtinId="9" hidden="1"/>
    <cellStyle name="Followed Hyperlink" xfId="529" builtinId="9" hidden="1"/>
    <cellStyle name="Followed Hyperlink" xfId="531" builtinId="9" hidden="1"/>
    <cellStyle name="Followed Hyperlink" xfId="533" builtinId="9" hidden="1"/>
    <cellStyle name="Followed Hyperlink" xfId="535" builtinId="9" hidden="1"/>
    <cellStyle name="Followed Hyperlink" xfId="537" builtinId="9" hidden="1"/>
    <cellStyle name="Followed Hyperlink" xfId="539" builtinId="9" hidden="1"/>
    <cellStyle name="Followed Hyperlink" xfId="541" builtinId="9" hidden="1"/>
    <cellStyle name="Followed Hyperlink" xfId="543" builtinId="9" hidden="1"/>
    <cellStyle name="Followed Hyperlink" xfId="545" builtinId="9" hidden="1"/>
    <cellStyle name="Followed Hyperlink" xfId="547" builtinId="9" hidden="1"/>
    <cellStyle name="Followed Hyperlink" xfId="549" builtinId="9" hidden="1"/>
    <cellStyle name="Followed Hyperlink" xfId="551" builtinId="9" hidden="1"/>
    <cellStyle name="Followed Hyperlink" xfId="553" builtinId="9" hidden="1"/>
    <cellStyle name="Followed Hyperlink" xfId="555" builtinId="9" hidden="1"/>
    <cellStyle name="Followed Hyperlink" xfId="557" builtinId="9" hidden="1"/>
    <cellStyle name="Followed Hyperlink" xfId="559" builtinId="9" hidden="1"/>
    <cellStyle name="Followed Hyperlink" xfId="561" builtinId="9" hidden="1"/>
    <cellStyle name="Followed Hyperlink" xfId="563" builtinId="9" hidden="1"/>
    <cellStyle name="Followed Hyperlink" xfId="565" builtinId="9" hidden="1"/>
    <cellStyle name="Followed Hyperlink" xfId="567" builtinId="9" hidden="1"/>
    <cellStyle name="Followed Hyperlink" xfId="569" builtinId="9" hidden="1"/>
    <cellStyle name="Followed Hyperlink" xfId="571" builtinId="9" hidden="1"/>
    <cellStyle name="Followed Hyperlink" xfId="573" builtinId="9" hidden="1"/>
    <cellStyle name="Followed Hyperlink" xfId="575" builtinId="9" hidden="1"/>
    <cellStyle name="Followed Hyperlink" xfId="577" builtinId="9" hidden="1"/>
    <cellStyle name="Followed Hyperlink" xfId="579" builtinId="9" hidden="1"/>
    <cellStyle name="Followed Hyperlink" xfId="581" builtinId="9" hidden="1"/>
    <cellStyle name="Followed Hyperlink" xfId="583" builtinId="9" hidden="1"/>
    <cellStyle name="Followed Hyperlink" xfId="585" builtinId="9" hidden="1"/>
    <cellStyle name="Followed Hyperlink" xfId="587" builtinId="9" hidden="1"/>
    <cellStyle name="Followed Hyperlink" xfId="589" builtinId="9" hidden="1"/>
    <cellStyle name="Followed Hyperlink" xfId="591" builtinId="9" hidden="1"/>
    <cellStyle name="Followed Hyperlink" xfId="593" builtinId="9" hidden="1"/>
    <cellStyle name="Followed Hyperlink" xfId="595" builtinId="9" hidden="1"/>
    <cellStyle name="Followed Hyperlink" xfId="597" builtinId="9" hidden="1"/>
    <cellStyle name="Followed Hyperlink" xfId="599" builtinId="9" hidden="1"/>
    <cellStyle name="Followed Hyperlink" xfId="601" builtinId="9" hidden="1"/>
    <cellStyle name="Followed Hyperlink" xfId="603" builtinId="9" hidden="1"/>
    <cellStyle name="Followed Hyperlink" xfId="605" builtinId="9" hidden="1"/>
    <cellStyle name="Followed Hyperlink" xfId="607" builtinId="9" hidden="1"/>
    <cellStyle name="Followed Hyperlink" xfId="609" builtinId="9" hidden="1"/>
    <cellStyle name="Followed Hyperlink" xfId="611" builtinId="9" hidden="1"/>
    <cellStyle name="Followed Hyperlink" xfId="613" builtinId="9" hidden="1"/>
    <cellStyle name="Followed Hyperlink" xfId="615" builtinId="9" hidden="1"/>
    <cellStyle name="Followed Hyperlink" xfId="617" builtinId="9" hidden="1"/>
    <cellStyle name="Followed Hyperlink" xfId="619" builtinId="9" hidden="1"/>
    <cellStyle name="Followed Hyperlink" xfId="621" builtinId="9" hidden="1"/>
    <cellStyle name="Followed Hyperlink" xfId="623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6" builtinId="8" hidden="1"/>
    <cellStyle name="Hyperlink" xfId="38" builtinId="8" hidden="1"/>
    <cellStyle name="Hyperlink" xfId="40" builtinId="8" hidden="1"/>
    <cellStyle name="Hyperlink" xfId="42" builtinId="8" hidden="1"/>
    <cellStyle name="Hyperlink" xfId="44" builtinId="8" hidden="1"/>
    <cellStyle name="Hyperlink" xfId="46" builtinId="8" hidden="1"/>
    <cellStyle name="Hyperlink" xfId="48" builtinId="8" hidden="1"/>
    <cellStyle name="Hyperlink" xfId="50" builtinId="8" hidden="1"/>
    <cellStyle name="Hyperlink" xfId="52" builtinId="8" hidden="1"/>
    <cellStyle name="Hyperlink" xfId="54" builtinId="8" hidden="1"/>
    <cellStyle name="Hyperlink" xfId="56" builtinId="8" hidden="1"/>
    <cellStyle name="Hyperlink" xfId="58" builtinId="8" hidden="1"/>
    <cellStyle name="Hyperlink" xfId="60" builtinId="8" hidden="1"/>
    <cellStyle name="Hyperlink" xfId="62" builtinId="8" hidden="1"/>
    <cellStyle name="Hyperlink" xfId="64" builtinId="8" hidden="1"/>
    <cellStyle name="Hyperlink" xfId="66" builtinId="8" hidden="1"/>
    <cellStyle name="Hyperlink" xfId="68" builtinId="8" hidden="1"/>
    <cellStyle name="Hyperlink" xfId="70" builtinId="8" hidden="1"/>
    <cellStyle name="Hyperlink" xfId="72" builtinId="8" hidden="1"/>
    <cellStyle name="Hyperlink" xfId="78" builtinId="8" hidden="1"/>
    <cellStyle name="Hyperlink" xfId="80" builtinId="8" hidden="1"/>
    <cellStyle name="Hyperlink" xfId="82" builtinId="8" hidden="1"/>
    <cellStyle name="Hyperlink" xfId="84" builtinId="8" hidden="1"/>
    <cellStyle name="Hyperlink" xfId="86" builtinId="8" hidden="1"/>
    <cellStyle name="Hyperlink" xfId="88" builtinId="8" hidden="1"/>
    <cellStyle name="Hyperlink" xfId="90" builtinId="8" hidden="1"/>
    <cellStyle name="Hyperlink" xfId="92" builtinId="8" hidden="1"/>
    <cellStyle name="Hyperlink" xfId="94" builtinId="8" hidden="1"/>
    <cellStyle name="Hyperlink" xfId="96" builtinId="8" hidden="1"/>
    <cellStyle name="Hyperlink" xfId="98" builtinId="8" hidden="1"/>
    <cellStyle name="Hyperlink" xfId="100" builtinId="8" hidden="1"/>
    <cellStyle name="Hyperlink" xfId="102" builtinId="8" hidden="1"/>
    <cellStyle name="Hyperlink" xfId="104" builtinId="8" hidden="1"/>
    <cellStyle name="Hyperlink" xfId="106" builtinId="8" hidden="1"/>
    <cellStyle name="Hyperlink" xfId="108" builtinId="8" hidden="1"/>
    <cellStyle name="Hyperlink" xfId="110" builtinId="8" hidden="1"/>
    <cellStyle name="Hyperlink" xfId="112" builtinId="8" hidden="1"/>
    <cellStyle name="Hyperlink" xfId="114" builtinId="8" hidden="1"/>
    <cellStyle name="Hyperlink" xfId="116" builtinId="8" hidden="1"/>
    <cellStyle name="Hyperlink" xfId="118" builtinId="8" hidden="1"/>
    <cellStyle name="Hyperlink" xfId="120" builtinId="8" hidden="1"/>
    <cellStyle name="Hyperlink" xfId="122" builtinId="8" hidden="1"/>
    <cellStyle name="Hyperlink" xfId="124" builtinId="8" hidden="1"/>
    <cellStyle name="Hyperlink" xfId="126" builtinId="8" hidden="1"/>
    <cellStyle name="Hyperlink" xfId="128" builtinId="8" hidden="1"/>
    <cellStyle name="Hyperlink" xfId="130" builtinId="8" hidden="1"/>
    <cellStyle name="Hyperlink" xfId="132" builtinId="8" hidden="1"/>
    <cellStyle name="Hyperlink" xfId="134" builtinId="8" hidden="1"/>
    <cellStyle name="Hyperlink" xfId="136" builtinId="8" hidden="1"/>
    <cellStyle name="Hyperlink" xfId="138" builtinId="8" hidden="1"/>
    <cellStyle name="Hyperlink" xfId="140" builtinId="8" hidden="1"/>
    <cellStyle name="Hyperlink" xfId="142" builtinId="8" hidden="1"/>
    <cellStyle name="Hyperlink" xfId="144" builtinId="8" hidden="1"/>
    <cellStyle name="Hyperlink" xfId="146" builtinId="8" hidden="1"/>
    <cellStyle name="Hyperlink" xfId="148" builtinId="8" hidden="1"/>
    <cellStyle name="Hyperlink" xfId="150" builtinId="8" hidden="1"/>
    <cellStyle name="Hyperlink" xfId="152" builtinId="8" hidden="1"/>
    <cellStyle name="Hyperlink" xfId="154" builtinId="8" hidden="1"/>
    <cellStyle name="Hyperlink" xfId="156" builtinId="8" hidden="1"/>
    <cellStyle name="Hyperlink" xfId="158" builtinId="8" hidden="1"/>
    <cellStyle name="Hyperlink" xfId="160" builtinId="8" hidden="1"/>
    <cellStyle name="Hyperlink" xfId="162" builtinId="8" hidden="1"/>
    <cellStyle name="Hyperlink" xfId="164" builtinId="8" hidden="1"/>
    <cellStyle name="Hyperlink" xfId="166" builtinId="8" hidden="1"/>
    <cellStyle name="Hyperlink" xfId="168" builtinId="8" hidden="1"/>
    <cellStyle name="Hyperlink" xfId="170" builtinId="8" hidden="1"/>
    <cellStyle name="Hyperlink" xfId="172" builtinId="8" hidden="1"/>
    <cellStyle name="Hyperlink" xfId="174" builtinId="8" hidden="1"/>
    <cellStyle name="Hyperlink" xfId="176" builtinId="8" hidden="1"/>
    <cellStyle name="Hyperlink" xfId="178" builtinId="8" hidden="1"/>
    <cellStyle name="Hyperlink" xfId="180" builtinId="8" hidden="1"/>
    <cellStyle name="Hyperlink" xfId="182" builtinId="8" hidden="1"/>
    <cellStyle name="Hyperlink" xfId="184" builtinId="8" hidden="1"/>
    <cellStyle name="Hyperlink" xfId="186" builtinId="8" hidden="1"/>
    <cellStyle name="Hyperlink" xfId="188" builtinId="8" hidden="1"/>
    <cellStyle name="Hyperlink" xfId="190" builtinId="8" hidden="1"/>
    <cellStyle name="Hyperlink" xfId="192" builtinId="8" hidden="1"/>
    <cellStyle name="Hyperlink" xfId="194" builtinId="8" hidden="1"/>
    <cellStyle name="Hyperlink" xfId="196" builtinId="8" hidden="1"/>
    <cellStyle name="Hyperlink" xfId="198" builtinId="8" hidden="1"/>
    <cellStyle name="Hyperlink" xfId="200" builtinId="8" hidden="1"/>
    <cellStyle name="Hyperlink" xfId="202" builtinId="8" hidden="1"/>
    <cellStyle name="Hyperlink" xfId="204" builtinId="8" hidden="1"/>
    <cellStyle name="Hyperlink" xfId="206" builtinId="8" hidden="1"/>
    <cellStyle name="Hyperlink" xfId="208" builtinId="8" hidden="1"/>
    <cellStyle name="Hyperlink" xfId="210" builtinId="8" hidden="1"/>
    <cellStyle name="Hyperlink" xfId="212" builtinId="8" hidden="1"/>
    <cellStyle name="Hyperlink" xfId="214" builtinId="8" hidden="1"/>
    <cellStyle name="Hyperlink" xfId="216" builtinId="8" hidden="1"/>
    <cellStyle name="Hyperlink" xfId="218" builtinId="8" hidden="1"/>
    <cellStyle name="Hyperlink" xfId="220" builtinId="8" hidden="1"/>
    <cellStyle name="Hyperlink" xfId="222" builtinId="8" hidden="1"/>
    <cellStyle name="Hyperlink" xfId="224" builtinId="8" hidden="1"/>
    <cellStyle name="Hyperlink" xfId="226" builtinId="8" hidden="1"/>
    <cellStyle name="Hyperlink" xfId="228" builtinId="8" hidden="1"/>
    <cellStyle name="Hyperlink" xfId="230" builtinId="8" hidden="1"/>
    <cellStyle name="Hyperlink" xfId="232" builtinId="8" hidden="1"/>
    <cellStyle name="Hyperlink" xfId="234" builtinId="8" hidden="1"/>
    <cellStyle name="Hyperlink" xfId="236" builtinId="8" hidden="1"/>
    <cellStyle name="Hyperlink" xfId="238" builtinId="8" hidden="1"/>
    <cellStyle name="Hyperlink" xfId="240" builtinId="8" hidden="1"/>
    <cellStyle name="Hyperlink" xfId="242" builtinId="8" hidden="1"/>
    <cellStyle name="Hyperlink" xfId="244" builtinId="8" hidden="1"/>
    <cellStyle name="Hyperlink" xfId="246" builtinId="8" hidden="1"/>
    <cellStyle name="Hyperlink" xfId="248" builtinId="8" hidden="1"/>
    <cellStyle name="Hyperlink" xfId="250" builtinId="8" hidden="1"/>
    <cellStyle name="Hyperlink" xfId="252" builtinId="8" hidden="1"/>
    <cellStyle name="Hyperlink" xfId="254" builtinId="8" hidden="1"/>
    <cellStyle name="Hyperlink" xfId="256" builtinId="8" hidden="1"/>
    <cellStyle name="Hyperlink" xfId="258" builtinId="8" hidden="1"/>
    <cellStyle name="Hyperlink" xfId="260" builtinId="8" hidden="1"/>
    <cellStyle name="Hyperlink" xfId="262" builtinId="8" hidden="1"/>
    <cellStyle name="Hyperlink" xfId="264" builtinId="8" hidden="1"/>
    <cellStyle name="Hyperlink" xfId="266" builtinId="8" hidden="1"/>
    <cellStyle name="Hyperlink" xfId="268" builtinId="8" hidden="1"/>
    <cellStyle name="Hyperlink" xfId="270" builtinId="8" hidden="1"/>
    <cellStyle name="Hyperlink" xfId="272" builtinId="8" hidden="1"/>
    <cellStyle name="Hyperlink" xfId="274" builtinId="8" hidden="1"/>
    <cellStyle name="Hyperlink" xfId="276" builtinId="8" hidden="1"/>
    <cellStyle name="Hyperlink" xfId="278" builtinId="8" hidden="1"/>
    <cellStyle name="Hyperlink" xfId="280" builtinId="8" hidden="1"/>
    <cellStyle name="Hyperlink" xfId="282" builtinId="8" hidden="1"/>
    <cellStyle name="Hyperlink" xfId="284" builtinId="8" hidden="1"/>
    <cellStyle name="Hyperlink" xfId="286" builtinId="8" hidden="1"/>
    <cellStyle name="Hyperlink" xfId="288" builtinId="8" hidden="1"/>
    <cellStyle name="Hyperlink" xfId="290" builtinId="8" hidden="1"/>
    <cellStyle name="Hyperlink" xfId="292" builtinId="8" hidden="1"/>
    <cellStyle name="Hyperlink" xfId="294" builtinId="8" hidden="1"/>
    <cellStyle name="Hyperlink" xfId="296" builtinId="8" hidden="1"/>
    <cellStyle name="Hyperlink" xfId="298" builtinId="8" hidden="1"/>
    <cellStyle name="Hyperlink" xfId="300" builtinId="8" hidden="1"/>
    <cellStyle name="Hyperlink" xfId="302" builtinId="8" hidden="1"/>
    <cellStyle name="Hyperlink" xfId="304" builtinId="8" hidden="1"/>
    <cellStyle name="Hyperlink" xfId="306" builtinId="8" hidden="1"/>
    <cellStyle name="Hyperlink" xfId="308" builtinId="8" hidden="1"/>
    <cellStyle name="Hyperlink" xfId="310" builtinId="8" hidden="1"/>
    <cellStyle name="Hyperlink" xfId="312" builtinId="8" hidden="1"/>
    <cellStyle name="Hyperlink" xfId="314" builtinId="8" hidden="1"/>
    <cellStyle name="Hyperlink" xfId="316" builtinId="8" hidden="1"/>
    <cellStyle name="Hyperlink" xfId="318" builtinId="8" hidden="1"/>
    <cellStyle name="Hyperlink" xfId="320" builtinId="8" hidden="1"/>
    <cellStyle name="Hyperlink" xfId="322" builtinId="8" hidden="1"/>
    <cellStyle name="Hyperlink" xfId="324" builtinId="8" hidden="1"/>
    <cellStyle name="Hyperlink" xfId="326" builtinId="8" hidden="1"/>
    <cellStyle name="Hyperlink" xfId="328" builtinId="8" hidden="1"/>
    <cellStyle name="Hyperlink" xfId="330" builtinId="8" hidden="1"/>
    <cellStyle name="Hyperlink" xfId="332" builtinId="8" hidden="1"/>
    <cellStyle name="Hyperlink" xfId="334" builtinId="8" hidden="1"/>
    <cellStyle name="Hyperlink" xfId="336" builtinId="8" hidden="1"/>
    <cellStyle name="Hyperlink" xfId="338" builtinId="8" hidden="1"/>
    <cellStyle name="Hyperlink" xfId="340" builtinId="8" hidden="1"/>
    <cellStyle name="Hyperlink" xfId="342" builtinId="8" hidden="1"/>
    <cellStyle name="Hyperlink" xfId="344" builtinId="8" hidden="1"/>
    <cellStyle name="Hyperlink" xfId="346" builtinId="8" hidden="1"/>
    <cellStyle name="Hyperlink" xfId="348" builtinId="8" hidden="1"/>
    <cellStyle name="Hyperlink" xfId="350" builtinId="8" hidden="1"/>
    <cellStyle name="Hyperlink" xfId="352" builtinId="8" hidden="1"/>
    <cellStyle name="Hyperlink" xfId="354" builtinId="8" hidden="1"/>
    <cellStyle name="Hyperlink" xfId="356" builtinId="8" hidden="1"/>
    <cellStyle name="Hyperlink" xfId="358" builtinId="8" hidden="1"/>
    <cellStyle name="Hyperlink" xfId="360" builtinId="8" hidden="1"/>
    <cellStyle name="Hyperlink" xfId="362" builtinId="8" hidden="1"/>
    <cellStyle name="Hyperlink" xfId="364" builtinId="8" hidden="1"/>
    <cellStyle name="Hyperlink" xfId="366" builtinId="8" hidden="1"/>
    <cellStyle name="Hyperlink" xfId="368" builtinId="8" hidden="1"/>
    <cellStyle name="Hyperlink" xfId="370" builtinId="8" hidden="1"/>
    <cellStyle name="Hyperlink" xfId="372" builtinId="8" hidden="1"/>
    <cellStyle name="Hyperlink" xfId="374" builtinId="8" hidden="1"/>
    <cellStyle name="Hyperlink" xfId="376" builtinId="8" hidden="1"/>
    <cellStyle name="Hyperlink" xfId="378" builtinId="8" hidden="1"/>
    <cellStyle name="Hyperlink" xfId="380" builtinId="8" hidden="1"/>
    <cellStyle name="Hyperlink" xfId="382" builtinId="8" hidden="1"/>
    <cellStyle name="Hyperlink" xfId="384" builtinId="8" hidden="1"/>
    <cellStyle name="Hyperlink" xfId="386" builtinId="8" hidden="1"/>
    <cellStyle name="Hyperlink" xfId="388" builtinId="8" hidden="1"/>
    <cellStyle name="Hyperlink" xfId="390" builtinId="8" hidden="1"/>
    <cellStyle name="Hyperlink" xfId="392" builtinId="8" hidden="1"/>
    <cellStyle name="Hyperlink" xfId="394" builtinId="8" hidden="1"/>
    <cellStyle name="Hyperlink" xfId="396" builtinId="8" hidden="1"/>
    <cellStyle name="Hyperlink" xfId="398" builtinId="8" hidden="1"/>
    <cellStyle name="Hyperlink" xfId="400" builtinId="8" hidden="1"/>
    <cellStyle name="Hyperlink" xfId="402" builtinId="8" hidden="1"/>
    <cellStyle name="Hyperlink" xfId="404" builtinId="8" hidden="1"/>
    <cellStyle name="Hyperlink" xfId="406" builtinId="8" hidden="1"/>
    <cellStyle name="Hyperlink" xfId="408" builtinId="8" hidden="1"/>
    <cellStyle name="Hyperlink" xfId="410" builtinId="8" hidden="1"/>
    <cellStyle name="Hyperlink" xfId="412" builtinId="8" hidden="1"/>
    <cellStyle name="Hyperlink" xfId="414" builtinId="8" hidden="1"/>
    <cellStyle name="Hyperlink" xfId="416" builtinId="8" hidden="1"/>
    <cellStyle name="Hyperlink" xfId="418" builtinId="8" hidden="1"/>
    <cellStyle name="Hyperlink" xfId="420" builtinId="8" hidden="1"/>
    <cellStyle name="Hyperlink" xfId="422" builtinId="8" hidden="1"/>
    <cellStyle name="Hyperlink" xfId="424" builtinId="8" hidden="1"/>
    <cellStyle name="Hyperlink" xfId="426" builtinId="8" hidden="1"/>
    <cellStyle name="Hyperlink" xfId="428" builtinId="8" hidden="1"/>
    <cellStyle name="Hyperlink" xfId="430" builtinId="8" hidden="1"/>
    <cellStyle name="Hyperlink" xfId="432" builtinId="8" hidden="1"/>
    <cellStyle name="Hyperlink" xfId="434" builtinId="8" hidden="1"/>
    <cellStyle name="Hyperlink" xfId="436" builtinId="8" hidden="1"/>
    <cellStyle name="Hyperlink" xfId="438" builtinId="8" hidden="1"/>
    <cellStyle name="Hyperlink" xfId="440" builtinId="8" hidden="1"/>
    <cellStyle name="Hyperlink" xfId="442" builtinId="8" hidden="1"/>
    <cellStyle name="Hyperlink" xfId="444" builtinId="8" hidden="1"/>
    <cellStyle name="Hyperlink" xfId="446" builtinId="8" hidden="1"/>
    <cellStyle name="Hyperlink" xfId="448" builtinId="8" hidden="1"/>
    <cellStyle name="Hyperlink" xfId="450" builtinId="8" hidden="1"/>
    <cellStyle name="Hyperlink" xfId="452" builtinId="8" hidden="1"/>
    <cellStyle name="Hyperlink" xfId="454" builtinId="8" hidden="1"/>
    <cellStyle name="Hyperlink" xfId="456" builtinId="8" hidden="1"/>
    <cellStyle name="Hyperlink" xfId="458" builtinId="8" hidden="1"/>
    <cellStyle name="Hyperlink" xfId="460" builtinId="8" hidden="1"/>
    <cellStyle name="Hyperlink" xfId="462" builtinId="8" hidden="1"/>
    <cellStyle name="Hyperlink" xfId="464" builtinId="8" hidden="1"/>
    <cellStyle name="Hyperlink" xfId="466" builtinId="8" hidden="1"/>
    <cellStyle name="Hyperlink" xfId="468" builtinId="8" hidden="1"/>
    <cellStyle name="Hyperlink" xfId="470" builtinId="8" hidden="1"/>
    <cellStyle name="Hyperlink" xfId="472" builtinId="8" hidden="1"/>
    <cellStyle name="Hyperlink" xfId="474" builtinId="8" hidden="1"/>
    <cellStyle name="Hyperlink" xfId="476" builtinId="8" hidden="1"/>
    <cellStyle name="Hyperlink" xfId="478" builtinId="8" hidden="1"/>
    <cellStyle name="Hyperlink" xfId="480" builtinId="8" hidden="1"/>
    <cellStyle name="Hyperlink" xfId="482" builtinId="8" hidden="1"/>
    <cellStyle name="Hyperlink" xfId="484" builtinId="8" hidden="1"/>
    <cellStyle name="Hyperlink" xfId="486" builtinId="8" hidden="1"/>
    <cellStyle name="Hyperlink" xfId="488" builtinId="8" hidden="1"/>
    <cellStyle name="Hyperlink" xfId="490" builtinId="8" hidden="1"/>
    <cellStyle name="Hyperlink" xfId="492" builtinId="8" hidden="1"/>
    <cellStyle name="Hyperlink" xfId="494" builtinId="8" hidden="1"/>
    <cellStyle name="Hyperlink" xfId="496" builtinId="8" hidden="1"/>
    <cellStyle name="Hyperlink" xfId="498" builtinId="8" hidden="1"/>
    <cellStyle name="Hyperlink" xfId="500" builtinId="8" hidden="1"/>
    <cellStyle name="Hyperlink" xfId="502" builtinId="8" hidden="1"/>
    <cellStyle name="Hyperlink" xfId="504" builtinId="8" hidden="1"/>
    <cellStyle name="Hyperlink" xfId="506" builtinId="8" hidden="1"/>
    <cellStyle name="Hyperlink" xfId="508" builtinId="8" hidden="1"/>
    <cellStyle name="Hyperlink" xfId="510" builtinId="8" hidden="1"/>
    <cellStyle name="Hyperlink" xfId="512" builtinId="8" hidden="1"/>
    <cellStyle name="Hyperlink" xfId="514" builtinId="8" hidden="1"/>
    <cellStyle name="Hyperlink" xfId="516" builtinId="8" hidden="1"/>
    <cellStyle name="Hyperlink" xfId="518" builtinId="8" hidden="1"/>
    <cellStyle name="Hyperlink" xfId="520" builtinId="8" hidden="1"/>
    <cellStyle name="Hyperlink" xfId="522" builtinId="8" hidden="1"/>
    <cellStyle name="Hyperlink" xfId="524" builtinId="8" hidden="1"/>
    <cellStyle name="Hyperlink" xfId="526" builtinId="8" hidden="1"/>
    <cellStyle name="Hyperlink" xfId="528" builtinId="8" hidden="1"/>
    <cellStyle name="Hyperlink" xfId="530" builtinId="8" hidden="1"/>
    <cellStyle name="Hyperlink" xfId="532" builtinId="8" hidden="1"/>
    <cellStyle name="Hyperlink" xfId="534" builtinId="8" hidden="1"/>
    <cellStyle name="Hyperlink" xfId="536" builtinId="8" hidden="1"/>
    <cellStyle name="Hyperlink" xfId="538" builtinId="8" hidden="1"/>
    <cellStyle name="Hyperlink" xfId="540" builtinId="8" hidden="1"/>
    <cellStyle name="Hyperlink" xfId="542" builtinId="8" hidden="1"/>
    <cellStyle name="Hyperlink" xfId="544" builtinId="8" hidden="1"/>
    <cellStyle name="Hyperlink" xfId="546" builtinId="8" hidden="1"/>
    <cellStyle name="Hyperlink" xfId="548" builtinId="8" hidden="1"/>
    <cellStyle name="Hyperlink" xfId="550" builtinId="8" hidden="1"/>
    <cellStyle name="Hyperlink" xfId="552" builtinId="8" hidden="1"/>
    <cellStyle name="Hyperlink" xfId="554" builtinId="8" hidden="1"/>
    <cellStyle name="Hyperlink" xfId="556" builtinId="8" hidden="1"/>
    <cellStyle name="Hyperlink" xfId="558" builtinId="8" hidden="1"/>
    <cellStyle name="Hyperlink" xfId="560" builtinId="8" hidden="1"/>
    <cellStyle name="Hyperlink" xfId="562" builtinId="8" hidden="1"/>
    <cellStyle name="Hyperlink" xfId="564" builtinId="8" hidden="1"/>
    <cellStyle name="Hyperlink" xfId="566" builtinId="8" hidden="1"/>
    <cellStyle name="Hyperlink" xfId="568" builtinId="8" hidden="1"/>
    <cellStyle name="Hyperlink" xfId="570" builtinId="8" hidden="1"/>
    <cellStyle name="Hyperlink" xfId="572" builtinId="8" hidden="1"/>
    <cellStyle name="Hyperlink" xfId="574" builtinId="8" hidden="1"/>
    <cellStyle name="Hyperlink" xfId="576" builtinId="8" hidden="1"/>
    <cellStyle name="Hyperlink" xfId="578" builtinId="8" hidden="1"/>
    <cellStyle name="Hyperlink" xfId="580" builtinId="8" hidden="1"/>
    <cellStyle name="Hyperlink" xfId="582" builtinId="8" hidden="1"/>
    <cellStyle name="Hyperlink" xfId="584" builtinId="8" hidden="1"/>
    <cellStyle name="Hyperlink" xfId="586" builtinId="8" hidden="1"/>
    <cellStyle name="Hyperlink" xfId="588" builtinId="8" hidden="1"/>
    <cellStyle name="Hyperlink" xfId="590" builtinId="8" hidden="1"/>
    <cellStyle name="Hyperlink" xfId="592" builtinId="8" hidden="1"/>
    <cellStyle name="Hyperlink" xfId="594" builtinId="8" hidden="1"/>
    <cellStyle name="Hyperlink" xfId="596" builtinId="8" hidden="1"/>
    <cellStyle name="Hyperlink" xfId="598" builtinId="8" hidden="1"/>
    <cellStyle name="Hyperlink" xfId="600" builtinId="8" hidden="1"/>
    <cellStyle name="Hyperlink" xfId="602" builtinId="8" hidden="1"/>
    <cellStyle name="Hyperlink" xfId="604" builtinId="8" hidden="1"/>
    <cellStyle name="Hyperlink" xfId="606" builtinId="8" hidden="1"/>
    <cellStyle name="Hyperlink" xfId="608" builtinId="8" hidden="1"/>
    <cellStyle name="Hyperlink" xfId="610" builtinId="8" hidden="1"/>
    <cellStyle name="Hyperlink" xfId="612" builtinId="8" hidden="1"/>
    <cellStyle name="Hyperlink" xfId="614" builtinId="8" hidden="1"/>
    <cellStyle name="Hyperlink" xfId="616" builtinId="8" hidden="1"/>
    <cellStyle name="Hyperlink" xfId="618" builtinId="8" hidden="1"/>
    <cellStyle name="Hyperlink" xfId="620" builtinId="8" hidden="1"/>
    <cellStyle name="Hyperlink" xfId="622" builtinId="8" hidden="1"/>
    <cellStyle name="Hyperlink" xfId="630" builtinId="8"/>
    <cellStyle name="Input Cells" xfId="74" xr:uid="{00000000-0005-0000-0000-00006C020000}"/>
    <cellStyle name="Irradiation Parameters" xfId="75" xr:uid="{00000000-0005-0000-0000-00006D020000}"/>
    <cellStyle name="Normal" xfId="0" builtinId="0"/>
    <cellStyle name="Normal 2" xfId="76" xr:uid="{00000000-0005-0000-0000-00006F020000}"/>
    <cellStyle name="Normal 2 2" xfId="625" xr:uid="{00000000-0005-0000-0000-000070020000}"/>
    <cellStyle name="Normal 2 3" xfId="626" xr:uid="{00000000-0005-0000-0000-000071020000}"/>
    <cellStyle name="Normal 3" xfId="77" xr:uid="{00000000-0005-0000-0000-000072020000}"/>
    <cellStyle name="Normal 4" xfId="627" xr:uid="{00000000-0005-0000-0000-000073020000}"/>
    <cellStyle name="Normal 5" xfId="628" xr:uid="{00000000-0005-0000-0000-000074020000}"/>
    <cellStyle name="Percent" xfId="624" builtinId="5"/>
    <cellStyle name="Percent 2" xfId="629" xr:uid="{00000000-0005-0000-0000-000076020000}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4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7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3.xml"/><Relationship Id="rId25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20" Type="http://schemas.openxmlformats.org/officeDocument/2006/relationships/externalLink" Target="externalLinks/externalLink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v>Tube 1</c:v>
          </c:tx>
          <c:spPr>
            <a:ln w="28575">
              <a:noFill/>
            </a:ln>
          </c:spPr>
          <c:trendline>
            <c:trendlineType val="poly"/>
            <c:order val="2"/>
            <c:dispRSqr val="0"/>
            <c:dispEq val="0"/>
          </c:trendline>
          <c:xVal>
            <c:numRef>
              <c:f>(Hb3Gr!$CY$8,Hb3Gr!$CY$10:$CY$11)</c:f>
              <c:numCache>
                <c:formatCode>General</c:formatCode>
                <c:ptCount val="3"/>
                <c:pt idx="0">
                  <c:v>3</c:v>
                </c:pt>
                <c:pt idx="1">
                  <c:v>19</c:v>
                </c:pt>
                <c:pt idx="2">
                  <c:v>36</c:v>
                </c:pt>
              </c:numCache>
            </c:numRef>
          </c:xVal>
          <c:yVal>
            <c:numRef>
              <c:f>(Hb3Gr!$CZ$8,Hb3Gr!$CZ$10:$CZ$11)</c:f>
              <c:numCache>
                <c:formatCode>0.000000</c:formatCode>
                <c:ptCount val="3"/>
                <c:pt idx="0">
                  <c:v>4.7550771885765822E-3</c:v>
                </c:pt>
                <c:pt idx="1">
                  <c:v>4.416575043340391E-3</c:v>
                </c:pt>
                <c:pt idx="2">
                  <c:v>3.8450455409168582E-3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93C0-1F4C-9DC7-A3D14708F911}"/>
            </c:ext>
          </c:extLst>
        </c:ser>
        <c:ser>
          <c:idx val="1"/>
          <c:order val="1"/>
          <c:tx>
            <c:v>Tube 2</c:v>
          </c:tx>
          <c:spPr>
            <a:ln w="28575">
              <a:noFill/>
            </a:ln>
          </c:spPr>
          <c:trendline>
            <c:trendlineType val="poly"/>
            <c:order val="2"/>
            <c:dispRSqr val="0"/>
            <c:dispEq val="0"/>
          </c:trendline>
          <c:xVal>
            <c:numRef>
              <c:f>(Hb3Gr!$CY$9,Hb3Gr!$CY$12:$CY$13)</c:f>
              <c:numCache>
                <c:formatCode>General</c:formatCode>
                <c:ptCount val="3"/>
                <c:pt idx="0">
                  <c:v>18</c:v>
                </c:pt>
                <c:pt idx="1">
                  <c:v>2</c:v>
                </c:pt>
                <c:pt idx="2">
                  <c:v>39</c:v>
                </c:pt>
              </c:numCache>
            </c:numRef>
          </c:xVal>
          <c:yVal>
            <c:numRef>
              <c:f>(Hb3Gr!$CZ$9,Hb3Gr!$CZ$12:$CZ$13)</c:f>
              <c:numCache>
                <c:formatCode>0.000000</c:formatCode>
                <c:ptCount val="3"/>
                <c:pt idx="0">
                  <c:v>4.8868963881284928E-3</c:v>
                </c:pt>
                <c:pt idx="1">
                  <c:v>5.1787057209486372E-3</c:v>
                </c:pt>
                <c:pt idx="2">
                  <c:v>4.3536063349529095E-3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93C0-1F4C-9DC7-A3D14708F911}"/>
            </c:ext>
          </c:extLst>
        </c:ser>
        <c:ser>
          <c:idx val="2"/>
          <c:order val="2"/>
          <c:tx>
            <c:v>Tube 3</c:v>
          </c:tx>
          <c:spPr>
            <a:ln w="28575">
              <a:noFill/>
            </a:ln>
          </c:spPr>
          <c:trendline>
            <c:trendlineType val="poly"/>
            <c:order val="2"/>
            <c:dispRSqr val="0"/>
            <c:dispEq val="0"/>
          </c:trendline>
          <c:xVal>
            <c:numRef>
              <c:f>Hb3Gr!$CY$14:$CY$16</c:f>
              <c:numCache>
                <c:formatCode>General</c:formatCode>
                <c:ptCount val="3"/>
                <c:pt idx="0">
                  <c:v>24</c:v>
                </c:pt>
                <c:pt idx="1">
                  <c:v>2</c:v>
                </c:pt>
                <c:pt idx="2">
                  <c:v>41</c:v>
                </c:pt>
              </c:numCache>
            </c:numRef>
          </c:xVal>
          <c:yVal>
            <c:numRef>
              <c:f>Hb3Gr!$CZ$14:$CZ$16</c:f>
              <c:numCache>
                <c:formatCode>0.000000</c:formatCode>
                <c:ptCount val="3"/>
                <c:pt idx="0">
                  <c:v>4.9124479904709452E-3</c:v>
                </c:pt>
                <c:pt idx="1">
                  <c:v>5.3260440886249731E-3</c:v>
                </c:pt>
                <c:pt idx="2">
                  <c:v>4.2222230080049003E-3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93C0-1F4C-9DC7-A3D14708F9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3699584"/>
        <c:axId val="45811200"/>
      </c:scatterChart>
      <c:valAx>
        <c:axId val="4369958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Distance up tube  (mm)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45811200"/>
        <c:crosses val="autoZero"/>
        <c:crossBetween val="midCat"/>
      </c:valAx>
      <c:valAx>
        <c:axId val="45811200"/>
        <c:scaling>
          <c:orientation val="minMax"/>
          <c:min val="3.0000000000000009E-3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J</a:t>
                </a:r>
              </a:p>
            </c:rich>
          </c:tx>
          <c:overlay val="0"/>
        </c:title>
        <c:numFmt formatCode="0.000000" sourceLinked="1"/>
        <c:majorTickMark val="out"/>
        <c:minorTickMark val="none"/>
        <c:tickLblPos val="nextTo"/>
        <c:crossAx val="43699584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txPr>
    <a:bodyPr/>
    <a:lstStyle/>
    <a:p>
      <a:pPr>
        <a:defRPr sz="1500">
          <a:latin typeface="Arial" pitchFamily="34" charset="0"/>
          <a:cs typeface="Arial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>
                <a:latin typeface="Arial" panose="020B0604020202020204" pitchFamily="34" charset="0"/>
                <a:cs typeface="Arial" panose="020B0604020202020204" pitchFamily="34" charset="0"/>
              </a:defRPr>
            </a:pPr>
            <a:r>
              <a:rPr lang="en-US">
                <a:latin typeface="Arial" panose="020B0604020202020204" pitchFamily="34" charset="0"/>
                <a:cs typeface="Arial" panose="020B0604020202020204" pitchFamily="34" charset="0"/>
              </a:rPr>
              <a:t>Shallowater S1 (Tube</a:t>
            </a:r>
            <a:r>
              <a:rPr lang="en-US" baseline="0">
                <a:latin typeface="Arial" panose="020B0604020202020204" pitchFamily="34" charset="0"/>
                <a:cs typeface="Arial" panose="020B0604020202020204" pitchFamily="34" charset="0"/>
              </a:rPr>
              <a:t> 1) MN2022a</a:t>
            </a:r>
            <a:endParaRPr lang="en-US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22999711451038324"/>
          <c:y val="0"/>
        </c:manualLayout>
      </c:layout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12"/>
            <c:spPr>
              <a:noFill/>
              <a:ln>
                <a:solidFill>
                  <a:schemeClr val="tx1"/>
                </a:solidFill>
              </a:ln>
            </c:spPr>
          </c:marker>
          <c:xVal>
            <c:numRef>
              <c:f>Shallowater!$BR$9:$BR$19</c:f>
              <c:numCache>
                <c:formatCode>0.00</c:formatCode>
                <c:ptCount val="11"/>
                <c:pt idx="0">
                  <c:v>14.490150753768843</c:v>
                </c:pt>
                <c:pt idx="1">
                  <c:v>17.654977955500872</c:v>
                </c:pt>
                <c:pt idx="2">
                  <c:v>11.662979777135783</c:v>
                </c:pt>
                <c:pt idx="3">
                  <c:v>2.6418852939261765</c:v>
                </c:pt>
                <c:pt idx="4">
                  <c:v>1.8476711026615968</c:v>
                </c:pt>
                <c:pt idx="5">
                  <c:v>1.28350618936099</c:v>
                </c:pt>
                <c:pt idx="6">
                  <c:v>1.2171521997621877</c:v>
                </c:pt>
                <c:pt idx="7">
                  <c:v>0.74822421247683757</c:v>
                </c:pt>
                <c:pt idx="8">
                  <c:v>3.0017372924297483</c:v>
                </c:pt>
                <c:pt idx="9">
                  <c:v>1.1347444144704986</c:v>
                </c:pt>
                <c:pt idx="10">
                  <c:v>0.77320495958525415</c:v>
                </c:pt>
              </c:numCache>
            </c:numRef>
          </c:xVal>
          <c:yVal>
            <c:numRef>
              <c:f>Shallowater!$BT$9:$BT$19</c:f>
              <c:numCache>
                <c:formatCode>0.00</c:formatCode>
                <c:ptCount val="11"/>
                <c:pt idx="0">
                  <c:v>1.1728643216080401</c:v>
                </c:pt>
                <c:pt idx="1">
                  <c:v>1.4343278991079671</c:v>
                </c:pt>
                <c:pt idx="2">
                  <c:v>1.2512587701196867</c:v>
                </c:pt>
                <c:pt idx="3">
                  <c:v>1.0540329405637654</c:v>
                </c:pt>
                <c:pt idx="4">
                  <c:v>1.1898764258555132</c:v>
                </c:pt>
                <c:pt idx="5">
                  <c:v>1.2008029441284711</c:v>
                </c:pt>
                <c:pt idx="6">
                  <c:v>1.4014565992865635</c:v>
                </c:pt>
                <c:pt idx="7">
                  <c:v>1.6882592135062793</c:v>
                </c:pt>
                <c:pt idx="8">
                  <c:v>4.8168169907199632</c:v>
                </c:pt>
                <c:pt idx="9">
                  <c:v>2.1199764819810469</c:v>
                </c:pt>
                <c:pt idx="10">
                  <c:v>2.0214779155440352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AE5-4E9B-AF9E-E9C166E926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8840832"/>
        <c:axId val="88847488"/>
      </c:scatterChart>
      <c:valAx>
        <c:axId val="8884083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600"/>
                </a:pPr>
                <a:r>
                  <a:rPr lang="en-US" sz="1600" baseline="30000"/>
                  <a:t>128</a:t>
                </a:r>
                <a:r>
                  <a:rPr lang="en-US" sz="1600"/>
                  <a:t>Xe/</a:t>
                </a:r>
                <a:r>
                  <a:rPr lang="en-US" sz="1600" baseline="30000"/>
                  <a:t>132</a:t>
                </a:r>
                <a:r>
                  <a:rPr lang="en-US" sz="1600"/>
                  <a:t>Xe</a:t>
                </a:r>
              </a:p>
            </c:rich>
          </c:tx>
          <c:overlay val="0"/>
        </c:title>
        <c:numFmt formatCode="0.00" sourceLinked="1"/>
        <c:majorTickMark val="none"/>
        <c:minorTickMark val="none"/>
        <c:tickLblPos val="nextTo"/>
        <c:txPr>
          <a:bodyPr/>
          <a:lstStyle/>
          <a:p>
            <a:pPr>
              <a:defRPr sz="1400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88847488"/>
        <c:crosses val="autoZero"/>
        <c:crossBetween val="midCat"/>
      </c:valAx>
      <c:valAx>
        <c:axId val="88847488"/>
        <c:scaling>
          <c:orientation val="minMax"/>
        </c:scaling>
        <c:delete val="0"/>
        <c:axPos val="l"/>
        <c:majorGridlines>
          <c:spPr>
            <a:ln>
              <a:noFill/>
            </a:ln>
          </c:spPr>
        </c:majorGridlines>
        <c:title>
          <c:tx>
            <c:rich>
              <a:bodyPr/>
              <a:lstStyle/>
              <a:p>
                <a:pPr>
                  <a:defRPr sz="1800"/>
                </a:pPr>
                <a:r>
                  <a:rPr lang="en-US" sz="1800" baseline="30000"/>
                  <a:t>129</a:t>
                </a:r>
                <a:r>
                  <a:rPr lang="en-US" sz="1800"/>
                  <a:t>Xe/</a:t>
                </a:r>
                <a:r>
                  <a:rPr lang="en-US" sz="1800" baseline="30000"/>
                  <a:t>132</a:t>
                </a:r>
                <a:r>
                  <a:rPr lang="en-US" sz="1800"/>
                  <a:t>Xe</a:t>
                </a:r>
              </a:p>
            </c:rich>
          </c:tx>
          <c:overlay val="0"/>
        </c:title>
        <c:numFmt formatCode="0.00" sourceLinked="1"/>
        <c:majorTickMark val="none"/>
        <c:minorTickMark val="none"/>
        <c:tickLblPos val="nextTo"/>
        <c:txPr>
          <a:bodyPr/>
          <a:lstStyle/>
          <a:p>
            <a:pPr>
              <a:defRPr sz="1400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88840832"/>
        <c:crosses val="autoZero"/>
        <c:crossBetween val="midCat"/>
      </c:valAx>
      <c:spPr>
        <a:ln>
          <a:solidFill>
            <a:schemeClr val="tx1"/>
          </a:solidFill>
        </a:ln>
      </c:spPr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>
                <a:latin typeface="Arial" panose="020B0604020202020204" pitchFamily="34" charset="0"/>
                <a:cs typeface="Arial" panose="020B0604020202020204" pitchFamily="34" charset="0"/>
              </a:defRPr>
            </a:pPr>
            <a:r>
              <a:rPr lang="en-US">
                <a:latin typeface="Arial" panose="020B0604020202020204" pitchFamily="34" charset="0"/>
                <a:cs typeface="Arial" panose="020B0604020202020204" pitchFamily="34" charset="0"/>
              </a:rPr>
              <a:t>Shallowater S1 (Tube</a:t>
            </a:r>
            <a:r>
              <a:rPr lang="en-US" baseline="0">
                <a:latin typeface="Arial" panose="020B0604020202020204" pitchFamily="34" charset="0"/>
                <a:cs typeface="Arial" panose="020B0604020202020204" pitchFamily="34" charset="0"/>
              </a:rPr>
              <a:t> 1) MN2022a</a:t>
            </a:r>
            <a:endParaRPr lang="en-US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1"/>
          <c:order val="0"/>
          <c:spPr>
            <a:ln w="28575">
              <a:noFill/>
            </a:ln>
          </c:spPr>
          <c:marker>
            <c:symbol val="circle"/>
            <c:size val="8"/>
            <c:spPr>
              <a:solidFill>
                <a:schemeClr val="accent6"/>
              </a:solidFill>
              <a:ln>
                <a:solidFill>
                  <a:schemeClr val="tx1"/>
                </a:solidFill>
              </a:ln>
            </c:spPr>
          </c:marker>
          <c:trendline>
            <c:trendlineType val="linear"/>
            <c:dispRSqr val="1"/>
            <c:dispEq val="1"/>
            <c:trendlineLbl>
              <c:layout>
                <c:manualLayout>
                  <c:x val="-4.7097477574714872E-2"/>
                  <c:y val="-2.5784404433394973E-2"/>
                </c:manualLayout>
              </c:layout>
              <c:numFmt formatCode="General" sourceLinked="0"/>
            </c:trendlineLbl>
          </c:trendline>
          <c:errBars>
            <c:errDir val="y"/>
            <c:errBarType val="both"/>
            <c:errValType val="cust"/>
            <c:noEndCap val="0"/>
            <c:plus>
              <c:numRef>
                <c:f>Shallowater!$BU$12:$BU$19</c:f>
                <c:numCache>
                  <c:formatCode>General</c:formatCode>
                  <c:ptCount val="8"/>
                  <c:pt idx="0">
                    <c:v>5.4167839353341671E-2</c:v>
                  </c:pt>
                  <c:pt idx="1">
                    <c:v>9.8576911626353667E-2</c:v>
                  </c:pt>
                  <c:pt idx="2">
                    <c:v>9.4976769954996584E-2</c:v>
                  </c:pt>
                  <c:pt idx="3">
                    <c:v>7.902311577724784E-2</c:v>
                  </c:pt>
                  <c:pt idx="4">
                    <c:v>6.9759188346692036E-2</c:v>
                  </c:pt>
                  <c:pt idx="5">
                    <c:v>9.56764894162557E-2</c:v>
                  </c:pt>
                  <c:pt idx="6">
                    <c:v>5.1755728021992457E-2</c:v>
                  </c:pt>
                  <c:pt idx="7">
                    <c:v>2.516238076559401E-2</c:v>
                  </c:pt>
                </c:numCache>
              </c:numRef>
            </c:plus>
            <c:minus>
              <c:numRef>
                <c:f>Shallowater!$BU$12:$BU$19</c:f>
                <c:numCache>
                  <c:formatCode>General</c:formatCode>
                  <c:ptCount val="8"/>
                  <c:pt idx="0">
                    <c:v>5.4167839353341671E-2</c:v>
                  </c:pt>
                  <c:pt idx="1">
                    <c:v>9.8576911626353667E-2</c:v>
                  </c:pt>
                  <c:pt idx="2">
                    <c:v>9.4976769954996584E-2</c:v>
                  </c:pt>
                  <c:pt idx="3">
                    <c:v>7.902311577724784E-2</c:v>
                  </c:pt>
                  <c:pt idx="4">
                    <c:v>6.9759188346692036E-2</c:v>
                  </c:pt>
                  <c:pt idx="5">
                    <c:v>9.56764894162557E-2</c:v>
                  </c:pt>
                  <c:pt idx="6">
                    <c:v>5.1755728021992457E-2</c:v>
                  </c:pt>
                  <c:pt idx="7">
                    <c:v>2.516238076559401E-2</c:v>
                  </c:pt>
                </c:numCache>
              </c:numRef>
            </c:minus>
          </c:errBars>
          <c:errBars>
            <c:errDir val="x"/>
            <c:errBarType val="both"/>
            <c:errValType val="cust"/>
            <c:noEndCap val="0"/>
            <c:plus>
              <c:numRef>
                <c:f>Shallowater!$BS$12:$BS$19</c:f>
                <c:numCache>
                  <c:formatCode>General</c:formatCode>
                  <c:ptCount val="8"/>
                  <c:pt idx="0">
                    <c:v>0.17756547742563319</c:v>
                  </c:pt>
                  <c:pt idx="1">
                    <c:v>0.18644183566192027</c:v>
                  </c:pt>
                  <c:pt idx="2">
                    <c:v>0.10846015764493293</c:v>
                  </c:pt>
                  <c:pt idx="3">
                    <c:v>8.7125019143096685E-2</c:v>
                  </c:pt>
                  <c:pt idx="4">
                    <c:v>4.120684531970701E-2</c:v>
                  </c:pt>
                  <c:pt idx="5">
                    <c:v>6.8787344050150467E-2</c:v>
                  </c:pt>
                  <c:pt idx="6">
                    <c:v>3.7789926898649157E-2</c:v>
                  </c:pt>
                  <c:pt idx="7">
                    <c:v>4.0775148352675733E-2</c:v>
                  </c:pt>
                </c:numCache>
              </c:numRef>
            </c:plus>
            <c:minus>
              <c:numRef>
                <c:f>Shallowater!$BS$12:$BS$19</c:f>
                <c:numCache>
                  <c:formatCode>General</c:formatCode>
                  <c:ptCount val="8"/>
                  <c:pt idx="0">
                    <c:v>0.17756547742563319</c:v>
                  </c:pt>
                  <c:pt idx="1">
                    <c:v>0.18644183566192027</c:v>
                  </c:pt>
                  <c:pt idx="2">
                    <c:v>0.10846015764493293</c:v>
                  </c:pt>
                  <c:pt idx="3">
                    <c:v>8.7125019143096685E-2</c:v>
                  </c:pt>
                  <c:pt idx="4">
                    <c:v>4.120684531970701E-2</c:v>
                  </c:pt>
                  <c:pt idx="5">
                    <c:v>6.8787344050150467E-2</c:v>
                  </c:pt>
                  <c:pt idx="6">
                    <c:v>3.7789926898649157E-2</c:v>
                  </c:pt>
                  <c:pt idx="7">
                    <c:v>4.0775148352675733E-2</c:v>
                  </c:pt>
                </c:numCache>
              </c:numRef>
            </c:minus>
          </c:errBars>
          <c:xVal>
            <c:numRef>
              <c:f>Shallowater!$BR$16:$BR$19</c:f>
              <c:numCache>
                <c:formatCode>0.00</c:formatCode>
                <c:ptCount val="4"/>
                <c:pt idx="0">
                  <c:v>0.74822421247683757</c:v>
                </c:pt>
                <c:pt idx="1">
                  <c:v>3.0017372924297483</c:v>
                </c:pt>
                <c:pt idx="2">
                  <c:v>1.1347444144704986</c:v>
                </c:pt>
                <c:pt idx="3">
                  <c:v>0.77320495958525415</c:v>
                </c:pt>
              </c:numCache>
            </c:numRef>
          </c:xVal>
          <c:yVal>
            <c:numRef>
              <c:f>Shallowater!$BT$16:$BT$19</c:f>
              <c:numCache>
                <c:formatCode>0.00</c:formatCode>
                <c:ptCount val="4"/>
                <c:pt idx="0">
                  <c:v>1.6882592135062793</c:v>
                </c:pt>
                <c:pt idx="1">
                  <c:v>4.8168169907199632</c:v>
                </c:pt>
                <c:pt idx="2">
                  <c:v>2.1199764819810469</c:v>
                </c:pt>
                <c:pt idx="3">
                  <c:v>2.0214779155440352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BAE5-4E9B-AF9E-E9C166E926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9140224"/>
        <c:axId val="89150592"/>
      </c:scatterChart>
      <c:valAx>
        <c:axId val="89140224"/>
        <c:scaling>
          <c:orientation val="minMax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 sz="1600"/>
                </a:pPr>
                <a:r>
                  <a:rPr lang="en-US" sz="1600" baseline="30000"/>
                  <a:t>128</a:t>
                </a:r>
                <a:r>
                  <a:rPr lang="en-US" sz="1600"/>
                  <a:t>Xe/</a:t>
                </a:r>
                <a:r>
                  <a:rPr lang="en-US" sz="1600" baseline="30000"/>
                  <a:t>132</a:t>
                </a:r>
                <a:r>
                  <a:rPr lang="en-US" sz="1600"/>
                  <a:t>Xe</a:t>
                </a:r>
              </a:p>
            </c:rich>
          </c:tx>
          <c:overlay val="0"/>
        </c:title>
        <c:numFmt formatCode="0.00" sourceLinked="1"/>
        <c:majorTickMark val="none"/>
        <c:minorTickMark val="none"/>
        <c:tickLblPos val="nextTo"/>
        <c:txPr>
          <a:bodyPr/>
          <a:lstStyle/>
          <a:p>
            <a:pPr>
              <a:defRPr sz="1400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89150592"/>
        <c:crosses val="autoZero"/>
        <c:crossBetween val="midCat"/>
      </c:valAx>
      <c:valAx>
        <c:axId val="89150592"/>
        <c:scaling>
          <c:orientation val="minMax"/>
        </c:scaling>
        <c:delete val="0"/>
        <c:axPos val="l"/>
        <c:majorGridlines>
          <c:spPr>
            <a:ln>
              <a:noFill/>
            </a:ln>
          </c:spPr>
        </c:majorGridlines>
        <c:title>
          <c:tx>
            <c:rich>
              <a:bodyPr/>
              <a:lstStyle/>
              <a:p>
                <a:pPr>
                  <a:defRPr sz="1800"/>
                </a:pPr>
                <a:r>
                  <a:rPr lang="en-US" sz="1800" baseline="30000"/>
                  <a:t>129</a:t>
                </a:r>
                <a:r>
                  <a:rPr lang="en-US" sz="1800"/>
                  <a:t>Xe/</a:t>
                </a:r>
                <a:r>
                  <a:rPr lang="en-US" sz="1800" baseline="30000"/>
                  <a:t>132</a:t>
                </a:r>
                <a:r>
                  <a:rPr lang="en-US" sz="1800"/>
                  <a:t>Xe</a:t>
                </a:r>
              </a:p>
            </c:rich>
          </c:tx>
          <c:overlay val="0"/>
        </c:title>
        <c:numFmt formatCode="0.00" sourceLinked="1"/>
        <c:majorTickMark val="none"/>
        <c:minorTickMark val="none"/>
        <c:tickLblPos val="nextTo"/>
        <c:txPr>
          <a:bodyPr/>
          <a:lstStyle/>
          <a:p>
            <a:pPr>
              <a:defRPr sz="1400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89140224"/>
        <c:crosses val="autoZero"/>
        <c:crossBetween val="midCat"/>
      </c:valAx>
      <c:spPr>
        <a:ln>
          <a:solidFill>
            <a:schemeClr val="tx1"/>
          </a:solidFill>
        </a:ln>
      </c:spPr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>
                <a:latin typeface="Arial" panose="020B0604020202020204" pitchFamily="34" charset="0"/>
                <a:cs typeface="Arial" panose="020B0604020202020204" pitchFamily="34" charset="0"/>
              </a:defRPr>
            </a:pPr>
            <a:r>
              <a:rPr lang="en-US">
                <a:latin typeface="Arial" panose="020B0604020202020204" pitchFamily="34" charset="0"/>
                <a:cs typeface="Arial" panose="020B0604020202020204" pitchFamily="34" charset="0"/>
              </a:rPr>
              <a:t>Shallowater S3 (Tube</a:t>
            </a:r>
            <a:r>
              <a:rPr lang="en-US" baseline="0">
                <a:latin typeface="Arial" panose="020B0604020202020204" pitchFamily="34" charset="0"/>
                <a:cs typeface="Arial" panose="020B0604020202020204" pitchFamily="34" charset="0"/>
              </a:rPr>
              <a:t> 3) MN2022a</a:t>
            </a:r>
            <a:endParaRPr lang="en-US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22999709440728802"/>
          <c:y val="3.244446015100725E-2"/>
        </c:manualLayout>
      </c:layout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12"/>
            <c:spPr>
              <a:noFill/>
              <a:ln>
                <a:solidFill>
                  <a:schemeClr val="tx1"/>
                </a:solidFill>
              </a:ln>
            </c:spPr>
          </c:marker>
          <c:xVal>
            <c:numRef>
              <c:f>Shallowater!$BR$21:$BR$29</c:f>
              <c:numCache>
                <c:formatCode>0.00</c:formatCode>
                <c:ptCount val="9"/>
                <c:pt idx="0">
                  <c:v>34.646166529266281</c:v>
                </c:pt>
                <c:pt idx="1">
                  <c:v>36.611959842863378</c:v>
                </c:pt>
                <c:pt idx="2">
                  <c:v>19.678770949720668</c:v>
                </c:pt>
                <c:pt idx="3">
                  <c:v>12.238832116788318</c:v>
                </c:pt>
                <c:pt idx="4">
                  <c:v>7.3636116399238514</c:v>
                </c:pt>
                <c:pt idx="5">
                  <c:v>12.839254591768334</c:v>
                </c:pt>
                <c:pt idx="6">
                  <c:v>1.6116780364962133</c:v>
                </c:pt>
                <c:pt idx="7">
                  <c:v>4.374026641369225</c:v>
                </c:pt>
                <c:pt idx="8">
                  <c:v>0.56920982958571065</c:v>
                </c:pt>
              </c:numCache>
            </c:numRef>
          </c:xVal>
          <c:yVal>
            <c:numRef>
              <c:f>Shallowater!$BT$21:$BT$29</c:f>
              <c:numCache>
                <c:formatCode>0.00</c:formatCode>
                <c:ptCount val="9"/>
                <c:pt idx="0">
                  <c:v>0.74954657873042041</c:v>
                </c:pt>
                <c:pt idx="1">
                  <c:v>1.0235704932343954</c:v>
                </c:pt>
                <c:pt idx="2">
                  <c:v>1.0600558659217876</c:v>
                </c:pt>
                <c:pt idx="3">
                  <c:v>8.6435036496350364</c:v>
                </c:pt>
                <c:pt idx="4">
                  <c:v>9.6668479738917572</c:v>
                </c:pt>
                <c:pt idx="5">
                  <c:v>22.421102024400053</c:v>
                </c:pt>
                <c:pt idx="6">
                  <c:v>2.7550882336359028</c:v>
                </c:pt>
                <c:pt idx="7">
                  <c:v>6.58039843472074</c:v>
                </c:pt>
                <c:pt idx="8">
                  <c:v>1.965451019875452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AE5-4E9B-AF9E-E9C166E926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9187456"/>
        <c:axId val="89189760"/>
      </c:scatterChart>
      <c:valAx>
        <c:axId val="891874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600"/>
                </a:pPr>
                <a:r>
                  <a:rPr lang="en-US" sz="1600" baseline="30000"/>
                  <a:t>128</a:t>
                </a:r>
                <a:r>
                  <a:rPr lang="en-US" sz="1600"/>
                  <a:t>Xe/</a:t>
                </a:r>
                <a:r>
                  <a:rPr lang="en-US" sz="1600" baseline="30000"/>
                  <a:t>132</a:t>
                </a:r>
                <a:r>
                  <a:rPr lang="en-US" sz="1600"/>
                  <a:t>Xe</a:t>
                </a:r>
              </a:p>
            </c:rich>
          </c:tx>
          <c:overlay val="0"/>
        </c:title>
        <c:numFmt formatCode="0.00" sourceLinked="1"/>
        <c:majorTickMark val="none"/>
        <c:minorTickMark val="none"/>
        <c:tickLblPos val="nextTo"/>
        <c:txPr>
          <a:bodyPr/>
          <a:lstStyle/>
          <a:p>
            <a:pPr>
              <a:defRPr sz="1400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89189760"/>
        <c:crosses val="autoZero"/>
        <c:crossBetween val="midCat"/>
      </c:valAx>
      <c:valAx>
        <c:axId val="89189760"/>
        <c:scaling>
          <c:orientation val="minMax"/>
        </c:scaling>
        <c:delete val="0"/>
        <c:axPos val="l"/>
        <c:majorGridlines>
          <c:spPr>
            <a:ln>
              <a:noFill/>
            </a:ln>
          </c:spPr>
        </c:majorGridlines>
        <c:title>
          <c:tx>
            <c:rich>
              <a:bodyPr/>
              <a:lstStyle/>
              <a:p>
                <a:pPr>
                  <a:defRPr sz="1800"/>
                </a:pPr>
                <a:r>
                  <a:rPr lang="en-US" sz="1800" baseline="30000"/>
                  <a:t>129</a:t>
                </a:r>
                <a:r>
                  <a:rPr lang="en-US" sz="1800"/>
                  <a:t>Xe/</a:t>
                </a:r>
                <a:r>
                  <a:rPr lang="en-US" sz="1800" baseline="30000"/>
                  <a:t>132</a:t>
                </a:r>
                <a:r>
                  <a:rPr lang="en-US" sz="1800"/>
                  <a:t>Xe</a:t>
                </a:r>
              </a:p>
            </c:rich>
          </c:tx>
          <c:overlay val="0"/>
        </c:title>
        <c:numFmt formatCode="0.00" sourceLinked="1"/>
        <c:majorTickMark val="none"/>
        <c:minorTickMark val="none"/>
        <c:tickLblPos val="nextTo"/>
        <c:txPr>
          <a:bodyPr/>
          <a:lstStyle/>
          <a:p>
            <a:pPr>
              <a:defRPr sz="1400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89187456"/>
        <c:crosses val="autoZero"/>
        <c:crossBetween val="midCat"/>
      </c:valAx>
      <c:spPr>
        <a:ln>
          <a:solidFill>
            <a:schemeClr val="tx1"/>
          </a:solidFill>
        </a:ln>
      </c:spPr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>
                <a:latin typeface="Arial" panose="020B0604020202020204" pitchFamily="34" charset="0"/>
                <a:cs typeface="Arial" panose="020B0604020202020204" pitchFamily="34" charset="0"/>
              </a:defRPr>
            </a:pPr>
            <a:r>
              <a:rPr lang="en-US">
                <a:latin typeface="Arial" panose="020B0604020202020204" pitchFamily="34" charset="0"/>
                <a:cs typeface="Arial" panose="020B0604020202020204" pitchFamily="34" charset="0"/>
              </a:rPr>
              <a:t>Shallowater S3 (Tube</a:t>
            </a:r>
            <a:r>
              <a:rPr lang="en-US" baseline="0">
                <a:latin typeface="Arial" panose="020B0604020202020204" pitchFamily="34" charset="0"/>
                <a:cs typeface="Arial" panose="020B0604020202020204" pitchFamily="34" charset="0"/>
              </a:rPr>
              <a:t> 3) MN2022a</a:t>
            </a:r>
            <a:endParaRPr lang="en-US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1"/>
          <c:order val="0"/>
          <c:spPr>
            <a:ln w="28575">
              <a:noFill/>
            </a:ln>
          </c:spPr>
          <c:marker>
            <c:symbol val="circle"/>
            <c:size val="8"/>
            <c:spPr>
              <a:solidFill>
                <a:schemeClr val="accent6"/>
              </a:solidFill>
              <a:ln>
                <a:solidFill>
                  <a:schemeClr val="tx1"/>
                </a:solidFill>
              </a:ln>
            </c:spPr>
          </c:marker>
          <c:trendline>
            <c:trendlineType val="linear"/>
            <c:dispRSqr val="1"/>
            <c:dispEq val="1"/>
            <c:trendlineLbl>
              <c:layout>
                <c:manualLayout>
                  <c:x val="-4.7097477574714872E-2"/>
                  <c:y val="-2.5784404433394973E-2"/>
                </c:manualLayout>
              </c:layout>
              <c:numFmt formatCode="General" sourceLinked="0"/>
            </c:trendlineLbl>
          </c:trendline>
          <c:errBars>
            <c:errDir val="y"/>
            <c:errBarType val="both"/>
            <c:errValType val="cust"/>
            <c:noEndCap val="0"/>
            <c:plus>
              <c:numRef>
                <c:f>Shallowater!$BU$12:$BU$19</c:f>
                <c:numCache>
                  <c:formatCode>General</c:formatCode>
                  <c:ptCount val="8"/>
                  <c:pt idx="0">
                    <c:v>5.4167839353341671E-2</c:v>
                  </c:pt>
                  <c:pt idx="1">
                    <c:v>9.8576911626353667E-2</c:v>
                  </c:pt>
                  <c:pt idx="2">
                    <c:v>9.4976769954996584E-2</c:v>
                  </c:pt>
                  <c:pt idx="3">
                    <c:v>7.902311577724784E-2</c:v>
                  </c:pt>
                  <c:pt idx="4">
                    <c:v>6.9759188346692036E-2</c:v>
                  </c:pt>
                  <c:pt idx="5">
                    <c:v>9.56764894162557E-2</c:v>
                  </c:pt>
                  <c:pt idx="6">
                    <c:v>5.1755728021992457E-2</c:v>
                  </c:pt>
                  <c:pt idx="7">
                    <c:v>2.516238076559401E-2</c:v>
                  </c:pt>
                </c:numCache>
              </c:numRef>
            </c:plus>
            <c:minus>
              <c:numRef>
                <c:f>Shallowater!$BU$12:$BU$19</c:f>
                <c:numCache>
                  <c:formatCode>General</c:formatCode>
                  <c:ptCount val="8"/>
                  <c:pt idx="0">
                    <c:v>5.4167839353341671E-2</c:v>
                  </c:pt>
                  <c:pt idx="1">
                    <c:v>9.8576911626353667E-2</c:v>
                  </c:pt>
                  <c:pt idx="2">
                    <c:v>9.4976769954996584E-2</c:v>
                  </c:pt>
                  <c:pt idx="3">
                    <c:v>7.902311577724784E-2</c:v>
                  </c:pt>
                  <c:pt idx="4">
                    <c:v>6.9759188346692036E-2</c:v>
                  </c:pt>
                  <c:pt idx="5">
                    <c:v>9.56764894162557E-2</c:v>
                  </c:pt>
                  <c:pt idx="6">
                    <c:v>5.1755728021992457E-2</c:v>
                  </c:pt>
                  <c:pt idx="7">
                    <c:v>2.516238076559401E-2</c:v>
                  </c:pt>
                </c:numCache>
              </c:numRef>
            </c:minus>
          </c:errBars>
          <c:errBars>
            <c:errDir val="x"/>
            <c:errBarType val="both"/>
            <c:errValType val="cust"/>
            <c:noEndCap val="0"/>
            <c:plus>
              <c:numRef>
                <c:f>Shallowater!$BS$12:$BS$19</c:f>
                <c:numCache>
                  <c:formatCode>General</c:formatCode>
                  <c:ptCount val="8"/>
                  <c:pt idx="0">
                    <c:v>0.17756547742563319</c:v>
                  </c:pt>
                  <c:pt idx="1">
                    <c:v>0.18644183566192027</c:v>
                  </c:pt>
                  <c:pt idx="2">
                    <c:v>0.10846015764493293</c:v>
                  </c:pt>
                  <c:pt idx="3">
                    <c:v>8.7125019143096685E-2</c:v>
                  </c:pt>
                  <c:pt idx="4">
                    <c:v>4.120684531970701E-2</c:v>
                  </c:pt>
                  <c:pt idx="5">
                    <c:v>6.8787344050150467E-2</c:v>
                  </c:pt>
                  <c:pt idx="6">
                    <c:v>3.7789926898649157E-2</c:v>
                  </c:pt>
                  <c:pt idx="7">
                    <c:v>4.0775148352675733E-2</c:v>
                  </c:pt>
                </c:numCache>
              </c:numRef>
            </c:plus>
            <c:minus>
              <c:numRef>
                <c:f>Shallowater!$BS$12:$BS$19</c:f>
                <c:numCache>
                  <c:formatCode>General</c:formatCode>
                  <c:ptCount val="8"/>
                  <c:pt idx="0">
                    <c:v>0.17756547742563319</c:v>
                  </c:pt>
                  <c:pt idx="1">
                    <c:v>0.18644183566192027</c:v>
                  </c:pt>
                  <c:pt idx="2">
                    <c:v>0.10846015764493293</c:v>
                  </c:pt>
                  <c:pt idx="3">
                    <c:v>8.7125019143096685E-2</c:v>
                  </c:pt>
                  <c:pt idx="4">
                    <c:v>4.120684531970701E-2</c:v>
                  </c:pt>
                  <c:pt idx="5">
                    <c:v>6.8787344050150467E-2</c:v>
                  </c:pt>
                  <c:pt idx="6">
                    <c:v>3.7789926898649157E-2</c:v>
                  </c:pt>
                  <c:pt idx="7">
                    <c:v>4.0775148352675733E-2</c:v>
                  </c:pt>
                </c:numCache>
              </c:numRef>
            </c:minus>
          </c:errBars>
          <c:xVal>
            <c:numRef>
              <c:f>Shallowater!$BR$27:$BR$29</c:f>
              <c:numCache>
                <c:formatCode>0.00</c:formatCode>
                <c:ptCount val="3"/>
                <c:pt idx="0">
                  <c:v>1.6116780364962133</c:v>
                </c:pt>
                <c:pt idx="1">
                  <c:v>4.374026641369225</c:v>
                </c:pt>
                <c:pt idx="2">
                  <c:v>0.56920982958571065</c:v>
                </c:pt>
              </c:numCache>
            </c:numRef>
          </c:xVal>
          <c:yVal>
            <c:numRef>
              <c:f>Shallowater!$BT$27:$BT$29</c:f>
              <c:numCache>
                <c:formatCode>0.00</c:formatCode>
                <c:ptCount val="3"/>
                <c:pt idx="0">
                  <c:v>2.7550882336359028</c:v>
                </c:pt>
                <c:pt idx="1">
                  <c:v>6.58039843472074</c:v>
                </c:pt>
                <c:pt idx="2">
                  <c:v>1.965451019875452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BAE5-4E9B-AF9E-E9C166E926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9744896"/>
        <c:axId val="89746816"/>
      </c:scatterChart>
      <c:valAx>
        <c:axId val="89744896"/>
        <c:scaling>
          <c:orientation val="minMax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 sz="1600"/>
                </a:pPr>
                <a:r>
                  <a:rPr lang="en-US" sz="1600" baseline="30000"/>
                  <a:t>128</a:t>
                </a:r>
                <a:r>
                  <a:rPr lang="en-US" sz="1600"/>
                  <a:t>Xe/</a:t>
                </a:r>
                <a:r>
                  <a:rPr lang="en-US" sz="1600" baseline="30000"/>
                  <a:t>132</a:t>
                </a:r>
                <a:r>
                  <a:rPr lang="en-US" sz="1600"/>
                  <a:t>Xe</a:t>
                </a:r>
              </a:p>
            </c:rich>
          </c:tx>
          <c:overlay val="0"/>
        </c:title>
        <c:numFmt formatCode="0.00" sourceLinked="1"/>
        <c:majorTickMark val="none"/>
        <c:minorTickMark val="none"/>
        <c:tickLblPos val="nextTo"/>
        <c:txPr>
          <a:bodyPr/>
          <a:lstStyle/>
          <a:p>
            <a:pPr>
              <a:defRPr sz="1400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89746816"/>
        <c:crosses val="autoZero"/>
        <c:crossBetween val="midCat"/>
      </c:valAx>
      <c:valAx>
        <c:axId val="89746816"/>
        <c:scaling>
          <c:orientation val="minMax"/>
        </c:scaling>
        <c:delete val="0"/>
        <c:axPos val="l"/>
        <c:majorGridlines>
          <c:spPr>
            <a:ln>
              <a:noFill/>
            </a:ln>
          </c:spPr>
        </c:majorGridlines>
        <c:title>
          <c:tx>
            <c:rich>
              <a:bodyPr/>
              <a:lstStyle/>
              <a:p>
                <a:pPr>
                  <a:defRPr sz="1800"/>
                </a:pPr>
                <a:r>
                  <a:rPr lang="en-US" sz="1800" baseline="30000"/>
                  <a:t>129</a:t>
                </a:r>
                <a:r>
                  <a:rPr lang="en-US" sz="1800"/>
                  <a:t>Xe/</a:t>
                </a:r>
                <a:r>
                  <a:rPr lang="en-US" sz="1800" baseline="30000"/>
                  <a:t>132</a:t>
                </a:r>
                <a:r>
                  <a:rPr lang="en-US" sz="1800"/>
                  <a:t>Xe</a:t>
                </a:r>
              </a:p>
            </c:rich>
          </c:tx>
          <c:overlay val="0"/>
        </c:title>
        <c:numFmt formatCode="0.00" sourceLinked="1"/>
        <c:majorTickMark val="none"/>
        <c:minorTickMark val="none"/>
        <c:tickLblPos val="nextTo"/>
        <c:txPr>
          <a:bodyPr/>
          <a:lstStyle/>
          <a:p>
            <a:pPr>
              <a:defRPr sz="1400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89744896"/>
        <c:crosses val="autoZero"/>
        <c:crossBetween val="midCat"/>
      </c:valAx>
      <c:spPr>
        <a:ln>
          <a:solidFill>
            <a:schemeClr val="tx1"/>
          </a:solidFill>
        </a:ln>
      </c:spPr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>
                <a:latin typeface="Arial" panose="020B0604020202020204" pitchFamily="34" charset="0"/>
                <a:cs typeface="Arial" panose="020B0604020202020204" pitchFamily="34" charset="0"/>
              </a:defRPr>
            </a:pPr>
            <a:r>
              <a:rPr lang="en-US">
                <a:latin typeface="Arial" panose="020B0604020202020204" pitchFamily="34" charset="0"/>
                <a:cs typeface="Arial" panose="020B0604020202020204" pitchFamily="34" charset="0"/>
              </a:rPr>
              <a:t>Shallowater S2 (Tube</a:t>
            </a:r>
            <a:r>
              <a:rPr lang="en-US" baseline="0">
                <a:latin typeface="Arial" panose="020B0604020202020204" pitchFamily="34" charset="0"/>
                <a:cs typeface="Arial" panose="020B0604020202020204" pitchFamily="34" charset="0"/>
              </a:rPr>
              <a:t> 2) MN2022a</a:t>
            </a:r>
            <a:endParaRPr lang="en-US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22999709440728802"/>
          <c:y val="3.244446015100725E-2"/>
        </c:manualLayout>
      </c:layout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12"/>
            <c:spPr>
              <a:noFill/>
              <a:ln>
                <a:solidFill>
                  <a:schemeClr val="tx1"/>
                </a:solidFill>
              </a:ln>
            </c:spPr>
          </c:marker>
          <c:xVal>
            <c:numRef>
              <c:f>Shallowater!$BR$31:$BR$41</c:f>
              <c:numCache>
                <c:formatCode>0.00</c:formatCode>
                <c:ptCount val="11"/>
                <c:pt idx="0">
                  <c:v>9.5296734295323837</c:v>
                </c:pt>
                <c:pt idx="1">
                  <c:v>20.934024713150929</c:v>
                </c:pt>
                <c:pt idx="2">
                  <c:v>14.092280905397564</c:v>
                </c:pt>
                <c:pt idx="3">
                  <c:v>6.1450807071483471</c:v>
                </c:pt>
                <c:pt idx="4">
                  <c:v>4.1874068127078798</c:v>
                </c:pt>
                <c:pt idx="5">
                  <c:v>4.5200073253365076</c:v>
                </c:pt>
                <c:pt idx="6">
                  <c:v>30.786499215070638</c:v>
                </c:pt>
                <c:pt idx="7">
                  <c:v>0.79266161910308686</c:v>
                </c:pt>
                <c:pt idx="8">
                  <c:v>1.0307395046548393</c:v>
                </c:pt>
                <c:pt idx="9">
                  <c:v>0.37558803701206811</c:v>
                </c:pt>
              </c:numCache>
            </c:numRef>
          </c:xVal>
          <c:yVal>
            <c:numRef>
              <c:f>Shallowater!$BT$31:$BT$41</c:f>
              <c:numCache>
                <c:formatCode>0.00</c:formatCode>
                <c:ptCount val="11"/>
                <c:pt idx="0">
                  <c:v>0.90447000108495157</c:v>
                </c:pt>
                <c:pt idx="1">
                  <c:v>0.99183583406884401</c:v>
                </c:pt>
                <c:pt idx="2">
                  <c:v>1.0835751596053396</c:v>
                </c:pt>
                <c:pt idx="3">
                  <c:v>1.1500768639508072</c:v>
                </c:pt>
                <c:pt idx="4">
                  <c:v>1.536758802614979</c:v>
                </c:pt>
                <c:pt idx="5">
                  <c:v>2.7259408479077005</c:v>
                </c:pt>
                <c:pt idx="6">
                  <c:v>29.38932496075353</c:v>
                </c:pt>
                <c:pt idx="7">
                  <c:v>2.1715848055393776</c:v>
                </c:pt>
                <c:pt idx="8">
                  <c:v>1.8210785174776041</c:v>
                </c:pt>
                <c:pt idx="9">
                  <c:v>1.2456161146218412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AE5-4E9B-AF9E-E9C166E926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9759104"/>
        <c:axId val="90138496"/>
      </c:scatterChart>
      <c:valAx>
        <c:axId val="8975910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600"/>
                </a:pPr>
                <a:r>
                  <a:rPr lang="en-US" sz="1600" baseline="30000"/>
                  <a:t>128</a:t>
                </a:r>
                <a:r>
                  <a:rPr lang="en-US" sz="1600"/>
                  <a:t>Xe/</a:t>
                </a:r>
                <a:r>
                  <a:rPr lang="en-US" sz="1600" baseline="30000"/>
                  <a:t>132</a:t>
                </a:r>
                <a:r>
                  <a:rPr lang="en-US" sz="1600"/>
                  <a:t>Xe</a:t>
                </a:r>
              </a:p>
            </c:rich>
          </c:tx>
          <c:overlay val="0"/>
        </c:title>
        <c:numFmt formatCode="0.00" sourceLinked="1"/>
        <c:majorTickMark val="none"/>
        <c:minorTickMark val="none"/>
        <c:tickLblPos val="nextTo"/>
        <c:txPr>
          <a:bodyPr/>
          <a:lstStyle/>
          <a:p>
            <a:pPr>
              <a:defRPr sz="1400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90138496"/>
        <c:crosses val="autoZero"/>
        <c:crossBetween val="midCat"/>
      </c:valAx>
      <c:valAx>
        <c:axId val="90138496"/>
        <c:scaling>
          <c:orientation val="minMax"/>
        </c:scaling>
        <c:delete val="0"/>
        <c:axPos val="l"/>
        <c:majorGridlines>
          <c:spPr>
            <a:ln>
              <a:noFill/>
            </a:ln>
          </c:spPr>
        </c:majorGridlines>
        <c:title>
          <c:tx>
            <c:rich>
              <a:bodyPr/>
              <a:lstStyle/>
              <a:p>
                <a:pPr>
                  <a:defRPr sz="1800"/>
                </a:pPr>
                <a:r>
                  <a:rPr lang="en-US" sz="1800" baseline="30000"/>
                  <a:t>129</a:t>
                </a:r>
                <a:r>
                  <a:rPr lang="en-US" sz="1800"/>
                  <a:t>Xe/</a:t>
                </a:r>
                <a:r>
                  <a:rPr lang="en-US" sz="1800" baseline="30000"/>
                  <a:t>132</a:t>
                </a:r>
                <a:r>
                  <a:rPr lang="en-US" sz="1800"/>
                  <a:t>Xe</a:t>
                </a:r>
              </a:p>
            </c:rich>
          </c:tx>
          <c:overlay val="0"/>
        </c:title>
        <c:numFmt formatCode="0.00" sourceLinked="1"/>
        <c:majorTickMark val="none"/>
        <c:minorTickMark val="none"/>
        <c:tickLblPos val="nextTo"/>
        <c:txPr>
          <a:bodyPr/>
          <a:lstStyle/>
          <a:p>
            <a:pPr>
              <a:defRPr sz="1400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89759104"/>
        <c:crosses val="autoZero"/>
        <c:crossBetween val="midCat"/>
      </c:valAx>
      <c:spPr>
        <a:ln>
          <a:solidFill>
            <a:schemeClr val="tx1"/>
          </a:solidFill>
        </a:ln>
      </c:spPr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>
                <a:latin typeface="Arial" panose="020B0604020202020204" pitchFamily="34" charset="0"/>
                <a:cs typeface="Arial" panose="020B0604020202020204" pitchFamily="34" charset="0"/>
              </a:defRPr>
            </a:pPr>
            <a:r>
              <a:rPr lang="en-US">
                <a:latin typeface="Arial" panose="020B0604020202020204" pitchFamily="34" charset="0"/>
                <a:cs typeface="Arial" panose="020B0604020202020204" pitchFamily="34" charset="0"/>
              </a:rPr>
              <a:t>Shallowater S3 (Tube</a:t>
            </a:r>
            <a:r>
              <a:rPr lang="en-US" baseline="0">
                <a:latin typeface="Arial" panose="020B0604020202020204" pitchFamily="34" charset="0"/>
                <a:cs typeface="Arial" panose="020B0604020202020204" pitchFamily="34" charset="0"/>
              </a:rPr>
              <a:t> 3) MN2022a</a:t>
            </a:r>
            <a:endParaRPr lang="en-US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1"/>
          <c:order val="0"/>
          <c:spPr>
            <a:ln w="28575">
              <a:noFill/>
            </a:ln>
          </c:spPr>
          <c:marker>
            <c:symbol val="circle"/>
            <c:size val="8"/>
            <c:spPr>
              <a:solidFill>
                <a:schemeClr val="accent6"/>
              </a:solidFill>
              <a:ln>
                <a:solidFill>
                  <a:schemeClr val="tx1"/>
                </a:solidFill>
              </a:ln>
            </c:spPr>
          </c:marker>
          <c:trendline>
            <c:trendlineType val="linear"/>
            <c:dispRSqr val="1"/>
            <c:dispEq val="1"/>
            <c:trendlineLbl>
              <c:layout>
                <c:manualLayout>
                  <c:x val="-4.7097477574714872E-2"/>
                  <c:y val="-2.5784404433394973E-2"/>
                </c:manualLayout>
              </c:layout>
              <c:numFmt formatCode="General" sourceLinked="0"/>
            </c:trendlineLbl>
          </c:trendline>
          <c:errBars>
            <c:errDir val="y"/>
            <c:errBarType val="both"/>
            <c:errValType val="cust"/>
            <c:noEndCap val="0"/>
            <c:plus>
              <c:numRef>
                <c:f>Shallowater!$BU$12:$BU$19</c:f>
                <c:numCache>
                  <c:formatCode>General</c:formatCode>
                  <c:ptCount val="8"/>
                  <c:pt idx="0">
                    <c:v>5.4167839353341671E-2</c:v>
                  </c:pt>
                  <c:pt idx="1">
                    <c:v>9.8576911626353667E-2</c:v>
                  </c:pt>
                  <c:pt idx="2">
                    <c:v>9.4976769954996584E-2</c:v>
                  </c:pt>
                  <c:pt idx="3">
                    <c:v>7.902311577724784E-2</c:v>
                  </c:pt>
                  <c:pt idx="4">
                    <c:v>6.9759188346692036E-2</c:v>
                  </c:pt>
                  <c:pt idx="5">
                    <c:v>9.56764894162557E-2</c:v>
                  </c:pt>
                  <c:pt idx="6">
                    <c:v>5.1755728021992457E-2</c:v>
                  </c:pt>
                  <c:pt idx="7">
                    <c:v>2.516238076559401E-2</c:v>
                  </c:pt>
                </c:numCache>
              </c:numRef>
            </c:plus>
            <c:minus>
              <c:numRef>
                <c:f>Shallowater!$BU$12:$BU$19</c:f>
                <c:numCache>
                  <c:formatCode>General</c:formatCode>
                  <c:ptCount val="8"/>
                  <c:pt idx="0">
                    <c:v>5.4167839353341671E-2</c:v>
                  </c:pt>
                  <c:pt idx="1">
                    <c:v>9.8576911626353667E-2</c:v>
                  </c:pt>
                  <c:pt idx="2">
                    <c:v>9.4976769954996584E-2</c:v>
                  </c:pt>
                  <c:pt idx="3">
                    <c:v>7.902311577724784E-2</c:v>
                  </c:pt>
                  <c:pt idx="4">
                    <c:v>6.9759188346692036E-2</c:v>
                  </c:pt>
                  <c:pt idx="5">
                    <c:v>9.56764894162557E-2</c:v>
                  </c:pt>
                  <c:pt idx="6">
                    <c:v>5.1755728021992457E-2</c:v>
                  </c:pt>
                  <c:pt idx="7">
                    <c:v>2.516238076559401E-2</c:v>
                  </c:pt>
                </c:numCache>
              </c:numRef>
            </c:minus>
          </c:errBars>
          <c:errBars>
            <c:errDir val="x"/>
            <c:errBarType val="both"/>
            <c:errValType val="cust"/>
            <c:noEndCap val="0"/>
            <c:plus>
              <c:numRef>
                <c:f>Shallowater!$BS$38:$BS$40</c:f>
                <c:numCache>
                  <c:formatCode>General</c:formatCode>
                  <c:ptCount val="3"/>
                  <c:pt idx="0">
                    <c:v>3.8126008287386388E-2</c:v>
                  </c:pt>
                  <c:pt idx="1">
                    <c:v>5.1216239719765196E-2</c:v>
                  </c:pt>
                  <c:pt idx="2">
                    <c:v>2.0373287136360638E-2</c:v>
                  </c:pt>
                </c:numCache>
              </c:numRef>
            </c:plus>
            <c:minus>
              <c:numRef>
                <c:f>Shallowater!$BS$38:$BS$40</c:f>
                <c:numCache>
                  <c:formatCode>General</c:formatCode>
                  <c:ptCount val="3"/>
                  <c:pt idx="0">
                    <c:v>3.8126008287386388E-2</c:v>
                  </c:pt>
                  <c:pt idx="1">
                    <c:v>5.1216239719765196E-2</c:v>
                  </c:pt>
                  <c:pt idx="2">
                    <c:v>2.0373287136360638E-2</c:v>
                  </c:pt>
                </c:numCache>
              </c:numRef>
            </c:minus>
          </c:errBars>
          <c:xVal>
            <c:numRef>
              <c:f>Shallowater!$BR$38:$BR$40</c:f>
              <c:numCache>
                <c:formatCode>0.00</c:formatCode>
                <c:ptCount val="3"/>
                <c:pt idx="0">
                  <c:v>0.79266161910308686</c:v>
                </c:pt>
                <c:pt idx="1">
                  <c:v>1.0307395046548393</c:v>
                </c:pt>
                <c:pt idx="2">
                  <c:v>0.37558803701206811</c:v>
                </c:pt>
              </c:numCache>
            </c:numRef>
          </c:xVal>
          <c:yVal>
            <c:numRef>
              <c:f>Shallowater!$BT$38:$BT$40</c:f>
              <c:numCache>
                <c:formatCode>0.00</c:formatCode>
                <c:ptCount val="3"/>
                <c:pt idx="0">
                  <c:v>2.1715848055393776</c:v>
                </c:pt>
                <c:pt idx="1">
                  <c:v>1.8210785174776041</c:v>
                </c:pt>
                <c:pt idx="2">
                  <c:v>1.2456161146218412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BAE5-4E9B-AF9E-E9C166E926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0161152"/>
        <c:axId val="90163072"/>
      </c:scatterChart>
      <c:valAx>
        <c:axId val="90161152"/>
        <c:scaling>
          <c:orientation val="minMax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 sz="1600"/>
                </a:pPr>
                <a:r>
                  <a:rPr lang="en-US" sz="1600" baseline="30000"/>
                  <a:t>128</a:t>
                </a:r>
                <a:r>
                  <a:rPr lang="en-US" sz="1600"/>
                  <a:t>Xe/</a:t>
                </a:r>
                <a:r>
                  <a:rPr lang="en-US" sz="1600" baseline="30000"/>
                  <a:t>132</a:t>
                </a:r>
                <a:r>
                  <a:rPr lang="en-US" sz="1600"/>
                  <a:t>Xe</a:t>
                </a:r>
              </a:p>
            </c:rich>
          </c:tx>
          <c:overlay val="0"/>
        </c:title>
        <c:numFmt formatCode="0.00" sourceLinked="1"/>
        <c:majorTickMark val="none"/>
        <c:minorTickMark val="none"/>
        <c:tickLblPos val="nextTo"/>
        <c:txPr>
          <a:bodyPr/>
          <a:lstStyle/>
          <a:p>
            <a:pPr>
              <a:defRPr sz="1400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90163072"/>
        <c:crosses val="autoZero"/>
        <c:crossBetween val="midCat"/>
      </c:valAx>
      <c:valAx>
        <c:axId val="90163072"/>
        <c:scaling>
          <c:orientation val="minMax"/>
        </c:scaling>
        <c:delete val="0"/>
        <c:axPos val="l"/>
        <c:majorGridlines>
          <c:spPr>
            <a:ln>
              <a:noFill/>
            </a:ln>
          </c:spPr>
        </c:majorGridlines>
        <c:title>
          <c:tx>
            <c:rich>
              <a:bodyPr/>
              <a:lstStyle/>
              <a:p>
                <a:pPr>
                  <a:defRPr sz="1800"/>
                </a:pPr>
                <a:r>
                  <a:rPr lang="en-US" sz="1800" baseline="30000"/>
                  <a:t>129</a:t>
                </a:r>
                <a:r>
                  <a:rPr lang="en-US" sz="1800"/>
                  <a:t>Xe/</a:t>
                </a:r>
                <a:r>
                  <a:rPr lang="en-US" sz="1800" baseline="30000"/>
                  <a:t>132</a:t>
                </a:r>
                <a:r>
                  <a:rPr lang="en-US" sz="1800"/>
                  <a:t>Xe</a:t>
                </a:r>
              </a:p>
            </c:rich>
          </c:tx>
          <c:overlay val="0"/>
        </c:title>
        <c:numFmt formatCode="0.00" sourceLinked="1"/>
        <c:majorTickMark val="none"/>
        <c:minorTickMark val="none"/>
        <c:tickLblPos val="nextTo"/>
        <c:txPr>
          <a:bodyPr/>
          <a:lstStyle/>
          <a:p>
            <a:pPr>
              <a:defRPr sz="1400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90161152"/>
        <c:crosses val="autoZero"/>
        <c:crossBetween val="midCat"/>
      </c:valAx>
      <c:spPr>
        <a:ln>
          <a:solidFill>
            <a:schemeClr val="tx1"/>
          </a:solidFill>
        </a:ln>
      </c:spPr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>
                <a:latin typeface="Arial" panose="020B0604020202020204" pitchFamily="34" charset="0"/>
                <a:cs typeface="Arial" panose="020B0604020202020204" pitchFamily="34" charset="0"/>
              </a:defRPr>
            </a:pPr>
            <a:r>
              <a:rPr lang="en-US">
                <a:latin typeface="Arial" panose="020B0604020202020204" pitchFamily="34" charset="0"/>
                <a:cs typeface="Arial" panose="020B0604020202020204" pitchFamily="34" charset="0"/>
              </a:rPr>
              <a:t>Shallowater All Tubes</a:t>
            </a:r>
            <a:r>
              <a:rPr lang="en-US" baseline="0">
                <a:latin typeface="Arial" panose="020B0604020202020204" pitchFamily="34" charset="0"/>
                <a:cs typeface="Arial" panose="020B0604020202020204" pitchFamily="34" charset="0"/>
              </a:rPr>
              <a:t> MN2022a</a:t>
            </a:r>
            <a:endParaRPr lang="en-US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1"/>
          <c:order val="0"/>
          <c:spPr>
            <a:ln w="28575">
              <a:noFill/>
            </a:ln>
          </c:spPr>
          <c:marker>
            <c:symbol val="circle"/>
            <c:size val="8"/>
            <c:spPr>
              <a:solidFill>
                <a:schemeClr val="accent6"/>
              </a:solidFill>
              <a:ln>
                <a:solidFill>
                  <a:schemeClr val="tx1"/>
                </a:solidFill>
              </a:ln>
            </c:spPr>
          </c:marker>
          <c:trendline>
            <c:trendlineType val="linear"/>
            <c:dispRSqr val="1"/>
            <c:dispEq val="1"/>
            <c:trendlineLbl>
              <c:layout>
                <c:manualLayout>
                  <c:x val="0.1011736647332747"/>
                  <c:y val="0.13802911064113868"/>
                </c:manualLayout>
              </c:layout>
              <c:numFmt formatCode="General" sourceLinked="0"/>
            </c:trendlineLbl>
          </c:trendline>
          <c:errBars>
            <c:errDir val="y"/>
            <c:errBarType val="both"/>
            <c:errValType val="cust"/>
            <c:noEndCap val="0"/>
            <c:plus>
              <c:numRef>
                <c:f>Shallowater!$BU$12:$BU$19</c:f>
                <c:numCache>
                  <c:formatCode>General</c:formatCode>
                  <c:ptCount val="8"/>
                  <c:pt idx="0">
                    <c:v>5.4167839353341671E-2</c:v>
                  </c:pt>
                  <c:pt idx="1">
                    <c:v>9.8576911626353667E-2</c:v>
                  </c:pt>
                  <c:pt idx="2">
                    <c:v>9.4976769954996584E-2</c:v>
                  </c:pt>
                  <c:pt idx="3">
                    <c:v>7.902311577724784E-2</c:v>
                  </c:pt>
                  <c:pt idx="4">
                    <c:v>6.9759188346692036E-2</c:v>
                  </c:pt>
                  <c:pt idx="5">
                    <c:v>9.56764894162557E-2</c:v>
                  </c:pt>
                  <c:pt idx="6">
                    <c:v>5.1755728021992457E-2</c:v>
                  </c:pt>
                  <c:pt idx="7">
                    <c:v>2.516238076559401E-2</c:v>
                  </c:pt>
                </c:numCache>
              </c:numRef>
            </c:plus>
            <c:minus>
              <c:numRef>
                <c:f>Shallowater!$BU$12:$BU$19</c:f>
                <c:numCache>
                  <c:formatCode>General</c:formatCode>
                  <c:ptCount val="8"/>
                  <c:pt idx="0">
                    <c:v>5.4167839353341671E-2</c:v>
                  </c:pt>
                  <c:pt idx="1">
                    <c:v>9.8576911626353667E-2</c:v>
                  </c:pt>
                  <c:pt idx="2">
                    <c:v>9.4976769954996584E-2</c:v>
                  </c:pt>
                  <c:pt idx="3">
                    <c:v>7.902311577724784E-2</c:v>
                  </c:pt>
                  <c:pt idx="4">
                    <c:v>6.9759188346692036E-2</c:v>
                  </c:pt>
                  <c:pt idx="5">
                    <c:v>9.56764894162557E-2</c:v>
                  </c:pt>
                  <c:pt idx="6">
                    <c:v>5.1755728021992457E-2</c:v>
                  </c:pt>
                  <c:pt idx="7">
                    <c:v>2.516238076559401E-2</c:v>
                  </c:pt>
                </c:numCache>
              </c:numRef>
            </c:minus>
          </c:errBars>
          <c:errBars>
            <c:errDir val="x"/>
            <c:errBarType val="both"/>
            <c:errValType val="cust"/>
            <c:noEndCap val="0"/>
            <c:plus>
              <c:numRef>
                <c:f>Shallowater!$BS$38:$BS$40</c:f>
                <c:numCache>
                  <c:formatCode>General</c:formatCode>
                  <c:ptCount val="3"/>
                  <c:pt idx="0">
                    <c:v>3.8126008287386388E-2</c:v>
                  </c:pt>
                  <c:pt idx="1">
                    <c:v>5.1216239719765196E-2</c:v>
                  </c:pt>
                  <c:pt idx="2">
                    <c:v>2.0373287136360638E-2</c:v>
                  </c:pt>
                </c:numCache>
              </c:numRef>
            </c:plus>
            <c:minus>
              <c:numRef>
                <c:f>Shallowater!$BS$38:$BS$40</c:f>
                <c:numCache>
                  <c:formatCode>General</c:formatCode>
                  <c:ptCount val="3"/>
                  <c:pt idx="0">
                    <c:v>3.8126008287386388E-2</c:v>
                  </c:pt>
                  <c:pt idx="1">
                    <c:v>5.1216239719765196E-2</c:v>
                  </c:pt>
                  <c:pt idx="2">
                    <c:v>2.0373287136360638E-2</c:v>
                  </c:pt>
                </c:numCache>
              </c:numRef>
            </c:minus>
          </c:errBars>
          <c:xVal>
            <c:numRef>
              <c:f>Shallowater!$BR$42:$BR$51</c:f>
              <c:numCache>
                <c:formatCode>0.00</c:formatCode>
                <c:ptCount val="10"/>
                <c:pt idx="0">
                  <c:v>0.74822421247683757</c:v>
                </c:pt>
                <c:pt idx="1">
                  <c:v>3.0017372924297483</c:v>
                </c:pt>
                <c:pt idx="2">
                  <c:v>1.1347444144704986</c:v>
                </c:pt>
                <c:pt idx="3">
                  <c:v>0.77320495958525415</c:v>
                </c:pt>
                <c:pt idx="4">
                  <c:v>1.6116780364962133</c:v>
                </c:pt>
                <c:pt idx="5">
                  <c:v>4.374026641369225</c:v>
                </c:pt>
                <c:pt idx="6">
                  <c:v>0.56920982958571065</c:v>
                </c:pt>
                <c:pt idx="7">
                  <c:v>0.79266161910308686</c:v>
                </c:pt>
                <c:pt idx="8">
                  <c:v>1.0307395046548393</c:v>
                </c:pt>
                <c:pt idx="9">
                  <c:v>0.37558803701206811</c:v>
                </c:pt>
              </c:numCache>
            </c:numRef>
          </c:xVal>
          <c:yVal>
            <c:numRef>
              <c:f>Shallowater!$BT$42:$BT$51</c:f>
              <c:numCache>
                <c:formatCode>0.00</c:formatCode>
                <c:ptCount val="10"/>
                <c:pt idx="0">
                  <c:v>1.6882592135062793</c:v>
                </c:pt>
                <c:pt idx="1">
                  <c:v>4.8168169907199632</c:v>
                </c:pt>
                <c:pt idx="2">
                  <c:v>2.1199764819810469</c:v>
                </c:pt>
                <c:pt idx="3">
                  <c:v>2.0214779155440352</c:v>
                </c:pt>
                <c:pt idx="4">
                  <c:v>2.7550882336359028</c:v>
                </c:pt>
                <c:pt idx="5">
                  <c:v>6.58039843472074</c:v>
                </c:pt>
                <c:pt idx="6">
                  <c:v>1.965451019875452</c:v>
                </c:pt>
                <c:pt idx="7">
                  <c:v>2.1715848055393776</c:v>
                </c:pt>
                <c:pt idx="8">
                  <c:v>1.8210785174776041</c:v>
                </c:pt>
                <c:pt idx="9">
                  <c:v>1.2456161146218412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93C8-4A45-9EAF-1B0744DB94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0161152"/>
        <c:axId val="90163072"/>
      </c:scatterChart>
      <c:valAx>
        <c:axId val="90161152"/>
        <c:scaling>
          <c:orientation val="minMax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 sz="1600"/>
                </a:pPr>
                <a:r>
                  <a:rPr lang="en-US" sz="1600" baseline="30000"/>
                  <a:t>128</a:t>
                </a:r>
                <a:r>
                  <a:rPr lang="en-US" sz="1600"/>
                  <a:t>Xe/</a:t>
                </a:r>
                <a:r>
                  <a:rPr lang="en-US" sz="1600" baseline="30000"/>
                  <a:t>132</a:t>
                </a:r>
                <a:r>
                  <a:rPr lang="en-US" sz="1600"/>
                  <a:t>Xe</a:t>
                </a:r>
              </a:p>
            </c:rich>
          </c:tx>
          <c:overlay val="0"/>
        </c:title>
        <c:numFmt formatCode="0.00" sourceLinked="1"/>
        <c:majorTickMark val="none"/>
        <c:minorTickMark val="none"/>
        <c:tickLblPos val="nextTo"/>
        <c:txPr>
          <a:bodyPr/>
          <a:lstStyle/>
          <a:p>
            <a:pPr>
              <a:defRPr sz="1400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90163072"/>
        <c:crosses val="autoZero"/>
        <c:crossBetween val="midCat"/>
      </c:valAx>
      <c:valAx>
        <c:axId val="90163072"/>
        <c:scaling>
          <c:orientation val="minMax"/>
        </c:scaling>
        <c:delete val="0"/>
        <c:axPos val="l"/>
        <c:majorGridlines>
          <c:spPr>
            <a:ln>
              <a:noFill/>
            </a:ln>
          </c:spPr>
        </c:majorGridlines>
        <c:title>
          <c:tx>
            <c:rich>
              <a:bodyPr/>
              <a:lstStyle/>
              <a:p>
                <a:pPr>
                  <a:defRPr sz="1800"/>
                </a:pPr>
                <a:r>
                  <a:rPr lang="en-US" sz="1800" baseline="30000"/>
                  <a:t>129</a:t>
                </a:r>
                <a:r>
                  <a:rPr lang="en-US" sz="1800"/>
                  <a:t>Xe/</a:t>
                </a:r>
                <a:r>
                  <a:rPr lang="en-US" sz="1800" baseline="30000"/>
                  <a:t>132</a:t>
                </a:r>
                <a:r>
                  <a:rPr lang="en-US" sz="1800"/>
                  <a:t>Xe</a:t>
                </a:r>
              </a:p>
            </c:rich>
          </c:tx>
          <c:overlay val="0"/>
        </c:title>
        <c:numFmt formatCode="0.00" sourceLinked="1"/>
        <c:majorTickMark val="none"/>
        <c:minorTickMark val="none"/>
        <c:tickLblPos val="nextTo"/>
        <c:txPr>
          <a:bodyPr/>
          <a:lstStyle/>
          <a:p>
            <a:pPr>
              <a:defRPr sz="1400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90161152"/>
        <c:crosses val="autoZero"/>
        <c:crossBetween val="midCat"/>
      </c:valAx>
      <c:spPr>
        <a:ln>
          <a:solidFill>
            <a:schemeClr val="tx1"/>
          </a:solidFill>
        </a:ln>
      </c:spPr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Vertical variation in J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4726754329393715"/>
          <c:y val="0.10816887236693613"/>
          <c:w val="0.79982416391499467"/>
          <c:h val="0.7401761796942764"/>
        </c:manualLayout>
      </c:layout>
      <c:scatterChart>
        <c:scatterStyle val="lineMarker"/>
        <c:varyColors val="0"/>
        <c:ser>
          <c:idx val="2"/>
          <c:order val="0"/>
          <c:tx>
            <c:v>Tube 1</c:v>
          </c:tx>
          <c:spPr>
            <a:ln w="12700">
              <a:solidFill>
                <a:schemeClr val="accent3"/>
              </a:solidFill>
              <a:prstDash val="sysDash"/>
            </a:ln>
          </c:spPr>
          <c:marker>
            <c:symbol val="diamond"/>
            <c:size val="7"/>
          </c:marker>
          <c:xVal>
            <c:numRef>
              <c:f>Vertical_variation!$AB$5:$AB$7</c:f>
              <c:numCache>
                <c:formatCode>General</c:formatCode>
                <c:ptCount val="3"/>
                <c:pt idx="0">
                  <c:v>3</c:v>
                </c:pt>
                <c:pt idx="1">
                  <c:v>19</c:v>
                </c:pt>
                <c:pt idx="2">
                  <c:v>36</c:v>
                </c:pt>
              </c:numCache>
            </c:numRef>
          </c:xVal>
          <c:yVal>
            <c:numRef>
              <c:f>Vertical_variation!$AC$5:$AC$7</c:f>
              <c:numCache>
                <c:formatCode>General</c:formatCode>
                <c:ptCount val="3"/>
                <c:pt idx="0">
                  <c:v>4.7426911939066315E-3</c:v>
                </c:pt>
                <c:pt idx="1">
                  <c:v>4.4050728368799042E-3</c:v>
                </c:pt>
                <c:pt idx="2">
                  <c:v>3.8350333275558941E-3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D5C5-464A-919B-B3D3A0211B37}"/>
            </c:ext>
          </c:extLst>
        </c:ser>
        <c:ser>
          <c:idx val="0"/>
          <c:order val="1"/>
          <c:tx>
            <c:v>Tube 2</c:v>
          </c:tx>
          <c:spPr>
            <a:ln w="12700">
              <a:solidFill>
                <a:schemeClr val="accent1"/>
              </a:solidFill>
              <a:prstDash val="sysDash"/>
            </a:ln>
          </c:spPr>
          <c:xVal>
            <c:numRef>
              <c:f>Vertical_variation!$AB$8:$AB$10</c:f>
              <c:numCache>
                <c:formatCode>General</c:formatCode>
                <c:ptCount val="3"/>
                <c:pt idx="0">
                  <c:v>2</c:v>
                </c:pt>
                <c:pt idx="1">
                  <c:v>18</c:v>
                </c:pt>
                <c:pt idx="2">
                  <c:v>39</c:v>
                </c:pt>
              </c:numCache>
            </c:numRef>
          </c:xVal>
          <c:yVal>
            <c:numRef>
              <c:f>Vertical_variation!$AC$8:$AC$10</c:f>
              <c:numCache>
                <c:formatCode>General</c:formatCode>
                <c:ptCount val="3"/>
                <c:pt idx="0">
                  <c:v>5.1652121644352933E-3</c:v>
                </c:pt>
                <c:pt idx="1">
                  <c:v>4.8741710177054838E-3</c:v>
                </c:pt>
                <c:pt idx="2">
                  <c:v>4.3422657953273566E-3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44DD-4275-8C85-41C20967389F}"/>
            </c:ext>
          </c:extLst>
        </c:ser>
        <c:ser>
          <c:idx val="1"/>
          <c:order val="2"/>
          <c:tx>
            <c:v>Tube 3</c:v>
          </c:tx>
          <c:spPr>
            <a:ln w="12700">
              <a:solidFill>
                <a:srgbClr val="C00000"/>
              </a:solidFill>
              <a:prstDash val="sysDash"/>
            </a:ln>
          </c:spPr>
          <c:marker>
            <c:symbol val="diamond"/>
            <c:size val="7"/>
          </c:marker>
          <c:xVal>
            <c:numRef>
              <c:f>Vertical_variation!$AB$11:$AB$13</c:f>
              <c:numCache>
                <c:formatCode>General</c:formatCode>
                <c:ptCount val="3"/>
                <c:pt idx="0">
                  <c:v>2</c:v>
                </c:pt>
                <c:pt idx="1">
                  <c:v>24</c:v>
                </c:pt>
                <c:pt idx="2">
                  <c:v>41</c:v>
                </c:pt>
              </c:numCache>
            </c:numRef>
          </c:xVal>
          <c:yVal>
            <c:numRef>
              <c:f>Vertical_variation!$AC$11:$AC$13</c:f>
              <c:numCache>
                <c:formatCode>General</c:formatCode>
                <c:ptCount val="3"/>
                <c:pt idx="0">
                  <c:v>5.3121668012560807E-3</c:v>
                </c:pt>
                <c:pt idx="1">
                  <c:v>4.8996499783353319E-3</c:v>
                </c:pt>
                <c:pt idx="2">
                  <c:v>4.2112251639609289E-3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5C5-464A-919B-B3D3A0211B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9928832"/>
        <c:axId val="89930752"/>
      </c:scatterChart>
      <c:valAx>
        <c:axId val="89928832"/>
        <c:scaling>
          <c:orientation val="minMax"/>
          <c:max val="50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400"/>
                  <a:t>Distance from base of tube (mm)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9930752"/>
        <c:crosses val="autoZero"/>
        <c:crossBetween val="midCat"/>
      </c:valAx>
      <c:valAx>
        <c:axId val="89930752"/>
        <c:scaling>
          <c:orientation val="minMax"/>
          <c:min val="3.0000000000000009E-3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400"/>
                  <a:t>J value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9928832"/>
        <c:crosses val="autoZero"/>
        <c:crossBetween val="midCat"/>
      </c:valAx>
      <c:spPr>
        <a:noFill/>
        <a:ln>
          <a:solidFill>
            <a:schemeClr val="tx1">
              <a:lumMod val="15000"/>
              <a:lumOff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7755903707830387"/>
          <c:y val="0.13408350409597453"/>
          <c:w val="0.11563031858253839"/>
          <c:h val="0.2327732384073637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Vertical variation in </a:t>
            </a:r>
            <a:r>
              <a:rPr lang="en-GB">
                <a:sym typeface="Symbol" panose="05050102010706020507" pitchFamily="18" charset="2"/>
              </a:rPr>
              <a:t></a:t>
            </a:r>
            <a:endParaRPr lang="en-GB"/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5251596325842634"/>
          <c:y val="0.11742736925493873"/>
          <c:w val="0.79982416391499467"/>
          <c:h val="0.7401761796942764"/>
        </c:manualLayout>
      </c:layout>
      <c:scatterChart>
        <c:scatterStyle val="lineMarker"/>
        <c:varyColors val="0"/>
        <c:ser>
          <c:idx val="2"/>
          <c:order val="0"/>
          <c:tx>
            <c:v>Tube 1</c:v>
          </c:tx>
          <c:spPr>
            <a:ln w="28575">
              <a:noFill/>
            </a:ln>
          </c:spPr>
          <c:marker>
            <c:symbol val="diamond"/>
            <c:size val="7"/>
          </c:marker>
          <c:errBars>
            <c:errDir val="y"/>
            <c:errBarType val="both"/>
            <c:errValType val="cust"/>
            <c:noEndCap val="0"/>
            <c:plus>
              <c:numRef>
                <c:f>Vertical_variation!$AJ$5:$AJ$7</c:f>
                <c:numCache>
                  <c:formatCode>General</c:formatCode>
                  <c:ptCount val="3"/>
                  <c:pt idx="0">
                    <c:v>7.5550795824763902E-3</c:v>
                  </c:pt>
                  <c:pt idx="1">
                    <c:v>6.3816104537310616E-3</c:v>
                  </c:pt>
                  <c:pt idx="2">
                    <c:v>6.5673979999256492E-3</c:v>
                  </c:pt>
                </c:numCache>
              </c:numRef>
            </c:plus>
            <c:minus>
              <c:numRef>
                <c:f>Vertical_variation!$AJ$5:$AJ$7</c:f>
                <c:numCache>
                  <c:formatCode>General</c:formatCode>
                  <c:ptCount val="3"/>
                  <c:pt idx="0">
                    <c:v>7.5550795824763902E-3</c:v>
                  </c:pt>
                  <c:pt idx="1">
                    <c:v>6.3816104537310616E-3</c:v>
                  </c:pt>
                  <c:pt idx="2">
                    <c:v>6.5673979999256492E-3</c:v>
                  </c:pt>
                </c:numCache>
              </c:numRef>
            </c:minus>
            <c:spPr>
              <a:ln>
                <a:solidFill>
                  <a:schemeClr val="bg1">
                    <a:lumMod val="50000"/>
                  </a:schemeClr>
                </a:solidFill>
              </a:ln>
            </c:spPr>
          </c:errBars>
          <c:xVal>
            <c:numRef>
              <c:f>Vertical_variation!$AB$5:$AB$7</c:f>
              <c:numCache>
                <c:formatCode>General</c:formatCode>
                <c:ptCount val="3"/>
                <c:pt idx="0">
                  <c:v>3</c:v>
                </c:pt>
                <c:pt idx="1">
                  <c:v>19</c:v>
                </c:pt>
                <c:pt idx="2">
                  <c:v>36</c:v>
                </c:pt>
              </c:numCache>
            </c:numRef>
          </c:xVal>
          <c:yVal>
            <c:numRef>
              <c:f>Vertical_variation!$AI$5:$AI$7</c:f>
              <c:numCache>
                <c:formatCode>General</c:formatCode>
                <c:ptCount val="3"/>
                <c:pt idx="0">
                  <c:v>0.55128114895713265</c:v>
                </c:pt>
                <c:pt idx="1">
                  <c:v>0.46591318421162448</c:v>
                </c:pt>
                <c:pt idx="2">
                  <c:v>0.47923995966916078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3C34-467B-A50A-1B7BE21CD9E7}"/>
            </c:ext>
          </c:extLst>
        </c:ser>
        <c:ser>
          <c:idx val="0"/>
          <c:order val="1"/>
          <c:tx>
            <c:v>Tube 2</c:v>
          </c:tx>
          <c:spPr>
            <a:ln w="28575">
              <a:noFill/>
            </a:ln>
          </c:spPr>
          <c:errBars>
            <c:errDir val="y"/>
            <c:errBarType val="both"/>
            <c:errValType val="cust"/>
            <c:noEndCap val="0"/>
            <c:plus>
              <c:numRef>
                <c:f>Vertical_variation!$AJ$8:$AJ$10</c:f>
                <c:numCache>
                  <c:formatCode>General</c:formatCode>
                  <c:ptCount val="3"/>
                  <c:pt idx="0">
                    <c:v>6.6263817731421169E-3</c:v>
                  </c:pt>
                  <c:pt idx="1">
                    <c:v>5.1815661734152668E-3</c:v>
                  </c:pt>
                  <c:pt idx="2">
                    <c:v>6.9276368828200671E-3</c:v>
                  </c:pt>
                </c:numCache>
              </c:numRef>
            </c:plus>
            <c:minus>
              <c:numRef>
                <c:f>Vertical_variation!$AJ$8:$AJ$10</c:f>
                <c:numCache>
                  <c:formatCode>General</c:formatCode>
                  <c:ptCount val="3"/>
                  <c:pt idx="0">
                    <c:v>6.6263817731421169E-3</c:v>
                  </c:pt>
                  <c:pt idx="1">
                    <c:v>5.1815661734152668E-3</c:v>
                  </c:pt>
                  <c:pt idx="2">
                    <c:v>6.9276368828200671E-3</c:v>
                  </c:pt>
                </c:numCache>
              </c:numRef>
            </c:minus>
            <c:spPr>
              <a:ln>
                <a:solidFill>
                  <a:schemeClr val="bg1">
                    <a:lumMod val="50000"/>
                  </a:schemeClr>
                </a:solidFill>
              </a:ln>
            </c:spPr>
          </c:errBars>
          <c:xVal>
            <c:numRef>
              <c:f>Vertical_variation!$AB$8:$AB$10</c:f>
              <c:numCache>
                <c:formatCode>General</c:formatCode>
                <c:ptCount val="3"/>
                <c:pt idx="0">
                  <c:v>2</c:v>
                </c:pt>
                <c:pt idx="1">
                  <c:v>18</c:v>
                </c:pt>
                <c:pt idx="2">
                  <c:v>39</c:v>
                </c:pt>
              </c:numCache>
            </c:numRef>
          </c:xVal>
          <c:yVal>
            <c:numRef>
              <c:f>Vertical_variation!$AI$8:$AI$10</c:f>
              <c:numCache>
                <c:formatCode>General</c:formatCode>
                <c:ptCount val="3"/>
                <c:pt idx="0">
                  <c:v>0.48321021949912618</c:v>
                </c:pt>
                <c:pt idx="1">
                  <c:v>0.3782326302286243</c:v>
                </c:pt>
                <c:pt idx="2">
                  <c:v>0.505182491855103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8929-4630-9DCD-C0A3D610D65D}"/>
            </c:ext>
          </c:extLst>
        </c:ser>
        <c:ser>
          <c:idx val="1"/>
          <c:order val="2"/>
          <c:tx>
            <c:v>Tube 3</c:v>
          </c:tx>
          <c:spPr>
            <a:ln w="28575">
              <a:noFill/>
            </a:ln>
          </c:spPr>
          <c:marker>
            <c:symbol val="diamond"/>
            <c:size val="7"/>
          </c:marker>
          <c:errBars>
            <c:errDir val="y"/>
            <c:errBarType val="both"/>
            <c:errValType val="cust"/>
            <c:noEndCap val="0"/>
            <c:plus>
              <c:numRef>
                <c:f>Vertical_variation!$AJ$11:$AJ$13</c:f>
                <c:numCache>
                  <c:formatCode>General</c:formatCode>
                  <c:ptCount val="3"/>
                  <c:pt idx="0">
                    <c:v>6.4440112340063416E-3</c:v>
                  </c:pt>
                  <c:pt idx="1">
                    <c:v>6.9147899672432935E-3</c:v>
                  </c:pt>
                  <c:pt idx="2">
                    <c:v>6.9882843350043567E-3</c:v>
                  </c:pt>
                </c:numCache>
              </c:numRef>
            </c:plus>
            <c:minus>
              <c:numRef>
                <c:f>Vertical_variation!$AJ$11:$AJ$13</c:f>
                <c:numCache>
                  <c:formatCode>General</c:formatCode>
                  <c:ptCount val="3"/>
                  <c:pt idx="0">
                    <c:v>6.4440112340063416E-3</c:v>
                  </c:pt>
                  <c:pt idx="1">
                    <c:v>6.9147899672432935E-3</c:v>
                  </c:pt>
                  <c:pt idx="2">
                    <c:v>6.9882843350043567E-3</c:v>
                  </c:pt>
                </c:numCache>
              </c:numRef>
            </c:minus>
            <c:spPr>
              <a:ln>
                <a:solidFill>
                  <a:schemeClr val="bg1">
                    <a:lumMod val="50000"/>
                  </a:schemeClr>
                </a:solidFill>
              </a:ln>
            </c:spPr>
          </c:errBars>
          <c:xVal>
            <c:numRef>
              <c:f>Vertical_variation!$AB$11:$AB$13</c:f>
              <c:numCache>
                <c:formatCode>General</c:formatCode>
                <c:ptCount val="3"/>
                <c:pt idx="0">
                  <c:v>2</c:v>
                </c:pt>
                <c:pt idx="1">
                  <c:v>24</c:v>
                </c:pt>
                <c:pt idx="2">
                  <c:v>41</c:v>
                </c:pt>
              </c:numCache>
            </c:numRef>
          </c:xVal>
          <c:yVal>
            <c:numRef>
              <c:f>Vertical_variation!$AI$11:$AI$13</c:f>
              <c:numCache>
                <c:formatCode>General</c:formatCode>
                <c:ptCount val="3"/>
                <c:pt idx="0">
                  <c:v>0.47009954833574208</c:v>
                </c:pt>
                <c:pt idx="1">
                  <c:v>0.50478819776216999</c:v>
                </c:pt>
                <c:pt idx="2">
                  <c:v>0.50900385722249708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C34-467B-A50A-1B7BE21CD9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9993216"/>
        <c:axId val="89995136"/>
      </c:scatterChart>
      <c:valAx>
        <c:axId val="89993216"/>
        <c:scaling>
          <c:orientation val="minMax"/>
          <c:max val="50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400"/>
                  <a:t>Distance from base of tube (mm)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9995136"/>
        <c:crosses val="autoZero"/>
        <c:crossBetween val="midCat"/>
      </c:valAx>
      <c:valAx>
        <c:axId val="89995136"/>
        <c:scaling>
          <c:orientation val="minMax"/>
          <c:max val="0.60000000000000009"/>
          <c:min val="0.4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400">
                    <a:sym typeface="Symbol" panose="05050102010706020507" pitchFamily="18" charset="2"/>
                  </a:rPr>
                  <a:t></a:t>
                </a:r>
                <a:r>
                  <a:rPr lang="en-US" sz="1400"/>
                  <a:t> value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in"/>
        <c:minorTickMark val="in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9993216"/>
        <c:crosses val="autoZero"/>
        <c:crossBetween val="midCat"/>
        <c:majorUnit val="5.000000000000001E-2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4405927955330329"/>
          <c:y val="0.62050829067607249"/>
          <c:w val="8.1238298643328918E-2"/>
          <c:h val="0.2307416592044304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Vertical variation in </a:t>
            </a:r>
            <a:r>
              <a:rPr lang="en-GB">
                <a:sym typeface="Symbol" panose="05050102010706020507" pitchFamily="18" charset="2"/>
              </a:rPr>
              <a:t></a:t>
            </a:r>
            <a:endParaRPr lang="en-GB"/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4554323935314536"/>
          <c:y val="0.1081689252362768"/>
          <c:w val="0.79982416391499467"/>
          <c:h val="0.7401761796942764"/>
        </c:manualLayout>
      </c:layout>
      <c:scatterChart>
        <c:scatterStyle val="lineMarker"/>
        <c:varyColors val="0"/>
        <c:ser>
          <c:idx val="2"/>
          <c:order val="0"/>
          <c:tx>
            <c:v>Tube 1</c:v>
          </c:tx>
          <c:spPr>
            <a:ln w="28575">
              <a:noFill/>
            </a:ln>
          </c:spPr>
          <c:marker>
            <c:symbol val="diamond"/>
            <c:size val="7"/>
          </c:marker>
          <c:errBars>
            <c:errDir val="y"/>
            <c:errBarType val="both"/>
            <c:errValType val="cust"/>
            <c:noEndCap val="0"/>
            <c:plus>
              <c:numRef>
                <c:f>Vertical_variation!$AL$5:$AL$7</c:f>
                <c:numCache>
                  <c:formatCode>General</c:formatCode>
                  <c:ptCount val="3"/>
                  <c:pt idx="0">
                    <c:v>0.36613101239401247</c:v>
                  </c:pt>
                  <c:pt idx="1">
                    <c:v>0.35850150288921329</c:v>
                  </c:pt>
                  <c:pt idx="2">
                    <c:v>0.37529485176746119</c:v>
                  </c:pt>
                </c:numCache>
              </c:numRef>
            </c:plus>
            <c:minus>
              <c:numRef>
                <c:f>Vertical_variation!$AL$5:$AL$7</c:f>
                <c:numCache>
                  <c:formatCode>General</c:formatCode>
                  <c:ptCount val="3"/>
                  <c:pt idx="0">
                    <c:v>0.36613101239401247</c:v>
                  </c:pt>
                  <c:pt idx="1">
                    <c:v>0.35850150288921329</c:v>
                  </c:pt>
                  <c:pt idx="2">
                    <c:v>0.37529485176746119</c:v>
                  </c:pt>
                </c:numCache>
              </c:numRef>
            </c:minus>
            <c:spPr>
              <a:ln>
                <a:solidFill>
                  <a:schemeClr val="bg1">
                    <a:lumMod val="50000"/>
                  </a:schemeClr>
                </a:solidFill>
              </a:ln>
            </c:spPr>
          </c:errBars>
          <c:xVal>
            <c:numRef>
              <c:f>Vertical_variation!$AB$5:$AB$7</c:f>
              <c:numCache>
                <c:formatCode>General</c:formatCode>
                <c:ptCount val="3"/>
                <c:pt idx="0">
                  <c:v>3</c:v>
                </c:pt>
                <c:pt idx="1">
                  <c:v>19</c:v>
                </c:pt>
                <c:pt idx="2">
                  <c:v>36</c:v>
                </c:pt>
              </c:numCache>
            </c:numRef>
          </c:xVal>
          <c:yVal>
            <c:numRef>
              <c:f>Vertical_variation!$AK$5:$AK$7</c:f>
              <c:numCache>
                <c:formatCode>General</c:formatCode>
                <c:ptCount val="3"/>
                <c:pt idx="0">
                  <c:v>24.544732038990023</c:v>
                </c:pt>
                <c:pt idx="1">
                  <c:v>24.045084856739152</c:v>
                </c:pt>
                <c:pt idx="2">
                  <c:v>25.155822496231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0811-4ACE-80A5-DF869E51B8C1}"/>
            </c:ext>
          </c:extLst>
        </c:ser>
        <c:ser>
          <c:idx val="0"/>
          <c:order val="1"/>
          <c:tx>
            <c:v>Tube 2</c:v>
          </c:tx>
          <c:spPr>
            <a:ln w="28575">
              <a:noFill/>
            </a:ln>
          </c:spPr>
          <c:errBars>
            <c:errDir val="y"/>
            <c:errBarType val="both"/>
            <c:errValType val="cust"/>
            <c:noEndCap val="0"/>
            <c:plus>
              <c:numRef>
                <c:f>Vertical_variation!$AL$8:$AL$10</c:f>
                <c:numCache>
                  <c:formatCode>General</c:formatCode>
                  <c:ptCount val="3"/>
                  <c:pt idx="0">
                    <c:v>0.35655667620572851</c:v>
                  </c:pt>
                  <c:pt idx="1">
                    <c:v>0.29994693591332733</c:v>
                  </c:pt>
                  <c:pt idx="2">
                    <c:v>0.37044898629129219</c:v>
                  </c:pt>
                </c:numCache>
              </c:numRef>
            </c:plus>
            <c:minus>
              <c:numRef>
                <c:f>Vertical_variation!$AL$9:$AL$11</c:f>
                <c:numCache>
                  <c:formatCode>General</c:formatCode>
                  <c:ptCount val="3"/>
                  <c:pt idx="0">
                    <c:v>0.29994693591332733</c:v>
                  </c:pt>
                  <c:pt idx="1">
                    <c:v>0.37044898629129219</c:v>
                  </c:pt>
                  <c:pt idx="2">
                    <c:v>0.34454400469054064</c:v>
                  </c:pt>
                </c:numCache>
              </c:numRef>
            </c:minus>
            <c:spPr>
              <a:ln>
                <a:solidFill>
                  <a:schemeClr val="bg1">
                    <a:lumMod val="50000"/>
                  </a:schemeClr>
                </a:solidFill>
              </a:ln>
            </c:spPr>
          </c:errBars>
          <c:xVal>
            <c:numRef>
              <c:f>Vertical_variation!$AB$8:$AB$10</c:f>
              <c:numCache>
                <c:formatCode>General</c:formatCode>
                <c:ptCount val="3"/>
                <c:pt idx="0">
                  <c:v>2</c:v>
                </c:pt>
                <c:pt idx="1">
                  <c:v>18</c:v>
                </c:pt>
                <c:pt idx="2">
                  <c:v>39</c:v>
                </c:pt>
              </c:numCache>
            </c:numRef>
          </c:xVal>
          <c:yVal>
            <c:numRef>
              <c:f>Vertical_variation!$AK$8:$AK$10</c:f>
              <c:numCache>
                <c:formatCode>General</c:formatCode>
                <c:ptCount val="3"/>
                <c:pt idx="0">
                  <c:v>23.890630393973385</c:v>
                </c:pt>
                <c:pt idx="1">
                  <c:v>20.107580984108967</c:v>
                </c:pt>
                <c:pt idx="2">
                  <c:v>24.834110188627339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CB62-4654-A866-DE4E132ECC37}"/>
            </c:ext>
          </c:extLst>
        </c:ser>
        <c:ser>
          <c:idx val="1"/>
          <c:order val="2"/>
          <c:tx>
            <c:v>Tube 3</c:v>
          </c:tx>
          <c:spPr>
            <a:ln w="28575">
              <a:noFill/>
            </a:ln>
          </c:spPr>
          <c:marker>
            <c:symbol val="diamond"/>
            <c:size val="7"/>
          </c:marker>
          <c:errBars>
            <c:errDir val="y"/>
            <c:errBarType val="both"/>
            <c:errValType val="cust"/>
            <c:noEndCap val="0"/>
            <c:plus>
              <c:numRef>
                <c:f>Vertical_variation!$AL$11:$AL$13</c:f>
                <c:numCache>
                  <c:formatCode>General</c:formatCode>
                  <c:ptCount val="3"/>
                  <c:pt idx="0">
                    <c:v>0.34454400469054064</c:v>
                  </c:pt>
                  <c:pt idx="1">
                    <c:v>0.35138775102940895</c:v>
                  </c:pt>
                  <c:pt idx="2">
                    <c:v>0.37419486599034318</c:v>
                  </c:pt>
                </c:numCache>
              </c:numRef>
            </c:plus>
            <c:minus>
              <c:numRef>
                <c:f>Vertical_variation!$AL$11:$AL$13</c:f>
                <c:numCache>
                  <c:formatCode>General</c:formatCode>
                  <c:ptCount val="3"/>
                  <c:pt idx="0">
                    <c:v>0.34454400469054064</c:v>
                  </c:pt>
                  <c:pt idx="1">
                    <c:v>0.35138775102940895</c:v>
                  </c:pt>
                  <c:pt idx="2">
                    <c:v>0.37419486599034318</c:v>
                  </c:pt>
                </c:numCache>
              </c:numRef>
            </c:minus>
            <c:spPr>
              <a:ln>
                <a:solidFill>
                  <a:schemeClr val="bg1">
                    <a:lumMod val="50000"/>
                  </a:schemeClr>
                </a:solidFill>
              </a:ln>
            </c:spPr>
          </c:errBars>
          <c:xVal>
            <c:numRef>
              <c:f>Vertical_variation!$AB$11:$AB$13</c:f>
              <c:numCache>
                <c:formatCode>General</c:formatCode>
                <c:ptCount val="3"/>
                <c:pt idx="0">
                  <c:v>2</c:v>
                </c:pt>
                <c:pt idx="1">
                  <c:v>24</c:v>
                </c:pt>
                <c:pt idx="2">
                  <c:v>41</c:v>
                </c:pt>
              </c:numCache>
            </c:numRef>
          </c:xVal>
          <c:yVal>
            <c:numRef>
              <c:f>Vertical_variation!$AK$12:$AK$14</c:f>
              <c:numCache>
                <c:formatCode>General</c:formatCode>
                <c:ptCount val="3"/>
                <c:pt idx="0">
                  <c:v>23.564438728217279</c:v>
                </c:pt>
                <c:pt idx="1">
                  <c:v>25.053706221835235</c:v>
                </c:pt>
                <c:pt idx="2">
                  <c:v>23.811295332106198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811-4ACE-80A5-DF869E51B8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0040192"/>
        <c:axId val="90185728"/>
      </c:scatterChart>
      <c:valAx>
        <c:axId val="90040192"/>
        <c:scaling>
          <c:orientation val="minMax"/>
          <c:max val="50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400"/>
                  <a:t>Distance from base of tube (mm)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0185728"/>
        <c:crosses val="autoZero"/>
        <c:crossBetween val="midCat"/>
      </c:valAx>
      <c:valAx>
        <c:axId val="90185728"/>
        <c:scaling>
          <c:orientation val="minMax"/>
          <c:max val="27"/>
          <c:min val="17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400">
                    <a:sym typeface="Symbol" panose="05050102010706020507" pitchFamily="18" charset="2"/>
                  </a:rPr>
                  <a:t></a:t>
                </a:r>
                <a:r>
                  <a:rPr lang="en-US" sz="1400"/>
                  <a:t> value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in"/>
        <c:minorTickMark val="in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0040192"/>
        <c:crosses val="autoZero"/>
        <c:crossBetween val="midCat"/>
      </c:valAx>
      <c:spPr>
        <a:noFill/>
        <a:ln>
          <a:solidFill>
            <a:schemeClr val="tx1">
              <a:lumMod val="15000"/>
              <a:lumOff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84143940151509322"/>
          <c:y val="0.59638924502438395"/>
          <c:w val="8.0954271765128927E-2"/>
          <c:h val="0.2215860270633935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Vertical variation in </a:t>
            </a:r>
            <a:r>
              <a:rPr lang="en-GB">
                <a:sym typeface="Symbol" panose="05050102010706020507" pitchFamily="18" charset="2"/>
              </a:rPr>
              <a:t>neutron fluence</a:t>
            </a:r>
            <a:endParaRPr lang="en-GB"/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4554323935314536"/>
          <c:y val="0.1081689252362768"/>
          <c:w val="0.73100695961391926"/>
          <c:h val="0.7401761796942764"/>
        </c:manualLayout>
      </c:layout>
      <c:scatterChart>
        <c:scatterStyle val="lineMarker"/>
        <c:varyColors val="0"/>
        <c:ser>
          <c:idx val="1"/>
          <c:order val="2"/>
          <c:tx>
            <c:v>Tube 1 thermal</c:v>
          </c:tx>
          <c:spPr>
            <a:ln w="12700">
              <a:solidFill>
                <a:schemeClr val="accent3"/>
              </a:solidFill>
              <a:prstDash val="sysDash"/>
            </a:ln>
          </c:spPr>
          <c:marker>
            <c:symbol val="diamond"/>
            <c:size val="7"/>
            <c:spPr>
              <a:solidFill>
                <a:schemeClr val="accent3"/>
              </a:solidFill>
              <a:ln>
                <a:solidFill>
                  <a:schemeClr val="accent3"/>
                </a:solidFill>
              </a:ln>
            </c:spPr>
          </c:marker>
          <c:xVal>
            <c:numRef>
              <c:f>Vertical_variation!$AB$5:$AB$7</c:f>
              <c:numCache>
                <c:formatCode>General</c:formatCode>
                <c:ptCount val="3"/>
                <c:pt idx="0">
                  <c:v>3</c:v>
                </c:pt>
                <c:pt idx="1">
                  <c:v>19</c:v>
                </c:pt>
                <c:pt idx="2">
                  <c:v>36</c:v>
                </c:pt>
              </c:numCache>
            </c:numRef>
          </c:xVal>
          <c:yVal>
            <c:numRef>
              <c:f>Vertical_variation!$AE$5:$AE$7</c:f>
              <c:numCache>
                <c:formatCode>0.0E+00</c:formatCode>
                <c:ptCount val="3"/>
                <c:pt idx="0">
                  <c:v>1.2202773753242186E+19</c:v>
                </c:pt>
                <c:pt idx="1">
                  <c:v>1.1103370306921454E+19</c:v>
                </c:pt>
                <c:pt idx="2">
                  <c:v>1.0113071561336437E+19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1061-4162-B007-346FAE2DE9C3}"/>
            </c:ext>
          </c:extLst>
        </c:ser>
        <c:ser>
          <c:idx val="4"/>
          <c:order val="4"/>
          <c:tx>
            <c:v>Tube 2 thermal</c:v>
          </c:tx>
          <c:spPr>
            <a:ln w="12700">
              <a:solidFill>
                <a:schemeClr val="accent1"/>
              </a:solidFill>
              <a:prstDash val="sysDash"/>
            </a:ln>
          </c:spPr>
          <c:marker>
            <c:symbol val="diamond"/>
            <c:size val="7"/>
            <c:spPr>
              <a:solidFill>
                <a:schemeClr val="accent1"/>
              </a:solidFill>
              <a:ln>
                <a:solidFill>
                  <a:schemeClr val="accent1"/>
                </a:solidFill>
              </a:ln>
            </c:spPr>
          </c:marker>
          <c:errBars>
            <c:errDir val="y"/>
            <c:errBarType val="both"/>
            <c:errValType val="cust"/>
            <c:noEndCap val="1"/>
            <c:plus>
              <c:numRef>
                <c:f>Hb3Gr!#REF!</c:f>
                <c:numCache>
                  <c:formatCode>General</c:formatCode>
                  <c:ptCount val="1"/>
                  <c:pt idx="0">
                    <c:v>1</c:v>
                  </c:pt>
                </c:numCache>
              </c:numRef>
            </c:plus>
            <c:minus>
              <c:numRef>
                <c:f>Hb3Gr!#REF!</c:f>
                <c:numCache>
                  <c:formatCode>General</c:formatCode>
                  <c:ptCount val="1"/>
                  <c:pt idx="0">
                    <c:v>1</c:v>
                  </c:pt>
                </c:numCache>
              </c:numRef>
            </c:minus>
          </c:errBars>
          <c:xVal>
            <c:numRef>
              <c:f>Vertical_variation!$AB$8:$AB$10</c:f>
              <c:numCache>
                <c:formatCode>General</c:formatCode>
                <c:ptCount val="3"/>
                <c:pt idx="0">
                  <c:v>2</c:v>
                </c:pt>
                <c:pt idx="1">
                  <c:v>18</c:v>
                </c:pt>
                <c:pt idx="2">
                  <c:v>39</c:v>
                </c:pt>
              </c:numCache>
            </c:numRef>
          </c:xVal>
          <c:yVal>
            <c:numRef>
              <c:f>Vertical_variation!$AE$8:$AE$10</c:f>
              <c:numCache>
                <c:formatCode>0.0E+00</c:formatCode>
                <c:ptCount val="3"/>
                <c:pt idx="0">
                  <c:v>1.293573740858393E+19</c:v>
                </c:pt>
                <c:pt idx="1">
                  <c:v>1.0273915887354728E+19</c:v>
                </c:pt>
                <c:pt idx="2">
                  <c:v>1.1304215383147203E+19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448-4A69-AB5E-0AB568CC77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0251648"/>
        <c:axId val="90253952"/>
      </c:scatterChart>
      <c:scatterChart>
        <c:scatterStyle val="lineMarker"/>
        <c:varyColors val="0"/>
        <c:ser>
          <c:idx val="3"/>
          <c:order val="0"/>
          <c:tx>
            <c:v>Tube 3 Thermal</c:v>
          </c:tx>
          <c:spPr>
            <a:ln w="19050">
              <a:solidFill>
                <a:srgbClr val="FF0000"/>
              </a:solidFill>
              <a:prstDash val="sysDash"/>
            </a:ln>
          </c:spPr>
          <c:marker>
            <c:symbol val="diamond"/>
            <c:size val="7"/>
            <c:spPr>
              <a:solidFill>
                <a:srgbClr val="C00000"/>
              </a:solidFill>
              <a:ln>
                <a:noFill/>
              </a:ln>
            </c:spPr>
          </c:marker>
          <c:xVal>
            <c:numRef>
              <c:f>Vertical_variation!$AB$11:$AB$13</c:f>
              <c:numCache>
                <c:formatCode>General</c:formatCode>
                <c:ptCount val="3"/>
                <c:pt idx="0">
                  <c:v>2</c:v>
                </c:pt>
                <c:pt idx="1">
                  <c:v>24</c:v>
                </c:pt>
                <c:pt idx="2">
                  <c:v>41</c:v>
                </c:pt>
              </c:numCache>
            </c:numRef>
          </c:xVal>
          <c:yVal>
            <c:numRef>
              <c:f>Vertical_variation!$AE$11:$AE$13</c:f>
              <c:numCache>
                <c:formatCode>0.0E+00</c:formatCode>
                <c:ptCount val="3"/>
                <c:pt idx="0">
                  <c:v>1.2866590220152021E+19</c:v>
                </c:pt>
                <c:pt idx="1">
                  <c:v>1.2103126492332728E+19</c:v>
                </c:pt>
                <c:pt idx="2">
                  <c:v>1.1060018658455095E+19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1240-AF44-A37C-BFF2BC129289}"/>
            </c:ext>
          </c:extLst>
        </c:ser>
        <c:ser>
          <c:idx val="0"/>
          <c:order val="1"/>
          <c:tx>
            <c:v>Tube 1 fast</c:v>
          </c:tx>
          <c:spPr>
            <a:ln w="12700">
              <a:solidFill>
                <a:schemeClr val="accent3"/>
              </a:solidFill>
              <a:prstDash val="sysDash"/>
            </a:ln>
          </c:spPr>
          <c:marker>
            <c:symbol val="diamond"/>
            <c:size val="7"/>
            <c:spPr>
              <a:solidFill>
                <a:schemeClr val="bg1"/>
              </a:solidFill>
              <a:ln>
                <a:solidFill>
                  <a:schemeClr val="accent3"/>
                </a:solidFill>
              </a:ln>
            </c:spPr>
          </c:marker>
          <c:xVal>
            <c:numRef>
              <c:f>Vertical_variation!$AB$5:$AB$7</c:f>
              <c:numCache>
                <c:formatCode>General</c:formatCode>
                <c:ptCount val="3"/>
                <c:pt idx="0">
                  <c:v>3</c:v>
                </c:pt>
                <c:pt idx="1">
                  <c:v>19</c:v>
                </c:pt>
                <c:pt idx="2">
                  <c:v>36</c:v>
                </c:pt>
              </c:numCache>
            </c:numRef>
          </c:xVal>
          <c:yVal>
            <c:numRef>
              <c:f>Vertical_variation!$AG$5:$AG$7</c:f>
              <c:numCache>
                <c:formatCode>General</c:formatCode>
                <c:ptCount val="3"/>
                <c:pt idx="0">
                  <c:v>8.8153803827926886E+17</c:v>
                </c:pt>
                <c:pt idx="1">
                  <c:v>8.1878391578383949E+17</c:v>
                </c:pt>
                <c:pt idx="2">
                  <c:v>7.1282898634698573E+17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1061-4162-B007-346FAE2DE9C3}"/>
            </c:ext>
          </c:extLst>
        </c:ser>
        <c:ser>
          <c:idx val="5"/>
          <c:order val="3"/>
          <c:tx>
            <c:v>Tube 2 fast</c:v>
          </c:tx>
          <c:spPr>
            <a:ln w="12700">
              <a:solidFill>
                <a:schemeClr val="accent1"/>
              </a:solidFill>
              <a:prstDash val="sysDash"/>
            </a:ln>
          </c:spPr>
          <c:marker>
            <c:symbol val="diamond"/>
            <c:size val="7"/>
            <c:spPr>
              <a:solidFill>
                <a:schemeClr val="bg1"/>
              </a:solidFill>
              <a:ln>
                <a:solidFill>
                  <a:schemeClr val="accent1"/>
                </a:solidFill>
              </a:ln>
            </c:spPr>
          </c:marker>
          <c:errBars>
            <c:errDir val="y"/>
            <c:errBarType val="both"/>
            <c:errValType val="cust"/>
            <c:noEndCap val="1"/>
            <c:plus>
              <c:numRef>
                <c:f>Hb3Gr!#REF!</c:f>
                <c:numCache>
                  <c:formatCode>General</c:formatCode>
                  <c:ptCount val="1"/>
                  <c:pt idx="0">
                    <c:v>1</c:v>
                  </c:pt>
                </c:numCache>
              </c:numRef>
            </c:plus>
            <c:minus>
              <c:numRef>
                <c:f>Hb3Gr!#REF!</c:f>
                <c:numCache>
                  <c:formatCode>General</c:formatCode>
                  <c:ptCount val="1"/>
                  <c:pt idx="0">
                    <c:v>1</c:v>
                  </c:pt>
                </c:numCache>
              </c:numRef>
            </c:minus>
          </c:errBars>
          <c:xVal>
            <c:numRef>
              <c:f>Vertical_variation!$AB$8:$AB$10</c:f>
              <c:numCache>
                <c:formatCode>General</c:formatCode>
                <c:ptCount val="3"/>
                <c:pt idx="0">
                  <c:v>2</c:v>
                </c:pt>
                <c:pt idx="1">
                  <c:v>18</c:v>
                </c:pt>
                <c:pt idx="2">
                  <c:v>39</c:v>
                </c:pt>
              </c:numCache>
            </c:numRef>
          </c:xVal>
          <c:yVal>
            <c:numRef>
              <c:f>Vertical_variation!$AG$8:$AG$10</c:f>
              <c:numCache>
                <c:formatCode>General</c:formatCode>
                <c:ptCount val="3"/>
                <c:pt idx="0">
                  <c:v>9.6007326063788096E+17</c:v>
                </c:pt>
                <c:pt idx="1">
                  <c:v>9.059765819681047E+17</c:v>
                </c:pt>
                <c:pt idx="2">
                  <c:v>8.0710978522448691E+17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3448-4A69-AB5E-0AB568CC7712}"/>
            </c:ext>
          </c:extLst>
        </c:ser>
        <c:ser>
          <c:idx val="2"/>
          <c:order val="5"/>
          <c:tx>
            <c:v>Tube 3 fast</c:v>
          </c:tx>
          <c:spPr>
            <a:ln w="12700">
              <a:solidFill>
                <a:srgbClr val="C00000"/>
              </a:solidFill>
              <a:prstDash val="sysDash"/>
            </a:ln>
          </c:spPr>
          <c:marker>
            <c:symbol val="diamond"/>
            <c:size val="7"/>
            <c:spPr>
              <a:solidFill>
                <a:schemeClr val="bg1"/>
              </a:solidFill>
              <a:ln>
                <a:solidFill>
                  <a:srgbClr val="C00000"/>
                </a:solidFill>
              </a:ln>
            </c:spPr>
          </c:marker>
          <c:xVal>
            <c:numRef>
              <c:f>Vertical_variation!$AB$11:$AB$13</c:f>
              <c:numCache>
                <c:formatCode>General</c:formatCode>
                <c:ptCount val="3"/>
                <c:pt idx="0">
                  <c:v>2</c:v>
                </c:pt>
                <c:pt idx="1">
                  <c:v>24</c:v>
                </c:pt>
                <c:pt idx="2">
                  <c:v>41</c:v>
                </c:pt>
              </c:numCache>
            </c:numRef>
          </c:xVal>
          <c:yVal>
            <c:numRef>
              <c:f>Vertical_variation!$AG$11:$AG$13</c:f>
              <c:numCache>
                <c:formatCode>General</c:formatCode>
                <c:ptCount val="3"/>
                <c:pt idx="0">
                  <c:v>9.873881535884233E+17</c:v>
                </c:pt>
                <c:pt idx="1">
                  <c:v>9.1071243173202944E+17</c:v>
                </c:pt>
                <c:pt idx="2">
                  <c:v>7.8275287553193664E+17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1240-AF44-A37C-BFF2BC1292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0262144"/>
        <c:axId val="90260224"/>
      </c:scatterChart>
      <c:valAx>
        <c:axId val="90251648"/>
        <c:scaling>
          <c:orientation val="minMax"/>
          <c:max val="50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400"/>
                  <a:t>Distance from base of tube (mm)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0253952"/>
        <c:crosses val="autoZero"/>
        <c:crossBetween val="midCat"/>
      </c:valAx>
      <c:valAx>
        <c:axId val="902539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>
                    <a:sym typeface="Symbol" panose="05050102010706020507" pitchFamily="18" charset="2"/>
                  </a:rPr>
                  <a:t>Thermal</a:t>
                </a:r>
                <a:r>
                  <a:rPr lang="en-US" sz="1200" baseline="0">
                    <a:sym typeface="Symbol" panose="05050102010706020507" pitchFamily="18" charset="2"/>
                  </a:rPr>
                  <a:t> n</a:t>
                </a:r>
                <a:r>
                  <a:rPr lang="en-US" sz="1200">
                    <a:sym typeface="Symbol" panose="05050102010706020507" pitchFamily="18" charset="2"/>
                  </a:rPr>
                  <a:t>eutron fluence (n/cm2)</a:t>
                </a:r>
                <a:endParaRPr lang="en-US" sz="1200"/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.0E+00" sourceLinked="1"/>
        <c:majorTickMark val="in"/>
        <c:minorTickMark val="in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0251648"/>
        <c:crosses val="autoZero"/>
        <c:crossBetween val="midCat"/>
      </c:valAx>
      <c:valAx>
        <c:axId val="90260224"/>
        <c:scaling>
          <c:orientation val="minMax"/>
        </c:scaling>
        <c:delete val="0"/>
        <c:axPos val="r"/>
        <c:title>
          <c:tx>
            <c:rich>
              <a:bodyPr rot="5400000" spcFirstLastPara="1" vertOverflow="ellipsis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/>
                  <a:t>Fast neutron fluence (n/cm2)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.0E+00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0262144"/>
        <c:crosses val="max"/>
        <c:crossBetween val="midCat"/>
      </c:valAx>
      <c:valAx>
        <c:axId val="902621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026022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9328958105232719"/>
          <c:y val="0.36321109213396086"/>
          <c:w val="0.17100109488297147"/>
          <c:h val="0.3316031946180222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Vertical variation in scapolite </a:t>
            </a:r>
            <a:r>
              <a:rPr lang="en-GB" baseline="0">
                <a:latin typeface="+mn-lt"/>
                <a:sym typeface="Symbol" panose="05050102010706020507" pitchFamily="18" charset="2"/>
              </a:rPr>
              <a:t>F</a:t>
            </a:r>
            <a:r>
              <a:rPr lang="en-GB" baseline="-25000">
                <a:latin typeface="+mn-lt"/>
                <a:sym typeface="Symbol" panose="05050102010706020507" pitchFamily="18" charset="2"/>
              </a:rPr>
              <a:t>Br</a:t>
            </a:r>
            <a:endParaRPr lang="en-GB" baseline="-25000">
              <a:latin typeface="+mn-lt"/>
            </a:endParaRPr>
          </a:p>
        </c:rich>
      </c:tx>
      <c:layout>
        <c:manualLayout>
          <c:xMode val="edge"/>
          <c:yMode val="edge"/>
          <c:x val="0.37229976613285476"/>
          <c:y val="1.7734222651070792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4554323935314536"/>
          <c:y val="0.1081689252362768"/>
          <c:w val="0.79982416391499467"/>
          <c:h val="0.7401761796942764"/>
        </c:manualLayout>
      </c:layout>
      <c:scatterChart>
        <c:scatterStyle val="lineMarker"/>
        <c:varyColors val="0"/>
        <c:ser>
          <c:idx val="1"/>
          <c:order val="0"/>
          <c:tx>
            <c:v>Tube 1</c:v>
          </c:tx>
          <c:spPr>
            <a:ln w="28575">
              <a:noFill/>
            </a:ln>
          </c:spPr>
          <c:marker>
            <c:symbol val="diamond"/>
            <c:size val="7"/>
            <c:spPr>
              <a:solidFill>
                <a:schemeClr val="accent3"/>
              </a:solidFill>
              <a:ln>
                <a:solidFill>
                  <a:schemeClr val="accent3"/>
                </a:solidFill>
              </a:ln>
            </c:spPr>
          </c:marker>
          <c:errBars>
            <c:errDir val="y"/>
            <c:errBarType val="both"/>
            <c:errValType val="cust"/>
            <c:noEndCap val="0"/>
            <c:plus>
              <c:numRef>
                <c:f>Scapolite!$GP$27:$GP$32</c:f>
                <c:numCache>
                  <c:formatCode>General</c:formatCode>
                  <c:ptCount val="6"/>
                </c:numCache>
              </c:numRef>
            </c:plus>
            <c:minus>
              <c:numRef>
                <c:f>Scapolite!$GP$27:$GP$32</c:f>
                <c:numCache>
                  <c:formatCode>General</c:formatCode>
                  <c:ptCount val="6"/>
                </c:numCache>
              </c:numRef>
            </c:minus>
            <c:spPr>
              <a:ln>
                <a:solidFill>
                  <a:schemeClr val="bg1">
                    <a:lumMod val="50000"/>
                  </a:schemeClr>
                </a:solidFill>
              </a:ln>
            </c:spPr>
          </c:errBars>
          <c:xVal>
            <c:numRef>
              <c:f>Scapolite!$I$27:$I$32</c:f>
              <c:numCache>
                <c:formatCode>General</c:formatCode>
                <c:ptCount val="6"/>
              </c:numCache>
            </c:numRef>
          </c:xVal>
          <c:yVal>
            <c:numRef>
              <c:f>Scapolite!$GO$27:$GO$32</c:f>
              <c:numCache>
                <c:formatCode>0.00</c:formatCode>
                <c:ptCount val="6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B4A9-4420-87A0-411D7134BF9B}"/>
            </c:ext>
          </c:extLst>
        </c:ser>
        <c:ser>
          <c:idx val="2"/>
          <c:order val="1"/>
          <c:tx>
            <c:v>Tube 3</c:v>
          </c:tx>
          <c:spPr>
            <a:ln w="28575">
              <a:noFill/>
            </a:ln>
          </c:spPr>
          <c:marker>
            <c:symbol val="diamond"/>
            <c:size val="7"/>
            <c:spPr>
              <a:solidFill>
                <a:schemeClr val="accent2"/>
              </a:solidFill>
              <a:ln>
                <a:solidFill>
                  <a:schemeClr val="accent2"/>
                </a:solidFill>
              </a:ln>
            </c:spPr>
          </c:marker>
          <c:errBars>
            <c:errDir val="y"/>
            <c:errBarType val="both"/>
            <c:errValType val="cust"/>
            <c:noEndCap val="0"/>
            <c:plus>
              <c:numRef>
                <c:f>Scapolite!$GP$21:$GP$25</c:f>
                <c:numCache>
                  <c:formatCode>General</c:formatCode>
                  <c:ptCount val="5"/>
                  <c:pt idx="0">
                    <c:v>7.9589067824899787E-2</c:v>
                  </c:pt>
                  <c:pt idx="1">
                    <c:v>7.7716785486860632E-2</c:v>
                  </c:pt>
                </c:numCache>
              </c:numRef>
            </c:plus>
            <c:minus>
              <c:numRef>
                <c:f>Scapolite!$GP$21:$GP$25</c:f>
                <c:numCache>
                  <c:formatCode>General</c:formatCode>
                  <c:ptCount val="5"/>
                  <c:pt idx="0">
                    <c:v>7.9589067824899787E-2</c:v>
                  </c:pt>
                  <c:pt idx="1">
                    <c:v>7.7716785486860632E-2</c:v>
                  </c:pt>
                </c:numCache>
              </c:numRef>
            </c:minus>
            <c:spPr>
              <a:ln>
                <a:solidFill>
                  <a:schemeClr val="bg1">
                    <a:lumMod val="50000"/>
                  </a:schemeClr>
                </a:solidFill>
              </a:ln>
            </c:spPr>
          </c:errBars>
          <c:xVal>
            <c:numRef>
              <c:f>Scapolite!$I$21:$I$25</c:f>
              <c:numCache>
                <c:formatCode>General</c:formatCode>
                <c:ptCount val="5"/>
              </c:numCache>
            </c:numRef>
          </c:xVal>
          <c:yVal>
            <c:numRef>
              <c:f>Scapolite!$GO$21:$GO$25</c:f>
              <c:numCache>
                <c:formatCode>0.00</c:formatCode>
                <c:ptCount val="5"/>
                <c:pt idx="0">
                  <c:v>1.2616011120291828</c:v>
                </c:pt>
                <c:pt idx="1">
                  <c:v>1.2314371364703822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F02-4A3A-BD49-4EB008369655}"/>
            </c:ext>
          </c:extLst>
        </c:ser>
        <c:ser>
          <c:idx val="0"/>
          <c:order val="2"/>
          <c:tx>
            <c:v>Tube 4</c:v>
          </c:tx>
          <c:spPr>
            <a:ln w="28575" cap="rnd">
              <a:noFill/>
              <a:round/>
            </a:ln>
            <a:effectLst/>
          </c:spPr>
          <c:marker>
            <c:symbol val="circle"/>
            <c:size val="7"/>
            <c:spPr>
              <a:solidFill>
                <a:schemeClr val="accent1"/>
              </a:solidFill>
              <a:ln w="9525">
                <a:solidFill>
                  <a:schemeClr val="tx1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1"/>
            <c:plus>
              <c:numRef>
                <c:f>Scapolite!$LT$7:$LT$7</c:f>
              </c:numRef>
            </c:plus>
            <c:minus>
              <c:numRef>
                <c:f>Scapolite!$LT$7:$LT$7</c:f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errBars>
            <c:errDir val="x"/>
            <c:errBarType val="both"/>
            <c:errValType val="fixedVal"/>
            <c:noEndCap val="1"/>
            <c:val val="2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Scapolite!$I$7:$I$7</c:f>
            </c:numRef>
          </c:xVal>
          <c:yVal>
            <c:numRef>
              <c:f>Scapolite!$LS$7:$LS$7</c:f>
            </c:numRef>
          </c:yVal>
          <c:smooth val="0"/>
          <c:extLst>
            <c:ext xmlns:c16="http://schemas.microsoft.com/office/drawing/2014/chart" uri="{C3380CC4-5D6E-409C-BE32-E72D297353CC}">
              <c16:uniqueId val="{00000001-BF02-4A3A-BD49-4EB0083696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0315776"/>
        <c:axId val="90322048"/>
      </c:scatterChart>
      <c:valAx>
        <c:axId val="90315776"/>
        <c:scaling>
          <c:orientation val="minMax"/>
          <c:max val="70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400"/>
                  <a:t>Distance from base of tube (mm)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0322048"/>
        <c:crosses val="autoZero"/>
        <c:crossBetween val="midCat"/>
      </c:valAx>
      <c:valAx>
        <c:axId val="90322048"/>
        <c:scaling>
          <c:orientation val="minMax"/>
          <c:min val="0.8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400">
                    <a:sym typeface="Symbol" panose="05050102010706020507" pitchFamily="18" charset="2"/>
                  </a:rPr>
                  <a:t>F</a:t>
                </a:r>
                <a:r>
                  <a:rPr lang="en-US" sz="1400" baseline="-25000">
                    <a:sym typeface="Symbol" panose="05050102010706020507" pitchFamily="18" charset="2"/>
                  </a:rPr>
                  <a:t>Br</a:t>
                </a:r>
                <a:r>
                  <a:rPr lang="en-US" sz="1400"/>
                  <a:t> value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.00" sourceLinked="1"/>
        <c:majorTickMark val="in"/>
        <c:minorTickMark val="in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0315776"/>
        <c:crosses val="autoZero"/>
        <c:crossBetween val="midCat"/>
      </c:valAx>
      <c:spPr>
        <a:noFill/>
        <a:ln>
          <a:solidFill>
            <a:schemeClr val="tx1">
              <a:lumMod val="15000"/>
              <a:lumOff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6364303997340196"/>
          <c:y val="0.66655338579905865"/>
          <c:w val="8.0954271765128927E-2"/>
          <c:h val="0.1100964448288736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Vertical variation in scapolite </a:t>
            </a:r>
            <a:r>
              <a:rPr lang="en-GB" baseline="0">
                <a:latin typeface="+mn-lt"/>
                <a:sym typeface="Symbol" panose="05050102010706020507" pitchFamily="18" charset="2"/>
              </a:rPr>
              <a:t>F</a:t>
            </a:r>
            <a:r>
              <a:rPr lang="en-GB" baseline="-25000">
                <a:latin typeface="+mn-lt"/>
                <a:sym typeface="Symbol" panose="05050102010706020507" pitchFamily="18" charset="2"/>
              </a:rPr>
              <a:t>I</a:t>
            </a:r>
            <a:endParaRPr lang="en-GB" baseline="-25000">
              <a:latin typeface="+mn-lt"/>
            </a:endParaRPr>
          </a:p>
        </c:rich>
      </c:tx>
      <c:layout>
        <c:manualLayout>
          <c:xMode val="edge"/>
          <c:yMode val="edge"/>
          <c:x val="0.37229976613285476"/>
          <c:y val="1.7734222651070792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4554323935314536"/>
          <c:y val="0.1081689252362768"/>
          <c:w val="0.79982416391499467"/>
          <c:h val="0.7401761796942764"/>
        </c:manualLayout>
      </c:layout>
      <c:scatterChart>
        <c:scatterStyle val="lineMarker"/>
        <c:varyColors val="0"/>
        <c:ser>
          <c:idx val="2"/>
          <c:order val="0"/>
          <c:tx>
            <c:v>Tube 1</c:v>
          </c:tx>
          <c:spPr>
            <a:ln w="28575">
              <a:noFill/>
            </a:ln>
          </c:spPr>
          <c:marker>
            <c:symbol val="diamond"/>
            <c:size val="7"/>
          </c:marker>
          <c:errBars>
            <c:errDir val="y"/>
            <c:errBarType val="both"/>
            <c:errValType val="cust"/>
            <c:noEndCap val="0"/>
            <c:plus>
              <c:numRef>
                <c:f>Scapolite!$KX$27:$KX$32</c:f>
                <c:numCache>
                  <c:formatCode>General</c:formatCode>
                  <c:ptCount val="6"/>
                </c:numCache>
              </c:numRef>
            </c:plus>
            <c:minus>
              <c:numRef>
                <c:f>Scapolite!$KX$27:$KX$32</c:f>
                <c:numCache>
                  <c:formatCode>General</c:formatCode>
                  <c:ptCount val="6"/>
                </c:numCache>
              </c:numRef>
            </c:minus>
            <c:spPr>
              <a:ln>
                <a:solidFill>
                  <a:schemeClr val="bg1">
                    <a:lumMod val="50000"/>
                  </a:schemeClr>
                </a:solidFill>
              </a:ln>
            </c:spPr>
          </c:errBars>
          <c:xVal>
            <c:numRef>
              <c:f>Scapolite!$I$27:$I$32</c:f>
              <c:numCache>
                <c:formatCode>General</c:formatCode>
                <c:ptCount val="6"/>
              </c:numCache>
            </c:numRef>
          </c:xVal>
          <c:yVal>
            <c:numRef>
              <c:f>Scapolite!$KW$27:$KW$32</c:f>
              <c:numCache>
                <c:formatCode>0.00</c:formatCode>
                <c:ptCount val="6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0DC4-4B54-9DEC-296FB1618CCC}"/>
            </c:ext>
          </c:extLst>
        </c:ser>
        <c:ser>
          <c:idx val="0"/>
          <c:order val="1"/>
          <c:tx>
            <c:v>Tube 3</c:v>
          </c:tx>
          <c:spPr>
            <a:ln w="28575">
              <a:noFill/>
            </a:ln>
          </c:spPr>
          <c:marker>
            <c:symbol val="diamond"/>
            <c:size val="7"/>
            <c:spPr>
              <a:solidFill>
                <a:schemeClr val="accent2"/>
              </a:solidFill>
              <a:ln>
                <a:solidFill>
                  <a:schemeClr val="accent2"/>
                </a:solidFill>
              </a:ln>
            </c:spPr>
          </c:marker>
          <c:errBars>
            <c:errDir val="y"/>
            <c:errBarType val="both"/>
            <c:errValType val="cust"/>
            <c:noEndCap val="0"/>
            <c:plus>
              <c:numRef>
                <c:f>Scapolite!$KX$21:$KX$25</c:f>
                <c:numCache>
                  <c:formatCode>General</c:formatCode>
                  <c:ptCount val="5"/>
                  <c:pt idx="0">
                    <c:v>5.956867414776118E-2</c:v>
                  </c:pt>
                  <c:pt idx="1">
                    <c:v>5.7365907592781928E-2</c:v>
                  </c:pt>
                </c:numCache>
              </c:numRef>
            </c:plus>
            <c:minus>
              <c:numRef>
                <c:f>Scapolite!$KX$21:$KX$25</c:f>
                <c:numCache>
                  <c:formatCode>General</c:formatCode>
                  <c:ptCount val="5"/>
                  <c:pt idx="0">
                    <c:v>5.956867414776118E-2</c:v>
                  </c:pt>
                  <c:pt idx="1">
                    <c:v>5.7365907592781928E-2</c:v>
                  </c:pt>
                </c:numCache>
              </c:numRef>
            </c:minus>
            <c:spPr>
              <a:ln>
                <a:solidFill>
                  <a:schemeClr val="bg1">
                    <a:lumMod val="50000"/>
                  </a:schemeClr>
                </a:solidFill>
              </a:ln>
            </c:spPr>
          </c:errBars>
          <c:xVal>
            <c:numRef>
              <c:f>Scapolite!$I$21:$I$25</c:f>
              <c:numCache>
                <c:formatCode>General</c:formatCode>
                <c:ptCount val="5"/>
              </c:numCache>
            </c:numRef>
          </c:xVal>
          <c:yVal>
            <c:numRef>
              <c:f>Scapolite!$KW$21:$KW$25</c:f>
              <c:numCache>
                <c:formatCode>0.00</c:formatCode>
                <c:ptCount val="5"/>
                <c:pt idx="0">
                  <c:v>1.356670418303743</c:v>
                </c:pt>
                <c:pt idx="1">
                  <c:v>1.3223036285515015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0DC4-4B54-9DEC-296FB1618C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0365952"/>
        <c:axId val="90367872"/>
      </c:scatterChart>
      <c:valAx>
        <c:axId val="90365952"/>
        <c:scaling>
          <c:orientation val="minMax"/>
          <c:max val="70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400"/>
                  <a:t>Distance from base of tube (mm)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0367872"/>
        <c:crosses val="autoZero"/>
        <c:crossBetween val="midCat"/>
      </c:valAx>
      <c:valAx>
        <c:axId val="90367872"/>
        <c:scaling>
          <c:orientation val="minMax"/>
          <c:max val="1.6"/>
          <c:min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400">
                    <a:sym typeface="Symbol" panose="05050102010706020507" pitchFamily="18" charset="2"/>
                  </a:rPr>
                  <a:t>F</a:t>
                </a:r>
                <a:r>
                  <a:rPr lang="en-US" sz="1400" baseline="-25000">
                    <a:sym typeface="Symbol" panose="05050102010706020507" pitchFamily="18" charset="2"/>
                  </a:rPr>
                  <a:t>I</a:t>
                </a:r>
                <a:r>
                  <a:rPr lang="en-US" sz="1400"/>
                  <a:t> value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.00" sourceLinked="1"/>
        <c:majorTickMark val="in"/>
        <c:minorTickMark val="in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0365952"/>
        <c:crosses val="autoZero"/>
        <c:crossBetween val="midCat"/>
      </c:valAx>
      <c:spPr>
        <a:noFill/>
        <a:ln>
          <a:solidFill>
            <a:schemeClr val="tx1">
              <a:lumMod val="15000"/>
              <a:lumOff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65367329188238221"/>
          <c:y val="0.66703112588807845"/>
          <c:w val="8.0463153229517664E-2"/>
          <c:h val="0.1095305185656501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MN2022a</a:t>
            </a:r>
            <a:r>
              <a:rPr lang="en-GB" baseline="0"/>
              <a:t> Tube 1:</a:t>
            </a:r>
            <a:r>
              <a:rPr lang="en-GB"/>
              <a:t> Vertical variation in J</a:t>
            </a:r>
          </a:p>
        </c:rich>
      </c:tx>
      <c:layout>
        <c:manualLayout>
          <c:xMode val="edge"/>
          <c:yMode val="edge"/>
          <c:x val="0.42417412827440948"/>
          <c:y val="0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4554323935314536"/>
          <c:y val="0.1081689252362768"/>
          <c:w val="0.79982416391499467"/>
          <c:h val="0.7401761796942764"/>
        </c:manualLayout>
      </c:layout>
      <c:scatterChart>
        <c:scatterStyle val="lineMarker"/>
        <c:varyColors val="0"/>
        <c:ser>
          <c:idx val="7"/>
          <c:order val="0"/>
          <c:tx>
            <c:v>Lagrange T1</c:v>
          </c:tx>
          <c:spPr>
            <a:ln w="19050">
              <a:solidFill>
                <a:schemeClr val="accent1"/>
              </a:solidFill>
            </a:ln>
          </c:spPr>
          <c:marker>
            <c:symbol val="none"/>
          </c:marker>
          <c:xVal>
            <c:numRef>
              <c:f>Hb3gr_interpolation!$C$17:$C$36</c:f>
              <c:numCache>
                <c:formatCode>General</c:formatCode>
                <c:ptCount val="20"/>
                <c:pt idx="0">
                  <c:v>2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  <c:pt idx="7">
                  <c:v>35</c:v>
                </c:pt>
                <c:pt idx="8">
                  <c:v>40</c:v>
                </c:pt>
              </c:numCache>
            </c:numRef>
          </c:xVal>
          <c:yVal>
            <c:numRef>
              <c:f>Hb3gr_interpolation!$D$17:$D$36</c:f>
              <c:numCache>
                <c:formatCode>General</c:formatCode>
                <c:ptCount val="20"/>
                <c:pt idx="0">
                  <c:v>4.7573887047061628E-3</c:v>
                </c:pt>
                <c:pt idx="1">
                  <c:v>4.7110360653024033E-3</c:v>
                </c:pt>
                <c:pt idx="2">
                  <c:v>4.6187142862616909E-3</c:v>
                </c:pt>
                <c:pt idx="3">
                  <c:v>4.5075582821779226E-3</c:v>
                </c:pt>
                <c:pt idx="4">
                  <c:v>4.377568053051094E-3</c:v>
                </c:pt>
                <c:pt idx="5">
                  <c:v>4.2287435988812077E-3</c:v>
                </c:pt>
                <c:pt idx="6">
                  <c:v>4.0610849196682647E-3</c:v>
                </c:pt>
                <c:pt idx="7">
                  <c:v>3.8745920154122614E-3</c:v>
                </c:pt>
                <c:pt idx="8">
                  <c:v>3.6692648861132017E-3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80D-4906-8550-57D8B4EE68B3}"/>
            </c:ext>
          </c:extLst>
        </c:ser>
        <c:ser>
          <c:idx val="1"/>
          <c:order val="1"/>
          <c:tx>
            <c:v>measured T1</c:v>
          </c:tx>
          <c:spPr>
            <a:ln w="28575">
              <a:noFill/>
            </a:ln>
          </c:spPr>
          <c:marker>
            <c:symbol val="circle"/>
            <c:size val="7"/>
            <c:spPr>
              <a:solidFill>
                <a:schemeClr val="bg1"/>
              </a:solidFill>
              <a:ln>
                <a:solidFill>
                  <a:schemeClr val="tx2"/>
                </a:solidFill>
              </a:ln>
            </c:spPr>
          </c:marker>
          <c:errBars>
            <c:errDir val="y"/>
            <c:errBarType val="both"/>
            <c:errValType val="cust"/>
            <c:noEndCap val="0"/>
            <c:plus>
              <c:numRef>
                <c:f>[6]Vertical_variation!$AD$5:$AD$7</c:f>
                <c:numCache>
                  <c:formatCode>General</c:formatCode>
                  <c:ptCount val="3"/>
                  <c:pt idx="0">
                    <c:v>9.7091489596462922E-6</c:v>
                  </c:pt>
                  <c:pt idx="1">
                    <c:v>8.4571157406964633E-6</c:v>
                  </c:pt>
                  <c:pt idx="2">
                    <c:v>7.6676428222284996E-6</c:v>
                  </c:pt>
                </c:numCache>
              </c:numRef>
            </c:plus>
            <c:minus>
              <c:numRef>
                <c:f>[6]Vertical_variation!$AD$5:$AD$7</c:f>
                <c:numCache>
                  <c:formatCode>General</c:formatCode>
                  <c:ptCount val="3"/>
                  <c:pt idx="0">
                    <c:v>9.7091489596462922E-6</c:v>
                  </c:pt>
                  <c:pt idx="1">
                    <c:v>8.4571157406964633E-6</c:v>
                  </c:pt>
                  <c:pt idx="2">
                    <c:v>7.6676428222284996E-6</c:v>
                  </c:pt>
                </c:numCache>
              </c:numRef>
            </c:minus>
          </c:errBars>
          <c:xVal>
            <c:numRef>
              <c:f>[6]Vertical_variation!$AB$5:$AB$7</c:f>
              <c:numCache>
                <c:formatCode>General</c:formatCode>
                <c:ptCount val="3"/>
                <c:pt idx="0">
                  <c:v>3</c:v>
                </c:pt>
                <c:pt idx="1">
                  <c:v>19</c:v>
                </c:pt>
                <c:pt idx="2">
                  <c:v>36</c:v>
                </c:pt>
              </c:numCache>
            </c:numRef>
          </c:xVal>
          <c:yVal>
            <c:numRef>
              <c:f>[6]Vertical_variation!$AC$5:$AC$7</c:f>
              <c:numCache>
                <c:formatCode>General</c:formatCode>
                <c:ptCount val="3"/>
                <c:pt idx="0">
                  <c:v>4.7426911939066315E-3</c:v>
                </c:pt>
                <c:pt idx="1">
                  <c:v>4.4050728368799042E-3</c:v>
                </c:pt>
                <c:pt idx="2">
                  <c:v>3.8350333275558941E-3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680D-4906-8550-57D8B4EE68B3}"/>
            </c:ext>
          </c:extLst>
        </c:ser>
        <c:ser>
          <c:idx val="6"/>
          <c:order val="2"/>
          <c:tx>
            <c:v>J1_Lagrange</c:v>
          </c:tx>
          <c:spPr>
            <a:ln>
              <a:noFill/>
            </a:ln>
          </c:spPr>
          <c:marker>
            <c:symbol val="diamond"/>
            <c:size val="7"/>
            <c:spPr>
              <a:solidFill>
                <a:srgbClr val="FF0000"/>
              </a:solidFill>
              <a:ln>
                <a:solidFill>
                  <a:schemeClr val="tx1"/>
                </a:solidFill>
              </a:ln>
            </c:spPr>
          </c:marker>
          <c:errBars>
            <c:errDir val="x"/>
            <c:errBarType val="both"/>
            <c:errValType val="stdErr"/>
            <c:noEndCap val="0"/>
          </c:errBars>
          <c:errBars>
            <c:errDir val="y"/>
            <c:errBarType val="both"/>
            <c:errValType val="cust"/>
            <c:noEndCap val="0"/>
            <c:plus>
              <c:numRef>
                <c:f>Hb3gr_interpolation!$I$13</c:f>
                <c:numCache>
                  <c:formatCode>General</c:formatCode>
                  <c:ptCount val="1"/>
                  <c:pt idx="0">
                    <c:v>1.048143740340427E-5</c:v>
                  </c:pt>
                </c:numCache>
              </c:numRef>
            </c:plus>
            <c:minus>
              <c:numRef>
                <c:f>Hb3gr_interpolation!$I$13</c:f>
                <c:numCache>
                  <c:formatCode>General</c:formatCode>
                  <c:ptCount val="1"/>
                  <c:pt idx="0">
                    <c:v>1.048143740340427E-5</c:v>
                  </c:pt>
                </c:numCache>
              </c:numRef>
            </c:minus>
          </c:errBars>
          <c:xVal>
            <c:numRef>
              <c:f>Hb3gr_interpolation!$F$11</c:f>
              <c:numCache>
                <c:formatCode>General</c:formatCode>
                <c:ptCount val="1"/>
                <c:pt idx="0">
                  <c:v>2</c:v>
                </c:pt>
              </c:numCache>
            </c:numRef>
          </c:xVal>
          <c:yVal>
            <c:numRef>
              <c:f>Hb3gr_interpolation!$H$13</c:f>
              <c:numCache>
                <c:formatCode>General</c:formatCode>
                <c:ptCount val="1"/>
                <c:pt idx="0">
                  <c:v>4.7573717289884744E-3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680D-4906-8550-57D8B4EE68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07236608"/>
        <c:axId val="407238528"/>
      </c:scatterChart>
      <c:valAx>
        <c:axId val="407236608"/>
        <c:scaling>
          <c:orientation val="minMax"/>
          <c:max val="45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400"/>
                  <a:t>Distance from base of tube (mm)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07238528"/>
        <c:crosses val="autoZero"/>
        <c:crossBetween val="midCat"/>
      </c:valAx>
      <c:valAx>
        <c:axId val="407238528"/>
        <c:scaling>
          <c:orientation val="minMax"/>
          <c:max val="5.000000000000001E-3"/>
          <c:min val="3.0000000000000009E-3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400"/>
                  <a:t>J value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07236608"/>
        <c:crosses val="autoZero"/>
        <c:crossBetween val="midCat"/>
      </c:valAx>
      <c:spPr>
        <a:noFill/>
        <a:ln>
          <a:solidFill>
            <a:schemeClr val="tx1">
              <a:lumMod val="15000"/>
              <a:lumOff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16666995175907498"/>
          <c:y val="0.55761809419745212"/>
          <c:w val="0.26113015588683303"/>
          <c:h val="0.2308987096325958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MN2022a Tube 2: Vertical variation in J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4554323935314536"/>
          <c:y val="0.1081689252362768"/>
          <c:w val="0.79982416391499467"/>
          <c:h val="0.7401761796942764"/>
        </c:manualLayout>
      </c:layout>
      <c:scatterChart>
        <c:scatterStyle val="lineMarker"/>
        <c:varyColors val="0"/>
        <c:ser>
          <c:idx val="9"/>
          <c:order val="0"/>
          <c:tx>
            <c:v>Lagrange T2</c:v>
          </c:tx>
          <c:spPr>
            <a:ln w="19050">
              <a:solidFill>
                <a:schemeClr val="accent2"/>
              </a:solidFill>
            </a:ln>
          </c:spPr>
          <c:marker>
            <c:symbol val="none"/>
          </c:marker>
          <c:xVal>
            <c:numRef>
              <c:f>Hb3gr_interpolation!$M$18:$M$27</c:f>
              <c:numCache>
                <c:formatCode>General</c:formatCode>
                <c:ptCount val="10"/>
                <c:pt idx="0">
                  <c:v>2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  <c:pt idx="7">
                  <c:v>35</c:v>
                </c:pt>
                <c:pt idx="8">
                  <c:v>40</c:v>
                </c:pt>
              </c:numCache>
            </c:numRef>
          </c:xVal>
          <c:yVal>
            <c:numRef>
              <c:f>Hb3gr_interpolation!$N$18:$N$27</c:f>
              <c:numCache>
                <c:formatCode>General</c:formatCode>
                <c:ptCount val="10"/>
                <c:pt idx="0">
                  <c:v>5.1652121644352933E-3</c:v>
                </c:pt>
                <c:pt idx="1">
                  <c:v>5.1181665761602805E-3</c:v>
                </c:pt>
                <c:pt idx="2">
                  <c:v>5.0320396964846689E-3</c:v>
                </c:pt>
                <c:pt idx="3">
                  <c:v>4.9362658594541507E-3</c:v>
                </c:pt>
                <c:pt idx="4">
                  <c:v>4.8308450650687241E-3</c:v>
                </c:pt>
                <c:pt idx="5">
                  <c:v>4.7157773133283919E-3</c:v>
                </c:pt>
                <c:pt idx="6">
                  <c:v>4.591062604233153E-3</c:v>
                </c:pt>
                <c:pt idx="7">
                  <c:v>4.4567009377830067E-3</c:v>
                </c:pt>
                <c:pt idx="8">
                  <c:v>4.3126923139779564E-3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6F7-4052-A938-8DEA99336B77}"/>
            </c:ext>
          </c:extLst>
        </c:ser>
        <c:ser>
          <c:idx val="10"/>
          <c:order val="1"/>
          <c:tx>
            <c:v>measured T2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bg1"/>
              </a:solidFill>
              <a:ln>
                <a:solidFill>
                  <a:schemeClr val="accent2"/>
                </a:solidFill>
              </a:ln>
            </c:spPr>
          </c:marker>
          <c:xVal>
            <c:numRef>
              <c:f>[6]Vertical_variation!$AB$8:$AB$10</c:f>
              <c:numCache>
                <c:formatCode>General</c:formatCode>
                <c:ptCount val="3"/>
                <c:pt idx="0">
                  <c:v>2</c:v>
                </c:pt>
                <c:pt idx="1">
                  <c:v>18</c:v>
                </c:pt>
                <c:pt idx="2">
                  <c:v>39</c:v>
                </c:pt>
              </c:numCache>
            </c:numRef>
          </c:xVal>
          <c:yVal>
            <c:numRef>
              <c:f>[6]Vertical_variation!$AC$8:$AC$10</c:f>
              <c:numCache>
                <c:formatCode>General</c:formatCode>
                <c:ptCount val="3"/>
                <c:pt idx="0">
                  <c:v>5.1652121644352933E-3</c:v>
                </c:pt>
                <c:pt idx="1">
                  <c:v>4.8741710177054838E-3</c:v>
                </c:pt>
                <c:pt idx="2">
                  <c:v>4.3422657953273566E-3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F6F7-4052-A938-8DEA99336B77}"/>
            </c:ext>
          </c:extLst>
        </c:ser>
        <c:ser>
          <c:idx val="13"/>
          <c:order val="2"/>
          <c:tx>
            <c:v>J2_Lagrange</c:v>
          </c:tx>
          <c:spPr>
            <a:ln>
              <a:noFill/>
            </a:ln>
          </c:spPr>
          <c:marker>
            <c:symbol val="diamond"/>
            <c:size val="7"/>
            <c:spPr>
              <a:solidFill>
                <a:srgbClr val="FF0000"/>
              </a:solidFill>
              <a:ln>
                <a:solidFill>
                  <a:schemeClr val="tx1"/>
                </a:solidFill>
              </a:ln>
            </c:spPr>
          </c:marker>
          <c:errBars>
            <c:errDir val="x"/>
            <c:errBarType val="both"/>
            <c:errValType val="stdErr"/>
            <c:noEndCap val="0"/>
            <c:spPr>
              <a:ln>
                <a:noFill/>
              </a:ln>
            </c:spPr>
          </c:errBars>
          <c:errBars>
            <c:errDir val="y"/>
            <c:errBarType val="both"/>
            <c:errValType val="cust"/>
            <c:noEndCap val="0"/>
            <c:plus>
              <c:numRef>
                <c:f>Hb3gr_interpolation!$S$13</c:f>
                <c:numCache>
                  <c:formatCode>General</c:formatCode>
                  <c:ptCount val="1"/>
                  <c:pt idx="0">
                    <c:v>8.2144821780726291E-6</c:v>
                  </c:pt>
                </c:numCache>
              </c:numRef>
            </c:plus>
            <c:minus>
              <c:numRef>
                <c:f>Hb3gr_interpolation!$S$13</c:f>
                <c:numCache>
                  <c:formatCode>General</c:formatCode>
                  <c:ptCount val="1"/>
                  <c:pt idx="0">
                    <c:v>8.2144821780726291E-6</c:v>
                  </c:pt>
                </c:numCache>
              </c:numRef>
            </c:minus>
          </c:errBars>
          <c:xVal>
            <c:numRef>
              <c:f>Hb3gr_interpolation!$P$11</c:f>
              <c:numCache>
                <c:formatCode>General</c:formatCode>
                <c:ptCount val="1"/>
                <c:pt idx="0">
                  <c:v>13</c:v>
                </c:pt>
              </c:numCache>
            </c:numRef>
          </c:xVal>
          <c:yVal>
            <c:numRef>
              <c:f>Hb3gr_interpolation!$R$13</c:f>
              <c:numCache>
                <c:formatCode>General</c:formatCode>
                <c:ptCount val="1"/>
                <c:pt idx="0">
                  <c:v>4.9751634540865343E-3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F6F7-4052-A938-8DEA99336B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08196992"/>
        <c:axId val="408203264"/>
      </c:scatterChart>
      <c:valAx>
        <c:axId val="408196992"/>
        <c:scaling>
          <c:orientation val="minMax"/>
          <c:max val="45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400"/>
                  <a:t>Distance from base of tube (mm)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08203264"/>
        <c:crosses val="autoZero"/>
        <c:crossBetween val="midCat"/>
      </c:valAx>
      <c:valAx>
        <c:axId val="408203264"/>
        <c:scaling>
          <c:orientation val="minMax"/>
          <c:min val="3.0000000000000009E-3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400"/>
                  <a:t>J value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08196992"/>
        <c:crosses val="autoZero"/>
        <c:crossBetween val="midCat"/>
      </c:valAx>
      <c:spPr>
        <a:noFill/>
        <a:ln>
          <a:solidFill>
            <a:schemeClr val="tx1">
              <a:lumMod val="15000"/>
              <a:lumOff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15652608581754696"/>
          <c:y val="0.54568989169455873"/>
          <c:w val="0.23790439396471852"/>
          <c:h val="0.245920259504673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MN2022a Tube 3: Vertical variation in J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4554323935314536"/>
          <c:y val="0.1081689252362768"/>
          <c:w val="0.79982416391499467"/>
          <c:h val="0.7401761796942764"/>
        </c:manualLayout>
      </c:layout>
      <c:scatterChart>
        <c:scatterStyle val="lineMarker"/>
        <c:varyColors val="0"/>
        <c:ser>
          <c:idx val="11"/>
          <c:order val="0"/>
          <c:tx>
            <c:v>lagrange T3</c:v>
          </c:tx>
          <c:spPr>
            <a:ln w="19050">
              <a:solidFill>
                <a:schemeClr val="accent4"/>
              </a:solidFill>
            </a:ln>
          </c:spPr>
          <c:marker>
            <c:symbol val="none"/>
          </c:marker>
          <c:xVal>
            <c:numRef>
              <c:f>Hb3gr_interpolation!$W$18:$W$27</c:f>
              <c:numCache>
                <c:formatCode>General</c:formatCode>
                <c:ptCount val="10"/>
                <c:pt idx="0">
                  <c:v>2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  <c:pt idx="7">
                  <c:v>35</c:v>
                </c:pt>
                <c:pt idx="8">
                  <c:v>40</c:v>
                </c:pt>
                <c:pt idx="9">
                  <c:v>41</c:v>
                </c:pt>
              </c:numCache>
            </c:numRef>
          </c:xVal>
          <c:yVal>
            <c:numRef>
              <c:f>Hb3gr_interpolation!$X$18:$X$27</c:f>
              <c:numCache>
                <c:formatCode>General</c:formatCode>
                <c:ptCount val="10"/>
                <c:pt idx="0">
                  <c:v>5.3121668012560807E-3</c:v>
                </c:pt>
                <c:pt idx="1">
                  <c:v>5.2876953872307087E-3</c:v>
                </c:pt>
                <c:pt idx="2">
                  <c:v>5.2246073252520883E-3</c:v>
                </c:pt>
                <c:pt idx="3">
                  <c:v>5.1336412983530502E-3</c:v>
                </c:pt>
                <c:pt idx="4">
                  <c:v>5.0147973065335968E-3</c:v>
                </c:pt>
                <c:pt idx="5">
                  <c:v>4.8680753497937247E-3</c:v>
                </c:pt>
                <c:pt idx="6">
                  <c:v>4.6934754281334349E-3</c:v>
                </c:pt>
                <c:pt idx="7">
                  <c:v>4.4909975415527281E-3</c:v>
                </c:pt>
                <c:pt idx="8">
                  <c:v>4.2606416900516034E-3</c:v>
                </c:pt>
                <c:pt idx="9">
                  <c:v>4.2112251639609289E-3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AF5-435C-AA3A-AA258F731675}"/>
            </c:ext>
          </c:extLst>
        </c:ser>
        <c:ser>
          <c:idx val="12"/>
          <c:order val="1"/>
          <c:tx>
            <c:v>measured T3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bg1"/>
              </a:solidFill>
              <a:ln>
                <a:solidFill>
                  <a:schemeClr val="accent4"/>
                </a:solidFill>
              </a:ln>
            </c:spPr>
          </c:marker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DAF5-435C-AA3A-AA258F731675}"/>
              </c:ext>
            </c:extLst>
          </c:dPt>
          <c:xVal>
            <c:numRef>
              <c:f>[6]Vertical_variation!$AB$11:$AB$13</c:f>
              <c:numCache>
                <c:formatCode>General</c:formatCode>
                <c:ptCount val="3"/>
                <c:pt idx="0">
                  <c:v>2</c:v>
                </c:pt>
                <c:pt idx="1">
                  <c:v>24</c:v>
                </c:pt>
                <c:pt idx="2">
                  <c:v>41</c:v>
                </c:pt>
              </c:numCache>
            </c:numRef>
          </c:xVal>
          <c:yVal>
            <c:numRef>
              <c:f>[6]Vertical_variation!$AC$11:$AC$13</c:f>
              <c:numCache>
                <c:formatCode>General</c:formatCode>
                <c:ptCount val="3"/>
                <c:pt idx="0">
                  <c:v>5.3121668012560807E-3</c:v>
                </c:pt>
                <c:pt idx="1">
                  <c:v>4.8996499783353319E-3</c:v>
                </c:pt>
                <c:pt idx="2">
                  <c:v>4.2112251639609289E-3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DAF5-435C-AA3A-AA258F731675}"/>
            </c:ext>
          </c:extLst>
        </c:ser>
        <c:ser>
          <c:idx val="6"/>
          <c:order val="2"/>
          <c:tx>
            <c:v>J3_Lagrange</c:v>
          </c:tx>
          <c:spPr>
            <a:ln>
              <a:noFill/>
            </a:ln>
          </c:spPr>
          <c:marker>
            <c:symbol val="diamond"/>
            <c:size val="7"/>
            <c:spPr>
              <a:solidFill>
                <a:srgbClr val="FF0000"/>
              </a:solidFill>
              <a:ln>
                <a:solidFill>
                  <a:schemeClr val="tx1"/>
                </a:solidFill>
              </a:ln>
            </c:spPr>
          </c:marker>
          <c:errBars>
            <c:errDir val="x"/>
            <c:errBarType val="both"/>
            <c:errValType val="stdErr"/>
            <c:noEndCap val="0"/>
          </c:errBars>
          <c:errBars>
            <c:errDir val="y"/>
            <c:errBarType val="both"/>
            <c:errValType val="cust"/>
            <c:noEndCap val="0"/>
            <c:plus>
              <c:numRef>
                <c:f>Hb3gr_interpolation!$AC$13</c:f>
                <c:numCache>
                  <c:formatCode>General</c:formatCode>
                  <c:ptCount val="1"/>
                  <c:pt idx="0">
                    <c:v>9.1748870140382941E-6</c:v>
                  </c:pt>
                </c:numCache>
              </c:numRef>
            </c:plus>
            <c:minus>
              <c:numRef>
                <c:f>Hb3gr_interpolation!$AC$13</c:f>
                <c:numCache>
                  <c:formatCode>General</c:formatCode>
                  <c:ptCount val="1"/>
                  <c:pt idx="0">
                    <c:v>9.1748870140382941E-6</c:v>
                  </c:pt>
                </c:numCache>
              </c:numRef>
            </c:minus>
          </c:errBars>
          <c:xVal>
            <c:numRef>
              <c:f>Hb3gr_interpolation!$Z$11</c:f>
              <c:numCache>
                <c:formatCode>General</c:formatCode>
                <c:ptCount val="1"/>
                <c:pt idx="0">
                  <c:v>41</c:v>
                </c:pt>
              </c:numCache>
            </c:numRef>
          </c:xVal>
          <c:yVal>
            <c:numRef>
              <c:f>Hb3gr_interpolation!$AB$13</c:f>
              <c:numCache>
                <c:formatCode>0.0000000</c:formatCode>
                <c:ptCount val="1"/>
                <c:pt idx="0">
                  <c:v>4.2110024503906954E-3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DAF5-435C-AA3A-AA258F7316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07352064"/>
        <c:axId val="407353984"/>
      </c:scatterChart>
      <c:valAx>
        <c:axId val="407352064"/>
        <c:scaling>
          <c:orientation val="minMax"/>
          <c:max val="45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400"/>
                  <a:t>Distance from base of tube (mm)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07353984"/>
        <c:crosses val="autoZero"/>
        <c:crossBetween val="midCat"/>
      </c:valAx>
      <c:valAx>
        <c:axId val="407353984"/>
        <c:scaling>
          <c:orientation val="minMax"/>
          <c:min val="3.0000000000000009E-3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400"/>
                  <a:t>J value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07352064"/>
        <c:crosses val="autoZero"/>
        <c:crossBetween val="midCat"/>
      </c:valAx>
      <c:spPr>
        <a:noFill/>
        <a:ln>
          <a:solidFill>
            <a:schemeClr val="tx1">
              <a:lumMod val="15000"/>
              <a:lumOff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15390129667380925"/>
          <c:y val="0.54841259858022595"/>
          <c:w val="0.22253424591031307"/>
          <c:h val="0.254333428130776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MN2022a</a:t>
            </a:r>
            <a:r>
              <a:rPr lang="en-GB" baseline="0"/>
              <a:t>:</a:t>
            </a:r>
            <a:r>
              <a:rPr lang="en-GB"/>
              <a:t> Vertical variation in J</a:t>
            </a:r>
          </a:p>
        </c:rich>
      </c:tx>
      <c:layout>
        <c:manualLayout>
          <c:xMode val="edge"/>
          <c:yMode val="edge"/>
          <c:x val="0.32262451313246621"/>
          <c:y val="1.8182984391840736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4554323935314536"/>
          <c:y val="0.1081689252362768"/>
          <c:w val="0.79982416391499467"/>
          <c:h val="0.7401761796942764"/>
        </c:manualLayout>
      </c:layout>
      <c:scatterChart>
        <c:scatterStyle val="lineMarker"/>
        <c:varyColors val="0"/>
        <c:ser>
          <c:idx val="7"/>
          <c:order val="0"/>
          <c:tx>
            <c:v>Lagrange T1</c:v>
          </c:tx>
          <c:spPr>
            <a:ln w="15875">
              <a:solidFill>
                <a:schemeClr val="accent1"/>
              </a:solidFill>
            </a:ln>
          </c:spPr>
          <c:marker>
            <c:symbol val="none"/>
          </c:marker>
          <c:xVal>
            <c:numRef>
              <c:f>Hb3gr_interpolation!$C$17:$C$36</c:f>
              <c:numCache>
                <c:formatCode>General</c:formatCode>
                <c:ptCount val="20"/>
                <c:pt idx="0">
                  <c:v>2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  <c:pt idx="7">
                  <c:v>35</c:v>
                </c:pt>
                <c:pt idx="8">
                  <c:v>40</c:v>
                </c:pt>
              </c:numCache>
            </c:numRef>
          </c:xVal>
          <c:yVal>
            <c:numRef>
              <c:f>Hb3gr_interpolation!$D$17:$D$36</c:f>
              <c:numCache>
                <c:formatCode>General</c:formatCode>
                <c:ptCount val="20"/>
                <c:pt idx="0">
                  <c:v>4.7573887047061628E-3</c:v>
                </c:pt>
                <c:pt idx="1">
                  <c:v>4.7110360653024033E-3</c:v>
                </c:pt>
                <c:pt idx="2">
                  <c:v>4.6187142862616909E-3</c:v>
                </c:pt>
                <c:pt idx="3">
                  <c:v>4.5075582821779226E-3</c:v>
                </c:pt>
                <c:pt idx="4">
                  <c:v>4.377568053051094E-3</c:v>
                </c:pt>
                <c:pt idx="5">
                  <c:v>4.2287435988812077E-3</c:v>
                </c:pt>
                <c:pt idx="6">
                  <c:v>4.0610849196682647E-3</c:v>
                </c:pt>
                <c:pt idx="7">
                  <c:v>3.8745920154122614E-3</c:v>
                </c:pt>
                <c:pt idx="8">
                  <c:v>3.6692648861132017E-3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321D-4D6F-BEEF-C7A3E7C66664}"/>
            </c:ext>
          </c:extLst>
        </c:ser>
        <c:ser>
          <c:idx val="1"/>
          <c:order val="1"/>
          <c:tx>
            <c:v>Hb3gr T1</c:v>
          </c:tx>
          <c:spPr>
            <a:ln w="28575">
              <a:noFill/>
            </a:ln>
          </c:spPr>
          <c:marker>
            <c:symbol val="circle"/>
            <c:size val="7"/>
            <c:spPr>
              <a:solidFill>
                <a:schemeClr val="bg1"/>
              </a:solidFill>
              <a:ln>
                <a:solidFill>
                  <a:schemeClr val="tx2"/>
                </a:solidFill>
              </a:ln>
            </c:spPr>
          </c:marker>
          <c:errBars>
            <c:errDir val="y"/>
            <c:errBarType val="both"/>
            <c:errValType val="cust"/>
            <c:noEndCap val="0"/>
            <c:plus>
              <c:numRef>
                <c:f>[6]Vertical_variation!$AD$5:$AD$7</c:f>
                <c:numCache>
                  <c:formatCode>General</c:formatCode>
                  <c:ptCount val="3"/>
                  <c:pt idx="0">
                    <c:v>9.7091489596462922E-6</c:v>
                  </c:pt>
                  <c:pt idx="1">
                    <c:v>8.4571157406964633E-6</c:v>
                  </c:pt>
                  <c:pt idx="2">
                    <c:v>7.6676428222284996E-6</c:v>
                  </c:pt>
                </c:numCache>
              </c:numRef>
            </c:plus>
            <c:minus>
              <c:numRef>
                <c:f>[6]Vertical_variation!$AD$5:$AD$7</c:f>
                <c:numCache>
                  <c:formatCode>General</c:formatCode>
                  <c:ptCount val="3"/>
                  <c:pt idx="0">
                    <c:v>9.7091489596462922E-6</c:v>
                  </c:pt>
                  <c:pt idx="1">
                    <c:v>8.4571157406964633E-6</c:v>
                  </c:pt>
                  <c:pt idx="2">
                    <c:v>7.6676428222284996E-6</c:v>
                  </c:pt>
                </c:numCache>
              </c:numRef>
            </c:minus>
          </c:errBars>
          <c:xVal>
            <c:numRef>
              <c:f>[6]Vertical_variation!$AB$5:$AB$7</c:f>
              <c:numCache>
                <c:formatCode>General</c:formatCode>
                <c:ptCount val="3"/>
                <c:pt idx="0">
                  <c:v>3</c:v>
                </c:pt>
                <c:pt idx="1">
                  <c:v>19</c:v>
                </c:pt>
                <c:pt idx="2">
                  <c:v>36</c:v>
                </c:pt>
              </c:numCache>
            </c:numRef>
          </c:xVal>
          <c:yVal>
            <c:numRef>
              <c:f>[6]Vertical_variation!$AC$5:$AC$7</c:f>
              <c:numCache>
                <c:formatCode>General</c:formatCode>
                <c:ptCount val="3"/>
                <c:pt idx="0">
                  <c:v>4.7426911939066315E-3</c:v>
                </c:pt>
                <c:pt idx="1">
                  <c:v>4.4050728368799042E-3</c:v>
                </c:pt>
                <c:pt idx="2">
                  <c:v>3.8350333275558941E-3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321D-4D6F-BEEF-C7A3E7C66664}"/>
            </c:ext>
          </c:extLst>
        </c:ser>
        <c:ser>
          <c:idx val="0"/>
          <c:order val="2"/>
          <c:tx>
            <c:v>Hb3gr T2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bg1"/>
              </a:solidFill>
              <a:ln>
                <a:solidFill>
                  <a:schemeClr val="accent2"/>
                </a:solidFill>
              </a:ln>
            </c:spPr>
          </c:marker>
          <c:xVal>
            <c:numRef>
              <c:f>Hb3gr_interpolation!$M$7:$M$9</c:f>
              <c:numCache>
                <c:formatCode>General</c:formatCode>
                <c:ptCount val="3"/>
                <c:pt idx="0">
                  <c:v>2</c:v>
                </c:pt>
                <c:pt idx="1">
                  <c:v>18</c:v>
                </c:pt>
                <c:pt idx="2">
                  <c:v>39</c:v>
                </c:pt>
              </c:numCache>
            </c:numRef>
          </c:xVal>
          <c:yVal>
            <c:numRef>
              <c:f>Hb3gr_interpolation!$N$7:$N$9</c:f>
              <c:numCache>
                <c:formatCode>General</c:formatCode>
                <c:ptCount val="3"/>
                <c:pt idx="0">
                  <c:v>5.1652121644352933E-3</c:v>
                </c:pt>
                <c:pt idx="1">
                  <c:v>4.8741710177054838E-3</c:v>
                </c:pt>
                <c:pt idx="2">
                  <c:v>4.3422657953273601E-3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321D-4D6F-BEEF-C7A3E7C66664}"/>
            </c:ext>
          </c:extLst>
        </c:ser>
        <c:ser>
          <c:idx val="2"/>
          <c:order val="3"/>
          <c:tx>
            <c:v>Lagrange T2</c:v>
          </c:tx>
          <c:spPr>
            <a:ln w="15875">
              <a:solidFill>
                <a:schemeClr val="accent2"/>
              </a:solidFill>
            </a:ln>
          </c:spPr>
          <c:marker>
            <c:symbol val="none"/>
          </c:marker>
          <c:xVal>
            <c:numRef>
              <c:f>Hb3gr_interpolation!$M$18:$M$27</c:f>
              <c:numCache>
                <c:formatCode>General</c:formatCode>
                <c:ptCount val="10"/>
                <c:pt idx="0">
                  <c:v>2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  <c:pt idx="7">
                  <c:v>35</c:v>
                </c:pt>
                <c:pt idx="8">
                  <c:v>40</c:v>
                </c:pt>
              </c:numCache>
            </c:numRef>
          </c:xVal>
          <c:yVal>
            <c:numRef>
              <c:f>Hb3gr_interpolation!$N$18:$N$27</c:f>
              <c:numCache>
                <c:formatCode>General</c:formatCode>
                <c:ptCount val="10"/>
                <c:pt idx="0">
                  <c:v>5.1652121644352933E-3</c:v>
                </c:pt>
                <c:pt idx="1">
                  <c:v>5.1181665761602805E-3</c:v>
                </c:pt>
                <c:pt idx="2">
                  <c:v>5.0320396964846689E-3</c:v>
                </c:pt>
                <c:pt idx="3">
                  <c:v>4.9362658594541507E-3</c:v>
                </c:pt>
                <c:pt idx="4">
                  <c:v>4.8308450650687241E-3</c:v>
                </c:pt>
                <c:pt idx="5">
                  <c:v>4.7157773133283919E-3</c:v>
                </c:pt>
                <c:pt idx="6">
                  <c:v>4.591062604233153E-3</c:v>
                </c:pt>
                <c:pt idx="7">
                  <c:v>4.4567009377830067E-3</c:v>
                </c:pt>
                <c:pt idx="8">
                  <c:v>4.3126923139779564E-3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321D-4D6F-BEEF-C7A3E7C66664}"/>
            </c:ext>
          </c:extLst>
        </c:ser>
        <c:ser>
          <c:idx val="3"/>
          <c:order val="4"/>
          <c:tx>
            <c:v>Hb3gr T3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bg1"/>
              </a:solidFill>
              <a:ln>
                <a:solidFill>
                  <a:srgbClr val="00B050"/>
                </a:solidFill>
              </a:ln>
            </c:spPr>
          </c:marker>
          <c:xVal>
            <c:numRef>
              <c:f>Hb3gr_interpolation!$W$7:$W$9</c:f>
              <c:numCache>
                <c:formatCode>General</c:formatCode>
                <c:ptCount val="3"/>
                <c:pt idx="0">
                  <c:v>2</c:v>
                </c:pt>
                <c:pt idx="1">
                  <c:v>24</c:v>
                </c:pt>
                <c:pt idx="2">
                  <c:v>41</c:v>
                </c:pt>
              </c:numCache>
            </c:numRef>
          </c:xVal>
          <c:yVal>
            <c:numRef>
              <c:f>Hb3gr_interpolation!$X$7:$X$9</c:f>
              <c:numCache>
                <c:formatCode>General</c:formatCode>
                <c:ptCount val="3"/>
                <c:pt idx="0">
                  <c:v>5.3121668012560807E-3</c:v>
                </c:pt>
                <c:pt idx="1">
                  <c:v>4.8996499783353319E-3</c:v>
                </c:pt>
                <c:pt idx="2">
                  <c:v>4.2112251639609289E-3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321D-4D6F-BEEF-C7A3E7C66664}"/>
            </c:ext>
          </c:extLst>
        </c:ser>
        <c:ser>
          <c:idx val="4"/>
          <c:order val="5"/>
          <c:tx>
            <c:v>Lagrange T3</c:v>
          </c:tx>
          <c:spPr>
            <a:ln w="15875">
              <a:solidFill>
                <a:srgbClr val="00B050"/>
              </a:solidFill>
            </a:ln>
          </c:spPr>
          <c:marker>
            <c:symbol val="none"/>
          </c:marker>
          <c:xVal>
            <c:numRef>
              <c:f>Hb3gr_interpolation!$W$18:$W$27</c:f>
              <c:numCache>
                <c:formatCode>General</c:formatCode>
                <c:ptCount val="10"/>
                <c:pt idx="0">
                  <c:v>2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  <c:pt idx="7">
                  <c:v>35</c:v>
                </c:pt>
                <c:pt idx="8">
                  <c:v>40</c:v>
                </c:pt>
                <c:pt idx="9">
                  <c:v>41</c:v>
                </c:pt>
              </c:numCache>
            </c:numRef>
          </c:xVal>
          <c:yVal>
            <c:numRef>
              <c:f>Hb3gr_interpolation!$X$18:$X$27</c:f>
              <c:numCache>
                <c:formatCode>General</c:formatCode>
                <c:ptCount val="10"/>
                <c:pt idx="0">
                  <c:v>5.3121668012560807E-3</c:v>
                </c:pt>
                <c:pt idx="1">
                  <c:v>5.2876953872307087E-3</c:v>
                </c:pt>
                <c:pt idx="2">
                  <c:v>5.2246073252520883E-3</c:v>
                </c:pt>
                <c:pt idx="3">
                  <c:v>5.1336412983530502E-3</c:v>
                </c:pt>
                <c:pt idx="4">
                  <c:v>5.0147973065335968E-3</c:v>
                </c:pt>
                <c:pt idx="5">
                  <c:v>4.8680753497937247E-3</c:v>
                </c:pt>
                <c:pt idx="6">
                  <c:v>4.6934754281334349E-3</c:v>
                </c:pt>
                <c:pt idx="7">
                  <c:v>4.4909975415527281E-3</c:v>
                </c:pt>
                <c:pt idx="8">
                  <c:v>4.2606416900516034E-3</c:v>
                </c:pt>
                <c:pt idx="9">
                  <c:v>4.2112251639609289E-3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5-321D-4D6F-BEEF-C7A3E7C666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07236608"/>
        <c:axId val="407238528"/>
      </c:scatterChart>
      <c:valAx>
        <c:axId val="407236608"/>
        <c:scaling>
          <c:orientation val="minMax"/>
          <c:max val="45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400"/>
                  <a:t>Distance from base of tube (mm)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07238528"/>
        <c:crosses val="autoZero"/>
        <c:crossBetween val="midCat"/>
      </c:valAx>
      <c:valAx>
        <c:axId val="407238528"/>
        <c:scaling>
          <c:orientation val="minMax"/>
          <c:min val="3.0000000000000009E-3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400"/>
                  <a:t>J value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.000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07236608"/>
        <c:crosses val="autoZero"/>
        <c:crossBetween val="midCat"/>
      </c:valAx>
      <c:spPr>
        <a:noFill/>
        <a:ln>
          <a:solidFill>
            <a:schemeClr val="tx1">
              <a:lumMod val="15000"/>
              <a:lumOff val="85000"/>
            </a:schemeClr>
          </a:solidFill>
        </a:ln>
        <a:effectLst/>
      </c:spPr>
    </c:plotArea>
    <c:legend>
      <c:legendPos val="r"/>
      <c:legendEntry>
        <c:idx val="0"/>
        <c:delete val="1"/>
      </c:legendEntry>
      <c:legendEntry>
        <c:idx val="3"/>
        <c:delete val="1"/>
      </c:legendEntry>
      <c:legendEntry>
        <c:idx val="5"/>
        <c:delete val="1"/>
      </c:legendEntry>
      <c:layout>
        <c:manualLayout>
          <c:xMode val="edge"/>
          <c:yMode val="edge"/>
          <c:x val="0.19807845086648357"/>
          <c:y val="0.60735544899339389"/>
          <c:w val="0.10421982904697755"/>
          <c:h val="0.171715829718119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7" Type="http://schemas.openxmlformats.org/officeDocument/2006/relationships/chart" Target="../charts/chart8.xml"/><Relationship Id="rId2" Type="http://schemas.openxmlformats.org/officeDocument/2006/relationships/chart" Target="../charts/chart3.xml"/><Relationship Id="rId1" Type="http://schemas.openxmlformats.org/officeDocument/2006/relationships/chart" Target="../charts/chart2.xml"/><Relationship Id="rId6" Type="http://schemas.openxmlformats.org/officeDocument/2006/relationships/chart" Target="../charts/chart7.xml"/><Relationship Id="rId5" Type="http://schemas.openxmlformats.org/officeDocument/2006/relationships/chart" Target="../charts/chart6.xml"/><Relationship Id="rId4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6" Type="http://schemas.openxmlformats.org/officeDocument/2006/relationships/chart" Target="../charts/chart14.xml"/><Relationship Id="rId5" Type="http://schemas.openxmlformats.org/officeDocument/2006/relationships/chart" Target="../charts/chart13.xml"/><Relationship Id="rId4" Type="http://schemas.openxmlformats.org/officeDocument/2006/relationships/chart" Target="../charts/chart12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7.xml"/><Relationship Id="rId2" Type="http://schemas.openxmlformats.org/officeDocument/2006/relationships/chart" Target="../charts/chart16.xml"/><Relationship Id="rId1" Type="http://schemas.openxmlformats.org/officeDocument/2006/relationships/chart" Target="../charts/chart15.xml"/><Relationship Id="rId4" Type="http://schemas.openxmlformats.org/officeDocument/2006/relationships/chart" Target="../charts/chart1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38</xdr:col>
      <xdr:colOff>2793</xdr:colOff>
      <xdr:row>0</xdr:row>
      <xdr:rowOff>0</xdr:rowOff>
    </xdr:from>
    <xdr:to>
      <xdr:col>42</xdr:col>
      <xdr:colOff>405496</xdr:colOff>
      <xdr:row>17</xdr:row>
      <xdr:rowOff>187520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200000">
          <a:off x="32136165" y="-1923281"/>
          <a:ext cx="4245986" cy="841632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99</xdr:col>
      <xdr:colOff>1047751</xdr:colOff>
      <xdr:row>28</xdr:row>
      <xdr:rowOff>190500</xdr:rowOff>
    </xdr:from>
    <xdr:to>
      <xdr:col>107</xdr:col>
      <xdr:colOff>1183823</xdr:colOff>
      <xdr:row>51</xdr:row>
      <xdr:rowOff>163285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72</xdr:col>
      <xdr:colOff>1108365</xdr:colOff>
      <xdr:row>8</xdr:row>
      <xdr:rowOff>0</xdr:rowOff>
    </xdr:from>
    <xdr:to>
      <xdr:col>75</xdr:col>
      <xdr:colOff>44919</xdr:colOff>
      <xdr:row>17</xdr:row>
      <xdr:rowOff>227242</xdr:rowOff>
    </xdr:to>
    <xdr:graphicFrame macro="">
      <xdr:nvGraphicFramePr>
        <xdr:cNvPr id="16" name="Chart 15">
          <a:extLst>
            <a:ext uri="{FF2B5EF4-FFF2-40B4-BE49-F238E27FC236}">
              <a16:creationId xmlns:a16="http://schemas.microsoft.com/office/drawing/2014/main" id="{00000000-0008-0000-0500-00001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78</xdr:col>
      <xdr:colOff>1052946</xdr:colOff>
      <xdr:row>8</xdr:row>
      <xdr:rowOff>0</xdr:rowOff>
    </xdr:from>
    <xdr:to>
      <xdr:col>82</xdr:col>
      <xdr:colOff>519545</xdr:colOff>
      <xdr:row>17</xdr:row>
      <xdr:rowOff>227906</xdr:rowOff>
    </xdr:to>
    <xdr:graphicFrame macro="">
      <xdr:nvGraphicFramePr>
        <xdr:cNvPr id="20" name="Chart 19">
          <a:extLst>
            <a:ext uri="{FF2B5EF4-FFF2-40B4-BE49-F238E27FC236}">
              <a16:creationId xmlns:a16="http://schemas.microsoft.com/office/drawing/2014/main" id="{00000000-0008-0000-0500-00001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73</xdr:col>
      <xdr:colOff>11550</xdr:colOff>
      <xdr:row>19</xdr:row>
      <xdr:rowOff>13048</xdr:rowOff>
    </xdr:from>
    <xdr:to>
      <xdr:col>75</xdr:col>
      <xdr:colOff>55419</xdr:colOff>
      <xdr:row>28</xdr:row>
      <xdr:rowOff>13048</xdr:rowOff>
    </xdr:to>
    <xdr:graphicFrame macro="">
      <xdr:nvGraphicFramePr>
        <xdr:cNvPr id="21" name="Chart 20">
          <a:extLst>
            <a:ext uri="{FF2B5EF4-FFF2-40B4-BE49-F238E27FC236}">
              <a16:creationId xmlns:a16="http://schemas.microsoft.com/office/drawing/2014/main" id="{00000000-0008-0000-0500-00001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78</xdr:col>
      <xdr:colOff>1053349</xdr:colOff>
      <xdr:row>19</xdr:row>
      <xdr:rowOff>0</xdr:rowOff>
    </xdr:from>
    <xdr:to>
      <xdr:col>82</xdr:col>
      <xdr:colOff>521918</xdr:colOff>
      <xdr:row>27</xdr:row>
      <xdr:rowOff>221815</xdr:rowOff>
    </xdr:to>
    <xdr:graphicFrame macro="">
      <xdr:nvGraphicFramePr>
        <xdr:cNvPr id="22" name="Chart 21">
          <a:extLst>
            <a:ext uri="{FF2B5EF4-FFF2-40B4-BE49-F238E27FC236}">
              <a16:creationId xmlns:a16="http://schemas.microsoft.com/office/drawing/2014/main" id="{00000000-0008-0000-0500-00001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72</xdr:col>
      <xdr:colOff>1094623</xdr:colOff>
      <xdr:row>30</xdr:row>
      <xdr:rowOff>0</xdr:rowOff>
    </xdr:from>
    <xdr:to>
      <xdr:col>75</xdr:col>
      <xdr:colOff>16274</xdr:colOff>
      <xdr:row>39</xdr:row>
      <xdr:rowOff>0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5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78</xdr:col>
      <xdr:colOff>1053349</xdr:colOff>
      <xdr:row>30</xdr:row>
      <xdr:rowOff>0</xdr:rowOff>
    </xdr:from>
    <xdr:to>
      <xdr:col>82</xdr:col>
      <xdr:colOff>521918</xdr:colOff>
      <xdr:row>38</xdr:row>
      <xdr:rowOff>221815</xdr:rowOff>
    </xdr:to>
    <xdr:graphicFrame macro="">
      <xdr:nvGraphicFramePr>
        <xdr:cNvPr id="24" name="Chart 23">
          <a:extLst>
            <a:ext uri="{FF2B5EF4-FFF2-40B4-BE49-F238E27FC236}">
              <a16:creationId xmlns:a16="http://schemas.microsoft.com/office/drawing/2014/main" id="{00000000-0008-0000-0500-00001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78</xdr:col>
      <xdr:colOff>1039091</xdr:colOff>
      <xdr:row>40</xdr:row>
      <xdr:rowOff>124690</xdr:rowOff>
    </xdr:from>
    <xdr:to>
      <xdr:col>82</xdr:col>
      <xdr:colOff>507660</xdr:colOff>
      <xdr:row>49</xdr:row>
      <xdr:rowOff>110978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6FA6694-D840-4017-8DFD-114B74F4C23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85725</xdr:colOff>
      <xdr:row>2</xdr:row>
      <xdr:rowOff>1</xdr:rowOff>
    </xdr:from>
    <xdr:to>
      <xdr:col>13</xdr:col>
      <xdr:colOff>152400</xdr:colOff>
      <xdr:row>22</xdr:row>
      <xdr:rowOff>161926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471236</xdr:colOff>
      <xdr:row>2</xdr:row>
      <xdr:rowOff>10028</xdr:rowOff>
    </xdr:from>
    <xdr:to>
      <xdr:col>23</xdr:col>
      <xdr:colOff>176962</xdr:colOff>
      <xdr:row>23</xdr:row>
      <xdr:rowOff>20052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70184</xdr:colOff>
      <xdr:row>23</xdr:row>
      <xdr:rowOff>110289</xdr:rowOff>
    </xdr:from>
    <xdr:to>
      <xdr:col>13</xdr:col>
      <xdr:colOff>136859</xdr:colOff>
      <xdr:row>45</xdr:row>
      <xdr:rowOff>75699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372120</xdr:colOff>
      <xdr:row>23</xdr:row>
      <xdr:rowOff>111732</xdr:rowOff>
    </xdr:from>
    <xdr:to>
      <xdr:col>24</xdr:col>
      <xdr:colOff>14282</xdr:colOff>
      <xdr:row>45</xdr:row>
      <xdr:rowOff>87168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100263</xdr:colOff>
      <xdr:row>46</xdr:row>
      <xdr:rowOff>120315</xdr:rowOff>
    </xdr:from>
    <xdr:to>
      <xdr:col>13</xdr:col>
      <xdr:colOff>166938</xdr:colOff>
      <xdr:row>68</xdr:row>
      <xdr:rowOff>5513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13</xdr:col>
      <xdr:colOff>320841</xdr:colOff>
      <xdr:row>46</xdr:row>
      <xdr:rowOff>130341</xdr:rowOff>
    </xdr:from>
    <xdr:to>
      <xdr:col>23</xdr:col>
      <xdr:colOff>96752</xdr:colOff>
      <xdr:row>68</xdr:row>
      <xdr:rowOff>37820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798747</xdr:colOff>
      <xdr:row>14</xdr:row>
      <xdr:rowOff>152288</xdr:rowOff>
    </xdr:from>
    <xdr:to>
      <xdr:col>10</xdr:col>
      <xdr:colOff>258283</xdr:colOff>
      <xdr:row>34</xdr:row>
      <xdr:rowOff>44430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AC1A87E-4EE0-42FC-8E5D-E1985231E30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301462</xdr:colOff>
      <xdr:row>14</xdr:row>
      <xdr:rowOff>152404</xdr:rowOff>
    </xdr:from>
    <xdr:to>
      <xdr:col>20</xdr:col>
      <xdr:colOff>89444</xdr:colOff>
      <xdr:row>36</xdr:row>
      <xdr:rowOff>27479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2734E10A-EE8C-4201-97B8-8329AB89885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oneCellAnchor>
    <xdr:from>
      <xdr:col>5</xdr:col>
      <xdr:colOff>218905</xdr:colOff>
      <xdr:row>13</xdr:row>
      <xdr:rowOff>6292</xdr:rowOff>
    </xdr:from>
    <xdr:ext cx="364652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TextBox 3">
              <a:extLst>
                <a:ext uri="{FF2B5EF4-FFF2-40B4-BE49-F238E27FC236}">
                  <a16:creationId xmlns:a16="http://schemas.microsoft.com/office/drawing/2014/main" id="{E5F126B5-C383-415B-B0BE-498E35F15E06}"/>
                </a:ext>
              </a:extLst>
            </xdr:cNvPr>
            <xdr:cNvSpPr txBox="1"/>
          </xdr:nvSpPr>
          <xdr:spPr>
            <a:xfrm>
              <a:off x="4093675" y="2618047"/>
              <a:ext cx="364652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14:m>
                <m:oMath xmlns:m="http://schemas.openxmlformats.org/officeDocument/2006/math">
                  <m:r>
                    <a:rPr lang="el-GR" sz="1100" b="0" i="1">
                      <a:latin typeface="Cambria Math" panose="02040503050406030204" pitchFamily="18" charset="0"/>
                    </a:rPr>
                    <m:t>𝛥</m:t>
                  </m:r>
                </m:oMath>
              </a14:m>
              <a:r>
                <a:rPr lang="en-GB" sz="1100" b="0"/>
                <a:t>J (%)</a:t>
              </a:r>
            </a:p>
          </xdr:txBody>
        </xdr:sp>
      </mc:Choice>
      <mc:Fallback xmlns="">
        <xdr:sp macro="" textlink="">
          <xdr:nvSpPr>
            <xdr:cNvPr id="4" name="TextBox 3">
              <a:extLst>
                <a:ext uri="{FF2B5EF4-FFF2-40B4-BE49-F238E27FC236}">
                  <a16:creationId xmlns:a16="http://schemas.microsoft.com/office/drawing/2014/main" id="{E5F126B5-C383-415B-B0BE-498E35F15E06}"/>
                </a:ext>
              </a:extLst>
            </xdr:cNvPr>
            <xdr:cNvSpPr txBox="1"/>
          </xdr:nvSpPr>
          <xdr:spPr>
            <a:xfrm>
              <a:off x="4093675" y="2618047"/>
              <a:ext cx="364652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l-GR" sz="1100" b="0" i="0">
                  <a:latin typeface="Cambria Math" panose="02040503050406030204" pitchFamily="18" charset="0"/>
                </a:rPr>
                <a:t>𝛥</a:t>
              </a:r>
              <a:r>
                <a:rPr lang="en-GB" sz="1100" b="0"/>
                <a:t>J (%)</a:t>
              </a:r>
            </a:p>
          </xdr:txBody>
        </xdr:sp>
      </mc:Fallback>
    </mc:AlternateContent>
    <xdr:clientData/>
  </xdr:oneCellAnchor>
  <xdr:oneCellAnchor>
    <xdr:from>
      <xdr:col>15</xdr:col>
      <xdr:colOff>218905</xdr:colOff>
      <xdr:row>13</xdr:row>
      <xdr:rowOff>6292</xdr:rowOff>
    </xdr:from>
    <xdr:ext cx="364652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5" name="TextBox 4">
              <a:extLst>
                <a:ext uri="{FF2B5EF4-FFF2-40B4-BE49-F238E27FC236}">
                  <a16:creationId xmlns:a16="http://schemas.microsoft.com/office/drawing/2014/main" id="{02EC7861-8DFD-41F1-96BF-1557BD3E88A1}"/>
                </a:ext>
              </a:extLst>
            </xdr:cNvPr>
            <xdr:cNvSpPr txBox="1"/>
          </xdr:nvSpPr>
          <xdr:spPr>
            <a:xfrm>
              <a:off x="11237425" y="2618047"/>
              <a:ext cx="364652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14:m>
                <m:oMath xmlns:m="http://schemas.openxmlformats.org/officeDocument/2006/math">
                  <m:r>
                    <a:rPr lang="el-GR" sz="1100" b="0" i="1">
                      <a:latin typeface="Cambria Math" panose="02040503050406030204" pitchFamily="18" charset="0"/>
                    </a:rPr>
                    <m:t>𝛥</m:t>
                  </m:r>
                </m:oMath>
              </a14:m>
              <a:r>
                <a:rPr lang="en-GB" sz="1100" b="0"/>
                <a:t>J (%)</a:t>
              </a:r>
            </a:p>
          </xdr:txBody>
        </xdr:sp>
      </mc:Choice>
      <mc:Fallback xmlns="">
        <xdr:sp macro="" textlink="">
          <xdr:nvSpPr>
            <xdr:cNvPr id="5" name="TextBox 4">
              <a:extLst>
                <a:ext uri="{FF2B5EF4-FFF2-40B4-BE49-F238E27FC236}">
                  <a16:creationId xmlns:a16="http://schemas.microsoft.com/office/drawing/2014/main" id="{02EC7861-8DFD-41F1-96BF-1557BD3E88A1}"/>
                </a:ext>
              </a:extLst>
            </xdr:cNvPr>
            <xdr:cNvSpPr txBox="1"/>
          </xdr:nvSpPr>
          <xdr:spPr>
            <a:xfrm>
              <a:off x="11237425" y="2618047"/>
              <a:ext cx="364652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l-GR" sz="1100" b="0" i="0">
                  <a:latin typeface="Cambria Math" panose="02040503050406030204" pitchFamily="18" charset="0"/>
                </a:rPr>
                <a:t>𝛥</a:t>
              </a:r>
              <a:r>
                <a:rPr lang="en-GB" sz="1100" b="0"/>
                <a:t>J (%)</a:t>
              </a:r>
            </a:p>
          </xdr:txBody>
        </xdr:sp>
      </mc:Fallback>
    </mc:AlternateContent>
    <xdr:clientData/>
  </xdr:oneCellAnchor>
  <xdr:twoCellAnchor>
    <xdr:from>
      <xdr:col>21</xdr:col>
      <xdr:colOff>538066</xdr:colOff>
      <xdr:row>15</xdr:row>
      <xdr:rowOff>7096</xdr:rowOff>
    </xdr:from>
    <xdr:to>
      <xdr:col>31</xdr:col>
      <xdr:colOff>512334</xdr:colOff>
      <xdr:row>35</xdr:row>
      <xdr:rowOff>187802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4EFDF589-959E-4383-822B-E504690DEF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oneCellAnchor>
    <xdr:from>
      <xdr:col>25</xdr:col>
      <xdr:colOff>218905</xdr:colOff>
      <xdr:row>13</xdr:row>
      <xdr:rowOff>6292</xdr:rowOff>
    </xdr:from>
    <xdr:ext cx="364652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7" name="TextBox 6">
              <a:extLst>
                <a:ext uri="{FF2B5EF4-FFF2-40B4-BE49-F238E27FC236}">
                  <a16:creationId xmlns:a16="http://schemas.microsoft.com/office/drawing/2014/main" id="{5AB692CF-6D0E-4873-A5D8-32942E74F339}"/>
                </a:ext>
              </a:extLst>
            </xdr:cNvPr>
            <xdr:cNvSpPr txBox="1"/>
          </xdr:nvSpPr>
          <xdr:spPr>
            <a:xfrm>
              <a:off x="18238300" y="2618047"/>
              <a:ext cx="364652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14:m>
                <m:oMath xmlns:m="http://schemas.openxmlformats.org/officeDocument/2006/math">
                  <m:r>
                    <a:rPr lang="el-GR" sz="1100" b="0" i="1">
                      <a:latin typeface="Cambria Math" panose="02040503050406030204" pitchFamily="18" charset="0"/>
                    </a:rPr>
                    <m:t>𝛥</m:t>
                  </m:r>
                </m:oMath>
              </a14:m>
              <a:r>
                <a:rPr lang="en-GB" sz="1100" b="0"/>
                <a:t>J (%)</a:t>
              </a:r>
            </a:p>
          </xdr:txBody>
        </xdr:sp>
      </mc:Choice>
      <mc:Fallback xmlns="">
        <xdr:sp macro="" textlink="">
          <xdr:nvSpPr>
            <xdr:cNvPr id="7" name="TextBox 6">
              <a:extLst>
                <a:ext uri="{FF2B5EF4-FFF2-40B4-BE49-F238E27FC236}">
                  <a16:creationId xmlns:a16="http://schemas.microsoft.com/office/drawing/2014/main" id="{5AB692CF-6D0E-4873-A5D8-32942E74F339}"/>
                </a:ext>
              </a:extLst>
            </xdr:cNvPr>
            <xdr:cNvSpPr txBox="1"/>
          </xdr:nvSpPr>
          <xdr:spPr>
            <a:xfrm>
              <a:off x="18238300" y="2618047"/>
              <a:ext cx="364652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l-GR" sz="1100" b="0" i="0">
                  <a:latin typeface="Cambria Math" panose="02040503050406030204" pitchFamily="18" charset="0"/>
                </a:rPr>
                <a:t>𝛥</a:t>
              </a:r>
              <a:r>
                <a:rPr lang="en-GB" sz="1100" b="0"/>
                <a:t>J (%)</a:t>
              </a:r>
            </a:p>
          </xdr:txBody>
        </xdr:sp>
      </mc:Fallback>
    </mc:AlternateContent>
    <xdr:clientData/>
  </xdr:oneCellAnchor>
  <xdr:twoCellAnchor>
    <xdr:from>
      <xdr:col>1</xdr:col>
      <xdr:colOff>108857</xdr:colOff>
      <xdr:row>37</xdr:row>
      <xdr:rowOff>142876</xdr:rowOff>
    </xdr:from>
    <xdr:to>
      <xdr:col>10</xdr:col>
      <xdr:colOff>176893</xdr:colOff>
      <xdr:row>58</xdr:row>
      <xdr:rowOff>125260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3B7AD1F8-B341-4A6D-BF40-796E7EF2631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hermo\Downloads\HalogenDataReduction_MasterFile_LRV4_MN201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ared_Space/Lab_Argus/Excel%20macros%20and%20templates/Halogen_data_reduction/HalogenDataReduction_MasterFile_LRV4_MN2013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Shared_Space\Lab_Argus\Irradiation%20Monitor%20Data\MN2018a\HalogenSheet_V3_MN2018a_monitor_data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Shared_Space/Lab_Argus/Irradiation%20Monitor%20Data/MN2018b/2019-03-12_HalogenSheet_V3_MN2018b_monitor_data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Sample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Shared_Space\Lab_Argus\Irradiation%20Monitor%20Data\MN2022a\HalogenSheet_V3_MN2022a_monitor_data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Shared_Space/Lab_Argus/Irradiation%20Monitor%20Data/MN2019a/HalogenSheet_V3_MN2019a_monitor_data_raw_v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B3GR"/>
      <sheetName val="Shallowater_Main"/>
      <sheetName val="Scapolite"/>
      <sheetName val="Sample"/>
      <sheetName val="STD_ARGUS130115"/>
      <sheetName val="Isochron2"/>
      <sheetName val="PlotDat2"/>
      <sheetName val="PlotDat3"/>
      <sheetName val="PlotDat4"/>
      <sheetName val="Shallowater_Step Heating"/>
    </sheetNames>
    <sheetDataSet>
      <sheetData sheetId="0"/>
      <sheetData sheetId="1"/>
      <sheetData sheetId="2"/>
      <sheetData sheetId="3"/>
      <sheetData sheetId="4">
        <row r="1">
          <cell r="A1" t="str">
            <v>Bottle filled:</v>
          </cell>
          <cell r="B1">
            <v>41821</v>
          </cell>
          <cell r="C1">
            <v>0</v>
          </cell>
          <cell r="D1">
            <v>0</v>
          </cell>
          <cell r="E1">
            <v>0</v>
          </cell>
          <cell r="F1">
            <v>0</v>
          </cell>
          <cell r="G1">
            <v>0</v>
          </cell>
          <cell r="H1">
            <v>0</v>
          </cell>
          <cell r="I1">
            <v>0</v>
          </cell>
          <cell r="J1">
            <v>0</v>
          </cell>
          <cell r="K1">
            <v>0</v>
          </cell>
          <cell r="L1">
            <v>0</v>
          </cell>
          <cell r="M1">
            <v>0</v>
          </cell>
          <cell r="N1">
            <v>0</v>
          </cell>
          <cell r="O1">
            <v>0</v>
          </cell>
          <cell r="P1">
            <v>0</v>
          </cell>
          <cell r="Q1">
            <v>0</v>
          </cell>
          <cell r="R1">
            <v>0</v>
          </cell>
          <cell r="S1">
            <v>0</v>
          </cell>
          <cell r="T1">
            <v>0</v>
          </cell>
          <cell r="U1">
            <v>0</v>
          </cell>
          <cell r="V1">
            <v>0</v>
          </cell>
          <cell r="AC1" t="str">
            <v>Pressure Bottle=</v>
          </cell>
          <cell r="AD1">
            <v>0</v>
          </cell>
          <cell r="AE1">
            <v>1.9279999999999999E-2</v>
          </cell>
          <cell r="AF1" t="str">
            <v>torr</v>
          </cell>
          <cell r="AH1" t="str">
            <v>40Ar(bottle)=</v>
          </cell>
          <cell r="AJ1">
            <v>1.7935489919999997E-4</v>
          </cell>
          <cell r="AK1" t="str">
            <v>Torr</v>
          </cell>
          <cell r="AL1">
            <v>2.3599328842105261E-8</v>
          </cell>
          <cell r="AM1" t="str">
            <v>cc</v>
          </cell>
          <cell r="AO1">
            <v>0</v>
          </cell>
        </row>
        <row r="2">
          <cell r="A2" t="str">
            <v>Filled by:</v>
          </cell>
          <cell r="B2" t="str">
            <v>Ray Burgess</v>
          </cell>
          <cell r="C2">
            <v>0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>
            <v>0</v>
          </cell>
          <cell r="T2">
            <v>0</v>
          </cell>
          <cell r="U2">
            <v>0</v>
          </cell>
          <cell r="V2">
            <v>0</v>
          </cell>
          <cell r="AC2" t="str">
            <v>Volume Bottle=</v>
          </cell>
          <cell r="AD2">
            <v>0</v>
          </cell>
          <cell r="AE2">
            <v>2154.7530000000002</v>
          </cell>
          <cell r="AF2" t="str">
            <v>cc</v>
          </cell>
          <cell r="AH2" t="str">
            <v>84Kr(bottle)=</v>
          </cell>
          <cell r="AJ2">
            <v>1.2528143999999999E-8</v>
          </cell>
          <cell r="AK2" t="str">
            <v>Torr</v>
          </cell>
          <cell r="AL2">
            <v>1.6484399999999998E-12</v>
          </cell>
          <cell r="AM2" t="str">
            <v>cc</v>
          </cell>
          <cell r="AO2">
            <v>0</v>
          </cell>
        </row>
        <row r="3">
          <cell r="A3" t="str">
            <v>Details:</v>
          </cell>
          <cell r="B3" t="str">
            <v xml:space="preserve">Argus argon bottle has been refilled with a pressure of 0.01928 torr Air STP as measured on the baratron on the MS1 calibration line. </v>
          </cell>
          <cell r="C3">
            <v>0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AH3" t="str">
            <v>132Xe(bottle)=</v>
          </cell>
          <cell r="AJ3">
            <v>4.510421039999999E-10</v>
          </cell>
          <cell r="AK3" t="str">
            <v>Torr</v>
          </cell>
          <cell r="AL3">
            <v>5.9347645263157885E-14</v>
          </cell>
          <cell r="AM3" t="str">
            <v>cc</v>
          </cell>
        </row>
        <row r="4">
          <cell r="A4">
            <v>0</v>
          </cell>
          <cell r="B4" t="str">
            <v xml:space="preserve">The bottle was baked under UHV at about 150 deg-C for 15 hours prior to filling. 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>
            <v>0</v>
          </cell>
          <cell r="U4">
            <v>0</v>
          </cell>
          <cell r="V4">
            <v>0</v>
          </cell>
          <cell r="AH4" t="str">
            <v>22Ne(bottle)</v>
          </cell>
          <cell r="AJ4">
            <v>3.2352109919999994E-8</v>
          </cell>
          <cell r="AK4" t="str">
            <v>Torr</v>
          </cell>
          <cell r="AL4">
            <v>4.2568565684210527E-12</v>
          </cell>
          <cell r="AM4" t="str">
            <v>cc</v>
          </cell>
        </row>
        <row r="5">
          <cell r="A5">
            <v>0</v>
          </cell>
          <cell r="B5" t="str">
            <v xml:space="preserve">The new fill pressure is 20% higher than the previous one </v>
          </cell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AH5" t="str">
            <v>20Ne(bottle)</v>
          </cell>
          <cell r="AJ5">
            <v>3.1721191199999997E-7</v>
          </cell>
          <cell r="AK5" t="str">
            <v>Torr</v>
          </cell>
          <cell r="AL5">
            <v>4.1738409473684211E-11</v>
          </cell>
          <cell r="AM5" t="str">
            <v>cc</v>
          </cell>
        </row>
        <row r="6">
          <cell r="A6" t="str">
            <v>Air ratios</v>
          </cell>
          <cell r="B6">
            <v>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 t="str">
            <v>21Ne(bottle)</v>
          </cell>
          <cell r="AI6">
            <v>0</v>
          </cell>
          <cell r="AJ6">
            <v>9.3936787199999994E-10</v>
          </cell>
          <cell r="AK6" t="str">
            <v>Torr</v>
          </cell>
          <cell r="AL6">
            <v>1.2360103578947366E-13</v>
          </cell>
          <cell r="AM6" t="str">
            <v>cc</v>
          </cell>
          <cell r="AP6">
            <v>298.56</v>
          </cell>
          <cell r="AQ6">
            <v>298.56</v>
          </cell>
          <cell r="AR6">
            <v>0</v>
          </cell>
          <cell r="AS6">
            <v>0</v>
          </cell>
          <cell r="AT6">
            <v>0</v>
          </cell>
          <cell r="AU6">
            <v>0.188</v>
          </cell>
          <cell r="AV6">
            <v>0.188</v>
          </cell>
          <cell r="AW6">
            <v>0</v>
          </cell>
          <cell r="AX6">
            <v>0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0</v>
          </cell>
          <cell r="BD6">
            <v>0</v>
          </cell>
          <cell r="BE6">
            <v>0</v>
          </cell>
          <cell r="BH6">
            <v>0</v>
          </cell>
          <cell r="BI6">
            <v>0.20216999999999999</v>
          </cell>
          <cell r="BJ6">
            <v>0</v>
          </cell>
          <cell r="BK6">
            <v>0</v>
          </cell>
          <cell r="BL6">
            <v>0</v>
          </cell>
          <cell r="BM6">
            <v>0</v>
          </cell>
          <cell r="BN6">
            <v>0</v>
          </cell>
          <cell r="BO6">
            <v>0</v>
          </cell>
          <cell r="BP6">
            <v>0</v>
          </cell>
          <cell r="BQ6">
            <v>0</v>
          </cell>
          <cell r="BR6">
            <v>0</v>
          </cell>
          <cell r="BS6">
            <v>0</v>
          </cell>
          <cell r="BT6">
            <v>0</v>
          </cell>
          <cell r="BU6">
            <v>0</v>
          </cell>
          <cell r="BV6">
            <v>0</v>
          </cell>
          <cell r="BW6">
            <v>0</v>
          </cell>
          <cell r="BX6">
            <v>0</v>
          </cell>
          <cell r="BY6">
            <v>0</v>
          </cell>
          <cell r="BZ6">
            <v>0</v>
          </cell>
          <cell r="CA6">
            <v>0.98319999999999996</v>
          </cell>
          <cell r="CB6">
            <v>0.78900000000000003</v>
          </cell>
          <cell r="CC6">
            <v>0.32940000000000003</v>
          </cell>
          <cell r="CD6">
            <v>0</v>
          </cell>
          <cell r="CE6">
            <v>0</v>
          </cell>
          <cell r="CF6">
            <v>0</v>
          </cell>
          <cell r="CG6">
            <v>0</v>
          </cell>
          <cell r="CH6">
            <v>0</v>
          </cell>
          <cell r="CI6">
            <v>0</v>
          </cell>
          <cell r="CJ6">
            <v>0</v>
          </cell>
          <cell r="CK6">
            <v>0</v>
          </cell>
          <cell r="CL6">
            <v>0</v>
          </cell>
          <cell r="CM6">
            <v>0</v>
          </cell>
          <cell r="CN6">
            <v>0</v>
          </cell>
          <cell r="CO6">
            <v>0</v>
          </cell>
          <cell r="CP6">
            <v>0</v>
          </cell>
          <cell r="CQ6">
            <v>0</v>
          </cell>
          <cell r="CR6">
            <v>0</v>
          </cell>
          <cell r="CS6">
            <v>0</v>
          </cell>
          <cell r="CT6">
            <v>0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</row>
        <row r="7">
          <cell r="A7" t="str">
            <v>Shot Record</v>
          </cell>
        </row>
        <row r="8">
          <cell r="A8" t="str">
            <v>Date</v>
          </cell>
          <cell r="B8" t="str">
            <v>details</v>
          </cell>
          <cell r="C8" t="str">
            <v>comment</v>
          </cell>
          <cell r="D8" t="str">
            <v>Experiment name</v>
          </cell>
          <cell r="E8" t="str">
            <v>Script (Ar-Ar/Halogen)</v>
          </cell>
          <cell r="F8" t="str">
            <v>Number of shots</v>
          </cell>
          <cell r="G8" t="str">
            <v>Cumulative number of shots</v>
          </cell>
          <cell r="H8" t="str">
            <v>CDD</v>
          </cell>
          <cell r="I8">
            <v>0</v>
          </cell>
          <cell r="J8">
            <v>0</v>
          </cell>
          <cell r="K8" t="str">
            <v>CDD</v>
          </cell>
          <cell r="L8">
            <v>0</v>
          </cell>
          <cell r="M8">
            <v>0</v>
          </cell>
          <cell r="N8" t="str">
            <v>Faraday</v>
          </cell>
          <cell r="O8">
            <v>0</v>
          </cell>
          <cell r="P8">
            <v>0</v>
          </cell>
          <cell r="Q8">
            <v>0</v>
          </cell>
          <cell r="R8" t="str">
            <v>20/22</v>
          </cell>
          <cell r="S8" t="str">
            <v>21/22</v>
          </cell>
          <cell r="T8">
            <v>0</v>
          </cell>
          <cell r="U8">
            <v>0</v>
          </cell>
          <cell r="V8" t="str">
            <v>Faradays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 t="str">
            <v>Faradays</v>
          </cell>
          <cell r="AG8">
            <v>0</v>
          </cell>
          <cell r="AH8">
            <v>0</v>
          </cell>
          <cell r="AI8">
            <v>0</v>
          </cell>
          <cell r="AJ8" t="str">
            <v>CDD</v>
          </cell>
          <cell r="AK8" t="str">
            <v>Faradays</v>
          </cell>
          <cell r="AL8">
            <v>0</v>
          </cell>
          <cell r="AM8">
            <v>0</v>
          </cell>
          <cell r="AN8">
            <v>0</v>
          </cell>
          <cell r="AO8" t="str">
            <v>CDD</v>
          </cell>
          <cell r="AP8" t="str">
            <v>40/36 cup</v>
          </cell>
          <cell r="AQ8" t="str">
            <v>40/36 CDD</v>
          </cell>
          <cell r="AR8">
            <v>0</v>
          </cell>
          <cell r="AS8">
            <v>0</v>
          </cell>
          <cell r="AT8" t="str">
            <v>Yield 36 CDD / 36 CUP</v>
          </cell>
          <cell r="AU8" t="str">
            <v>38/36 cup</v>
          </cell>
          <cell r="AV8" t="str">
            <v>38/36 CDD</v>
          </cell>
          <cell r="AW8">
            <v>0</v>
          </cell>
          <cell r="AX8">
            <v>0</v>
          </cell>
          <cell r="AY8" t="str">
            <v>Faradays</v>
          </cell>
          <cell r="AZ8">
            <v>0</v>
          </cell>
          <cell r="BA8">
            <v>0</v>
          </cell>
          <cell r="BB8">
            <v>0</v>
          </cell>
          <cell r="BC8" t="str">
            <v>CDD</v>
          </cell>
          <cell r="BD8" t="str">
            <v>Faradays</v>
          </cell>
          <cell r="BE8">
            <v>0</v>
          </cell>
          <cell r="BF8">
            <v>0</v>
          </cell>
          <cell r="BG8">
            <v>0</v>
          </cell>
          <cell r="BH8" t="str">
            <v>CDD</v>
          </cell>
          <cell r="BI8" t="str">
            <v>82/84</v>
          </cell>
          <cell r="BJ8">
            <v>0</v>
          </cell>
          <cell r="BK8" t="str">
            <v xml:space="preserve">Yield 84 </v>
          </cell>
          <cell r="BL8">
            <v>0</v>
          </cell>
          <cell r="BM8" t="str">
            <v>CDD</v>
          </cell>
          <cell r="BN8">
            <v>0</v>
          </cell>
          <cell r="BO8">
            <v>0</v>
          </cell>
          <cell r="BP8">
            <v>0</v>
          </cell>
          <cell r="BQ8">
            <v>0</v>
          </cell>
          <cell r="BR8">
            <v>0</v>
          </cell>
          <cell r="BS8">
            <v>0</v>
          </cell>
          <cell r="BT8" t="str">
            <v>CDD</v>
          </cell>
          <cell r="BU8">
            <v>0</v>
          </cell>
          <cell r="BV8">
            <v>0</v>
          </cell>
          <cell r="BW8">
            <v>0</v>
          </cell>
          <cell r="BX8">
            <v>0</v>
          </cell>
          <cell r="BY8">
            <v>0</v>
          </cell>
          <cell r="BZ8">
            <v>0</v>
          </cell>
          <cell r="CA8" t="str">
            <v>129/132</v>
          </cell>
          <cell r="CB8" t="str">
            <v>131/132</v>
          </cell>
          <cell r="CC8" t="str">
            <v>136/132</v>
          </cell>
          <cell r="CD8" t="str">
            <v>129/132</v>
          </cell>
          <cell r="CE8" t="str">
            <v>131/132</v>
          </cell>
          <cell r="CF8" t="str">
            <v>136/132</v>
          </cell>
          <cell r="CG8" t="str">
            <v>Sensitivity (cc/FA)</v>
          </cell>
          <cell r="CH8">
            <v>0</v>
          </cell>
          <cell r="CI8">
            <v>0</v>
          </cell>
          <cell r="CJ8">
            <v>0</v>
          </cell>
          <cell r="CK8">
            <v>0</v>
          </cell>
          <cell r="CL8">
            <v>0</v>
          </cell>
          <cell r="CM8">
            <v>0</v>
          </cell>
          <cell r="CN8">
            <v>0</v>
          </cell>
          <cell r="CO8">
            <v>0</v>
          </cell>
          <cell r="CP8">
            <v>0</v>
          </cell>
          <cell r="CQ8">
            <v>0</v>
          </cell>
          <cell r="CR8">
            <v>0</v>
          </cell>
          <cell r="CS8">
            <v>0</v>
          </cell>
          <cell r="CT8">
            <v>0</v>
          </cell>
          <cell r="CU8">
            <v>0</v>
          </cell>
          <cell r="CV8">
            <v>0</v>
          </cell>
          <cell r="CW8" t="str">
            <v>40/36 cup</v>
          </cell>
          <cell r="CX8">
            <v>0</v>
          </cell>
          <cell r="CY8" t="str">
            <v>40/36 CDD</v>
          </cell>
          <cell r="CZ8">
            <v>0</v>
          </cell>
          <cell r="DA8" t="str">
            <v>Baseline</v>
          </cell>
          <cell r="DB8" t="str">
            <v>peak center</v>
          </cell>
        </row>
        <row r="9">
          <cell r="A9">
            <v>0</v>
          </cell>
          <cell r="B9">
            <v>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20</v>
          </cell>
          <cell r="I9">
            <v>21</v>
          </cell>
          <cell r="J9">
            <v>22</v>
          </cell>
          <cell r="K9" t="str">
            <v>err20</v>
          </cell>
          <cell r="L9" t="str">
            <v>err21</v>
          </cell>
          <cell r="M9" t="str">
            <v>err22</v>
          </cell>
          <cell r="N9">
            <v>40</v>
          </cell>
          <cell r="O9">
            <v>44</v>
          </cell>
          <cell r="P9" t="str">
            <v>err40</v>
          </cell>
          <cell r="Q9" t="str">
            <v>err44</v>
          </cell>
          <cell r="R9">
            <v>0</v>
          </cell>
          <cell r="S9">
            <v>0</v>
          </cell>
          <cell r="T9" t="str">
            <v>err20/22</v>
          </cell>
          <cell r="U9" t="str">
            <v>err21/22</v>
          </cell>
          <cell r="V9">
            <v>40</v>
          </cell>
          <cell r="W9">
            <v>39</v>
          </cell>
          <cell r="X9">
            <v>38</v>
          </cell>
          <cell r="Y9">
            <v>37</v>
          </cell>
          <cell r="Z9">
            <v>36</v>
          </cell>
          <cell r="AA9" t="str">
            <v>error40</v>
          </cell>
          <cell r="AB9" t="str">
            <v>error39</v>
          </cell>
          <cell r="AC9" t="str">
            <v>error38</v>
          </cell>
          <cell r="AD9" t="str">
            <v>error37</v>
          </cell>
          <cell r="AE9" t="str">
            <v>error36</v>
          </cell>
          <cell r="AF9">
            <v>40</v>
          </cell>
          <cell r="AG9">
            <v>39</v>
          </cell>
          <cell r="AH9">
            <v>38</v>
          </cell>
          <cell r="AI9">
            <v>37</v>
          </cell>
          <cell r="AJ9">
            <v>36</v>
          </cell>
          <cell r="AK9" t="str">
            <v>error40</v>
          </cell>
          <cell r="AL9" t="str">
            <v>error39</v>
          </cell>
          <cell r="AM9" t="str">
            <v>error38</v>
          </cell>
          <cell r="AN9" t="str">
            <v>error37</v>
          </cell>
          <cell r="AO9" t="str">
            <v>error36</v>
          </cell>
          <cell r="AP9">
            <v>0</v>
          </cell>
          <cell r="AQ9">
            <v>0</v>
          </cell>
          <cell r="AR9" t="str">
            <v>error</v>
          </cell>
          <cell r="AS9" t="str">
            <v>error</v>
          </cell>
          <cell r="AT9">
            <v>0</v>
          </cell>
          <cell r="AU9">
            <v>0</v>
          </cell>
          <cell r="AV9">
            <v>0</v>
          </cell>
          <cell r="AW9" t="str">
            <v>error</v>
          </cell>
          <cell r="AX9" t="str">
            <v>error</v>
          </cell>
          <cell r="AY9">
            <v>80</v>
          </cell>
          <cell r="AZ9">
            <v>82</v>
          </cell>
          <cell r="BA9">
            <v>84</v>
          </cell>
          <cell r="BB9">
            <v>86</v>
          </cell>
          <cell r="BC9">
            <v>84</v>
          </cell>
          <cell r="BD9" t="str">
            <v>error86</v>
          </cell>
          <cell r="BE9" t="str">
            <v>error84</v>
          </cell>
          <cell r="BF9" t="str">
            <v>error82</v>
          </cell>
          <cell r="BG9" t="str">
            <v>error80</v>
          </cell>
          <cell r="BH9" t="str">
            <v>error84</v>
          </cell>
          <cell r="BI9">
            <v>0</v>
          </cell>
          <cell r="BJ9" t="str">
            <v>error</v>
          </cell>
          <cell r="BK9">
            <v>0</v>
          </cell>
          <cell r="BL9" t="str">
            <v>error</v>
          </cell>
          <cell r="BM9">
            <v>128</v>
          </cell>
          <cell r="BN9">
            <v>129</v>
          </cell>
          <cell r="BO9">
            <v>130</v>
          </cell>
          <cell r="BP9">
            <v>131</v>
          </cell>
          <cell r="BQ9">
            <v>132</v>
          </cell>
          <cell r="BR9">
            <v>134</v>
          </cell>
          <cell r="BS9">
            <v>136</v>
          </cell>
          <cell r="BT9" t="str">
            <v>error128</v>
          </cell>
          <cell r="BU9" t="str">
            <v>error129</v>
          </cell>
          <cell r="BV9" t="str">
            <v>error130</v>
          </cell>
          <cell r="BW9" t="str">
            <v>error131</v>
          </cell>
          <cell r="BX9" t="str">
            <v>error132</v>
          </cell>
          <cell r="BY9" t="str">
            <v>error134</v>
          </cell>
          <cell r="BZ9" t="str">
            <v>error136</v>
          </cell>
          <cell r="CA9">
            <v>0</v>
          </cell>
          <cell r="CB9">
            <v>0</v>
          </cell>
          <cell r="CC9">
            <v>0</v>
          </cell>
          <cell r="CD9" t="str">
            <v>error</v>
          </cell>
          <cell r="CE9" t="str">
            <v>error</v>
          </cell>
          <cell r="CF9" t="str">
            <v>error</v>
          </cell>
          <cell r="CG9" t="str">
            <v>22Ne on CDD</v>
          </cell>
          <cell r="CH9" t="str">
            <v>error22</v>
          </cell>
          <cell r="CI9" t="str">
            <v>20Ne on CDD</v>
          </cell>
          <cell r="CJ9" t="str">
            <v>error20</v>
          </cell>
          <cell r="CK9" t="str">
            <v>21Ne on CDD</v>
          </cell>
          <cell r="CL9" t="str">
            <v>error21</v>
          </cell>
          <cell r="CM9" t="str">
            <v>40Ar on H2</v>
          </cell>
          <cell r="CN9" t="str">
            <v>error40</v>
          </cell>
          <cell r="CO9" t="str">
            <v>40Ar on H1</v>
          </cell>
          <cell r="CP9" t="str">
            <v>error40</v>
          </cell>
          <cell r="CQ9" t="str">
            <v>84Kr on CUP</v>
          </cell>
          <cell r="CR9" t="str">
            <v>error84</v>
          </cell>
          <cell r="CS9" t="str">
            <v>84Kr on CDD</v>
          </cell>
          <cell r="CT9" t="str">
            <v>error84</v>
          </cell>
          <cell r="CU9" t="str">
            <v>132Xe</v>
          </cell>
          <cell r="CV9" t="str">
            <v>error132</v>
          </cell>
          <cell r="CW9" t="str">
            <v>RATIO FIT</v>
          </cell>
          <cell r="CX9">
            <v>0</v>
          </cell>
          <cell r="CY9" t="str">
            <v>RATIO FIT</v>
          </cell>
          <cell r="CZ9">
            <v>0</v>
          </cell>
          <cell r="DA9">
            <v>0</v>
          </cell>
          <cell r="DB9">
            <v>0</v>
          </cell>
        </row>
        <row r="10">
          <cell r="A10">
            <v>42019.595659722225</v>
          </cell>
          <cell r="B10" t="str">
            <v>laser line closed</v>
          </cell>
          <cell r="E10" t="str">
            <v>ArArdating_STD_1shot</v>
          </cell>
          <cell r="F10">
            <v>1</v>
          </cell>
          <cell r="G10">
            <v>1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19568.802113000002</v>
          </cell>
          <cell r="W10">
            <v>0.89754100000000003</v>
          </cell>
          <cell r="X10">
            <v>12.257904</v>
          </cell>
          <cell r="Y10">
            <v>1.6664000000000002E-2</v>
          </cell>
          <cell r="Z10">
            <v>65.045176999999995</v>
          </cell>
          <cell r="AA10">
            <v>4.5453070000000002</v>
          </cell>
          <cell r="AB10">
            <v>2.877E-2</v>
          </cell>
          <cell r="AC10">
            <v>3.1671999999999999E-2</v>
          </cell>
          <cell r="AD10">
            <v>1.9224999999999999E-2</v>
          </cell>
          <cell r="AE10">
            <v>3.0641000000000002E-2</v>
          </cell>
          <cell r="AF10">
            <v>0</v>
          </cell>
          <cell r="AK10">
            <v>0</v>
          </cell>
          <cell r="AL10">
            <v>0</v>
          </cell>
          <cell r="AM10">
            <v>0</v>
          </cell>
          <cell r="AN10">
            <v>0</v>
          </cell>
          <cell r="AP10">
            <v>300.86059795672639</v>
          </cell>
          <cell r="AQ10">
            <v>0</v>
          </cell>
          <cell r="AR10">
            <v>0.15801919060848379</v>
          </cell>
          <cell r="AS10">
            <v>0</v>
          </cell>
          <cell r="AT10">
            <v>0</v>
          </cell>
          <cell r="AU10">
            <v>0.18845215841291355</v>
          </cell>
          <cell r="AV10">
            <v>0</v>
          </cell>
          <cell r="AW10">
            <v>4.9494954768713854E-4</v>
          </cell>
          <cell r="AX10">
            <v>0</v>
          </cell>
          <cell r="BD10">
            <v>0</v>
          </cell>
          <cell r="BE10">
            <v>0</v>
          </cell>
          <cell r="BF10">
            <v>0</v>
          </cell>
          <cell r="BG10">
            <v>0</v>
          </cell>
          <cell r="BI10">
            <v>0</v>
          </cell>
          <cell r="BJ10">
            <v>0</v>
          </cell>
          <cell r="BK10">
            <v>0</v>
          </cell>
          <cell r="BL10">
            <v>0</v>
          </cell>
          <cell r="BM10">
            <v>0</v>
          </cell>
          <cell r="BN10">
            <v>0</v>
          </cell>
          <cell r="BO10">
            <v>0</v>
          </cell>
          <cell r="BP10">
            <v>0</v>
          </cell>
          <cell r="BQ10">
            <v>0</v>
          </cell>
          <cell r="BR10">
            <v>0</v>
          </cell>
          <cell r="BS10">
            <v>0</v>
          </cell>
          <cell r="BT10">
            <v>0</v>
          </cell>
          <cell r="BU10">
            <v>0</v>
          </cell>
          <cell r="BV10">
            <v>0</v>
          </cell>
          <cell r="BW10">
            <v>0</v>
          </cell>
          <cell r="BX10">
            <v>0</v>
          </cell>
          <cell r="BY10">
            <v>0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0</v>
          </cell>
          <cell r="CE10">
            <v>0</v>
          </cell>
          <cell r="CF10">
            <v>0</v>
          </cell>
          <cell r="CG10">
            <v>0</v>
          </cell>
          <cell r="CH10">
            <v>0</v>
          </cell>
          <cell r="CI10">
            <v>0</v>
          </cell>
          <cell r="CJ10">
            <v>0</v>
          </cell>
          <cell r="CK10">
            <v>0</v>
          </cell>
          <cell r="CL10">
            <v>0</v>
          </cell>
          <cell r="CM10">
            <v>1.2123270127554854E-12</v>
          </cell>
          <cell r="CN10">
            <v>2.8314550853151535E-16</v>
          </cell>
          <cell r="CO10">
            <v>0</v>
          </cell>
          <cell r="CP10">
            <v>0</v>
          </cell>
          <cell r="CQ10">
            <v>0</v>
          </cell>
          <cell r="CR10">
            <v>0</v>
          </cell>
          <cell r="CS10">
            <v>0</v>
          </cell>
          <cell r="CT10">
            <v>0</v>
          </cell>
          <cell r="CU10">
            <v>0</v>
          </cell>
          <cell r="CV10">
            <v>0</v>
          </cell>
          <cell r="CW10">
            <v>300.96385600000002</v>
          </cell>
          <cell r="CX10">
            <v>0</v>
          </cell>
          <cell r="CY10">
            <v>0.18814</v>
          </cell>
          <cell r="CZ10">
            <v>0</v>
          </cell>
          <cell r="DA10" t="str">
            <v>Extrap</v>
          </cell>
          <cell r="DB10" t="str">
            <v>NO</v>
          </cell>
        </row>
        <row r="11">
          <cell r="A11">
            <v>42019.619074074071</v>
          </cell>
          <cell r="B11" t="str">
            <v>laser line closed</v>
          </cell>
          <cell r="E11" t="str">
            <v>ArArdating_STD_1shot</v>
          </cell>
          <cell r="F11">
            <v>1</v>
          </cell>
          <cell r="G11">
            <v>2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19519.430259000001</v>
          </cell>
          <cell r="W11">
            <v>0.91900800000000005</v>
          </cell>
          <cell r="X11">
            <v>12.240551999999999</v>
          </cell>
          <cell r="Y11">
            <v>9.3700000000000001E-4</v>
          </cell>
          <cell r="Z11">
            <v>65.089944000000003</v>
          </cell>
          <cell r="AA11">
            <v>5.2751159999999997</v>
          </cell>
          <cell r="AB11">
            <v>4.1492000000000001E-2</v>
          </cell>
          <cell r="AC11">
            <v>2.9204000000000001E-2</v>
          </cell>
          <cell r="AD11">
            <v>3.8621000000000003E-2</v>
          </cell>
          <cell r="AE11">
            <v>6.5948000000000007E-2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P11">
            <v>299.88396147644556</v>
          </cell>
          <cell r="AQ11">
            <v>0</v>
          </cell>
          <cell r="AR11">
            <v>0.31446001594377931</v>
          </cell>
          <cell r="AS11">
            <v>0</v>
          </cell>
          <cell r="AT11">
            <v>0</v>
          </cell>
          <cell r="AU11">
            <v>0.18805596145542849</v>
          </cell>
          <cell r="AV11">
            <v>0</v>
          </cell>
          <cell r="AW11">
            <v>4.8745222791768606E-4</v>
          </cell>
          <cell r="AX11">
            <v>0</v>
          </cell>
          <cell r="BD11">
            <v>0</v>
          </cell>
          <cell r="BE11">
            <v>0</v>
          </cell>
          <cell r="BF11">
            <v>0</v>
          </cell>
          <cell r="BG11">
            <v>0</v>
          </cell>
          <cell r="BI11">
            <v>0</v>
          </cell>
          <cell r="BJ11">
            <v>0</v>
          </cell>
          <cell r="BK11">
            <v>0</v>
          </cell>
          <cell r="BL11">
            <v>0</v>
          </cell>
          <cell r="BM11">
            <v>0</v>
          </cell>
          <cell r="BN11">
            <v>0</v>
          </cell>
          <cell r="BO11">
            <v>0</v>
          </cell>
          <cell r="BP11">
            <v>0</v>
          </cell>
          <cell r="BQ11">
            <v>0</v>
          </cell>
          <cell r="BR11">
            <v>0</v>
          </cell>
          <cell r="BS11">
            <v>0</v>
          </cell>
          <cell r="BT11">
            <v>0</v>
          </cell>
          <cell r="BU11">
            <v>0</v>
          </cell>
          <cell r="BV11">
            <v>0</v>
          </cell>
          <cell r="BW11">
            <v>0</v>
          </cell>
          <cell r="BX11">
            <v>0</v>
          </cell>
          <cell r="BY11">
            <v>0</v>
          </cell>
          <cell r="BZ11">
            <v>0</v>
          </cell>
          <cell r="CA11">
            <v>0</v>
          </cell>
          <cell r="CB11">
            <v>0</v>
          </cell>
          <cell r="CC11">
            <v>0</v>
          </cell>
          <cell r="CD11">
            <v>0</v>
          </cell>
          <cell r="CE11">
            <v>0</v>
          </cell>
          <cell r="CF11">
            <v>0</v>
          </cell>
          <cell r="CG11">
            <v>0</v>
          </cell>
          <cell r="CH11">
            <v>0</v>
          </cell>
          <cell r="CI11">
            <v>0</v>
          </cell>
          <cell r="CJ11">
            <v>0</v>
          </cell>
          <cell r="CK11">
            <v>0</v>
          </cell>
          <cell r="CL11">
            <v>0</v>
          </cell>
          <cell r="CM11">
            <v>1.2152960841152814E-12</v>
          </cell>
          <cell r="CN11">
            <v>3.3019469390417659E-16</v>
          </cell>
          <cell r="CO11">
            <v>0</v>
          </cell>
          <cell r="CP11">
            <v>0</v>
          </cell>
          <cell r="CQ11">
            <v>0</v>
          </cell>
          <cell r="CR11">
            <v>0</v>
          </cell>
          <cell r="CS11">
            <v>0</v>
          </cell>
          <cell r="CT11">
            <v>0</v>
          </cell>
          <cell r="CU11">
            <v>0</v>
          </cell>
          <cell r="CV11">
            <v>0</v>
          </cell>
          <cell r="CW11">
            <v>300.200649</v>
          </cell>
          <cell r="CX11">
            <v>0</v>
          </cell>
          <cell r="CY11">
            <v>0.18875400000000001</v>
          </cell>
          <cell r="CZ11">
            <v>0</v>
          </cell>
          <cell r="DA11" t="str">
            <v>Extrap</v>
          </cell>
          <cell r="DB11" t="str">
            <v>YES</v>
          </cell>
        </row>
      </sheetData>
      <sheetData sheetId="5" refreshError="1"/>
      <sheetData sheetId="6">
        <row r="1">
          <cell r="C1">
            <v>0.67922336541652839</v>
          </cell>
        </row>
      </sheetData>
      <sheetData sheetId="7"/>
      <sheetData sheetId="8">
        <row r="1">
          <cell r="C1">
            <v>0.96694652964210603</v>
          </cell>
        </row>
      </sheetData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B3GR"/>
      <sheetName val="Shallowater_Main"/>
      <sheetName val="Scapolite"/>
      <sheetName val="Sample"/>
      <sheetName val="STD_ARGUS130115"/>
      <sheetName val="Isochron2"/>
      <sheetName val="PlotDat2"/>
      <sheetName val="PlotDat3"/>
      <sheetName val="PlotDat4"/>
      <sheetName val="Shallowater_Step Heating"/>
    </sheetNames>
    <sheetDataSet>
      <sheetData sheetId="0"/>
      <sheetData sheetId="1"/>
      <sheetData sheetId="2"/>
      <sheetData sheetId="3"/>
      <sheetData sheetId="4">
        <row r="1">
          <cell r="A1" t="str">
            <v>Bottle filled:</v>
          </cell>
          <cell r="B1">
            <v>41821</v>
          </cell>
          <cell r="C1">
            <v>0</v>
          </cell>
          <cell r="D1">
            <v>0</v>
          </cell>
          <cell r="E1">
            <v>0</v>
          </cell>
          <cell r="F1">
            <v>0</v>
          </cell>
          <cell r="G1">
            <v>0</v>
          </cell>
          <cell r="H1">
            <v>0</v>
          </cell>
          <cell r="I1">
            <v>0</v>
          </cell>
          <cell r="J1">
            <v>0</v>
          </cell>
          <cell r="K1">
            <v>0</v>
          </cell>
          <cell r="L1">
            <v>0</v>
          </cell>
          <cell r="M1">
            <v>0</v>
          </cell>
          <cell r="N1">
            <v>0</v>
          </cell>
          <cell r="O1">
            <v>0</v>
          </cell>
          <cell r="P1">
            <v>0</v>
          </cell>
          <cell r="Q1">
            <v>0</v>
          </cell>
          <cell r="R1">
            <v>0</v>
          </cell>
          <cell r="S1">
            <v>0</v>
          </cell>
          <cell r="T1">
            <v>0</v>
          </cell>
          <cell r="U1">
            <v>0</v>
          </cell>
          <cell r="V1">
            <v>0</v>
          </cell>
          <cell r="AC1" t="str">
            <v>Pressure Bottle=</v>
          </cell>
          <cell r="AD1">
            <v>0</v>
          </cell>
          <cell r="AE1">
            <v>1.9279999999999999E-2</v>
          </cell>
          <cell r="AF1" t="str">
            <v>torr</v>
          </cell>
          <cell r="AH1" t="str">
            <v>40Ar(bottle)=</v>
          </cell>
          <cell r="AJ1">
            <v>1.7935489919999997E-4</v>
          </cell>
          <cell r="AK1" t="str">
            <v>Torr</v>
          </cell>
          <cell r="AL1">
            <v>2.3599328842105261E-8</v>
          </cell>
          <cell r="AM1" t="str">
            <v>cc</v>
          </cell>
          <cell r="AO1">
            <v>0</v>
          </cell>
        </row>
        <row r="2">
          <cell r="A2" t="str">
            <v>Filled by:</v>
          </cell>
          <cell r="B2" t="str">
            <v>Ray Burgess</v>
          </cell>
          <cell r="C2">
            <v>0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>
            <v>0</v>
          </cell>
          <cell r="T2">
            <v>0</v>
          </cell>
          <cell r="U2">
            <v>0</v>
          </cell>
          <cell r="V2">
            <v>0</v>
          </cell>
          <cell r="AC2" t="str">
            <v>Volume Bottle=</v>
          </cell>
          <cell r="AD2">
            <v>0</v>
          </cell>
          <cell r="AE2">
            <v>2154.7530000000002</v>
          </cell>
          <cell r="AF2" t="str">
            <v>cc</v>
          </cell>
          <cell r="AH2" t="str">
            <v>84Kr(bottle)=</v>
          </cell>
          <cell r="AJ2">
            <v>1.2528143999999999E-8</v>
          </cell>
          <cell r="AK2" t="str">
            <v>Torr</v>
          </cell>
          <cell r="AL2">
            <v>1.6484399999999998E-12</v>
          </cell>
          <cell r="AM2" t="str">
            <v>cc</v>
          </cell>
          <cell r="AO2">
            <v>0</v>
          </cell>
        </row>
        <row r="3">
          <cell r="A3" t="str">
            <v>Details:</v>
          </cell>
          <cell r="B3" t="str">
            <v xml:space="preserve">Argus argon bottle has been refilled with a pressure of 0.01928 torr Air STP as measured on the baratron on the MS1 calibration line. </v>
          </cell>
          <cell r="C3">
            <v>0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AH3" t="str">
            <v>132Xe(bottle)=</v>
          </cell>
          <cell r="AJ3">
            <v>4.510421039999999E-10</v>
          </cell>
          <cell r="AK3" t="str">
            <v>Torr</v>
          </cell>
          <cell r="AL3">
            <v>5.9347645263157885E-14</v>
          </cell>
          <cell r="AM3" t="str">
            <v>cc</v>
          </cell>
        </row>
        <row r="4">
          <cell r="A4">
            <v>0</v>
          </cell>
          <cell r="B4" t="str">
            <v xml:space="preserve">The bottle was baked under UHV at about 150 deg-C for 15 hours prior to filling. 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>
            <v>0</v>
          </cell>
          <cell r="U4">
            <v>0</v>
          </cell>
          <cell r="V4">
            <v>0</v>
          </cell>
          <cell r="AH4" t="str">
            <v>22Ne(bottle)</v>
          </cell>
          <cell r="AJ4">
            <v>3.2352109919999994E-8</v>
          </cell>
          <cell r="AK4" t="str">
            <v>Torr</v>
          </cell>
          <cell r="AL4">
            <v>4.2568565684210527E-12</v>
          </cell>
          <cell r="AM4" t="str">
            <v>cc</v>
          </cell>
        </row>
        <row r="5">
          <cell r="A5">
            <v>0</v>
          </cell>
          <cell r="B5" t="str">
            <v xml:space="preserve">The new fill pressure is 20% higher than the previous one </v>
          </cell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AH5" t="str">
            <v>20Ne(bottle)</v>
          </cell>
          <cell r="AJ5">
            <v>3.1721191199999997E-7</v>
          </cell>
          <cell r="AK5" t="str">
            <v>Torr</v>
          </cell>
          <cell r="AL5">
            <v>4.1738409473684211E-11</v>
          </cell>
          <cell r="AM5" t="str">
            <v>cc</v>
          </cell>
        </row>
        <row r="6">
          <cell r="A6" t="str">
            <v>Air ratios</v>
          </cell>
          <cell r="B6">
            <v>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 t="str">
            <v>21Ne(bottle)</v>
          </cell>
          <cell r="AI6">
            <v>0</v>
          </cell>
          <cell r="AJ6">
            <v>9.3936787199999994E-10</v>
          </cell>
          <cell r="AK6" t="str">
            <v>Torr</v>
          </cell>
          <cell r="AL6">
            <v>1.2360103578947366E-13</v>
          </cell>
          <cell r="AM6" t="str">
            <v>cc</v>
          </cell>
          <cell r="AP6">
            <v>298.56</v>
          </cell>
          <cell r="AQ6">
            <v>298.56</v>
          </cell>
          <cell r="AR6">
            <v>0</v>
          </cell>
          <cell r="AS6">
            <v>0</v>
          </cell>
          <cell r="AT6">
            <v>0</v>
          </cell>
          <cell r="AU6">
            <v>0.188</v>
          </cell>
          <cell r="AV6">
            <v>0.188</v>
          </cell>
          <cell r="AW6">
            <v>0</v>
          </cell>
          <cell r="AX6">
            <v>0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0</v>
          </cell>
          <cell r="BD6">
            <v>0</v>
          </cell>
          <cell r="BE6">
            <v>0</v>
          </cell>
          <cell r="BH6">
            <v>0</v>
          </cell>
          <cell r="BI6">
            <v>0.20216999999999999</v>
          </cell>
          <cell r="BJ6">
            <v>0</v>
          </cell>
          <cell r="BK6">
            <v>0</v>
          </cell>
          <cell r="BL6">
            <v>0</v>
          </cell>
          <cell r="BM6">
            <v>0</v>
          </cell>
          <cell r="BN6">
            <v>0</v>
          </cell>
          <cell r="BO6">
            <v>0</v>
          </cell>
          <cell r="BP6">
            <v>0</v>
          </cell>
          <cell r="BQ6">
            <v>0</v>
          </cell>
          <cell r="BR6">
            <v>0</v>
          </cell>
          <cell r="BS6">
            <v>0</v>
          </cell>
          <cell r="BT6">
            <v>0</v>
          </cell>
          <cell r="BU6">
            <v>0</v>
          </cell>
          <cell r="BV6">
            <v>0</v>
          </cell>
          <cell r="BW6">
            <v>0</v>
          </cell>
          <cell r="BX6">
            <v>0</v>
          </cell>
          <cell r="BY6">
            <v>0</v>
          </cell>
          <cell r="BZ6">
            <v>0</v>
          </cell>
          <cell r="CA6">
            <v>0.98319999999999996</v>
          </cell>
          <cell r="CB6">
            <v>0.78900000000000003</v>
          </cell>
          <cell r="CC6">
            <v>0.32940000000000003</v>
          </cell>
          <cell r="CD6">
            <v>0</v>
          </cell>
          <cell r="CE6">
            <v>0</v>
          </cell>
          <cell r="CF6">
            <v>0</v>
          </cell>
          <cell r="CG6">
            <v>0</v>
          </cell>
          <cell r="CH6">
            <v>0</v>
          </cell>
          <cell r="CI6">
            <v>0</v>
          </cell>
          <cell r="CJ6">
            <v>0</v>
          </cell>
          <cell r="CK6">
            <v>0</v>
          </cell>
          <cell r="CL6">
            <v>0</v>
          </cell>
          <cell r="CM6">
            <v>0</v>
          </cell>
          <cell r="CN6">
            <v>0</v>
          </cell>
          <cell r="CO6">
            <v>0</v>
          </cell>
          <cell r="CP6">
            <v>0</v>
          </cell>
          <cell r="CQ6">
            <v>0</v>
          </cell>
          <cell r="CR6">
            <v>0</v>
          </cell>
          <cell r="CS6">
            <v>0</v>
          </cell>
          <cell r="CT6">
            <v>0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</row>
        <row r="7">
          <cell r="A7" t="str">
            <v>Shot Record</v>
          </cell>
        </row>
        <row r="8">
          <cell r="A8" t="str">
            <v>Date</v>
          </cell>
          <cell r="B8" t="str">
            <v>details</v>
          </cell>
          <cell r="C8" t="str">
            <v>comment</v>
          </cell>
          <cell r="D8" t="str">
            <v>Experiment name</v>
          </cell>
          <cell r="E8" t="str">
            <v>Script (Ar-Ar/Halogen)</v>
          </cell>
          <cell r="F8" t="str">
            <v>Number of shots</v>
          </cell>
          <cell r="G8" t="str">
            <v>Cumulative number of shots</v>
          </cell>
          <cell r="H8" t="str">
            <v>CDD</v>
          </cell>
          <cell r="I8">
            <v>0</v>
          </cell>
          <cell r="J8">
            <v>0</v>
          </cell>
          <cell r="K8" t="str">
            <v>CDD</v>
          </cell>
          <cell r="L8">
            <v>0</v>
          </cell>
          <cell r="M8">
            <v>0</v>
          </cell>
          <cell r="N8" t="str">
            <v>Faraday</v>
          </cell>
          <cell r="O8">
            <v>0</v>
          </cell>
          <cell r="P8">
            <v>0</v>
          </cell>
          <cell r="Q8">
            <v>0</v>
          </cell>
          <cell r="R8" t="str">
            <v>20/22</v>
          </cell>
          <cell r="S8" t="str">
            <v>21/22</v>
          </cell>
          <cell r="T8">
            <v>0</v>
          </cell>
          <cell r="U8">
            <v>0</v>
          </cell>
          <cell r="V8" t="str">
            <v>Faradays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 t="str">
            <v>Faradays</v>
          </cell>
          <cell r="AG8">
            <v>0</v>
          </cell>
          <cell r="AH8">
            <v>0</v>
          </cell>
          <cell r="AI8">
            <v>0</v>
          </cell>
          <cell r="AJ8" t="str">
            <v>CDD</v>
          </cell>
          <cell r="AK8" t="str">
            <v>Faradays</v>
          </cell>
          <cell r="AL8">
            <v>0</v>
          </cell>
          <cell r="AM8">
            <v>0</v>
          </cell>
          <cell r="AN8">
            <v>0</v>
          </cell>
          <cell r="AO8" t="str">
            <v>CDD</v>
          </cell>
          <cell r="AP8" t="str">
            <v>40/36 cup</v>
          </cell>
          <cell r="AQ8" t="str">
            <v>40/36 CDD</v>
          </cell>
          <cell r="AR8">
            <v>0</v>
          </cell>
          <cell r="AS8">
            <v>0</v>
          </cell>
          <cell r="AT8" t="str">
            <v>Yield 36 CDD / 36 CUP</v>
          </cell>
          <cell r="AU8" t="str">
            <v>38/36 cup</v>
          </cell>
          <cell r="AV8" t="str">
            <v>38/36 CDD</v>
          </cell>
          <cell r="AW8">
            <v>0</v>
          </cell>
          <cell r="AX8">
            <v>0</v>
          </cell>
          <cell r="AY8" t="str">
            <v>Faradays</v>
          </cell>
          <cell r="AZ8">
            <v>0</v>
          </cell>
          <cell r="BA8">
            <v>0</v>
          </cell>
          <cell r="BB8">
            <v>0</v>
          </cell>
          <cell r="BC8" t="str">
            <v>CDD</v>
          </cell>
          <cell r="BD8" t="str">
            <v>Faradays</v>
          </cell>
          <cell r="BE8">
            <v>0</v>
          </cell>
          <cell r="BF8">
            <v>0</v>
          </cell>
          <cell r="BG8">
            <v>0</v>
          </cell>
          <cell r="BH8" t="str">
            <v>CDD</v>
          </cell>
          <cell r="BI8" t="str">
            <v>82/84</v>
          </cell>
          <cell r="BJ8">
            <v>0</v>
          </cell>
          <cell r="BK8" t="str">
            <v xml:space="preserve">Yield 84 </v>
          </cell>
          <cell r="BL8">
            <v>0</v>
          </cell>
          <cell r="BM8" t="str">
            <v>CDD</v>
          </cell>
          <cell r="BN8">
            <v>0</v>
          </cell>
          <cell r="BO8">
            <v>0</v>
          </cell>
          <cell r="BP8">
            <v>0</v>
          </cell>
          <cell r="BQ8">
            <v>0</v>
          </cell>
          <cell r="BR8">
            <v>0</v>
          </cell>
          <cell r="BS8">
            <v>0</v>
          </cell>
          <cell r="BT8" t="str">
            <v>CDD</v>
          </cell>
          <cell r="BU8">
            <v>0</v>
          </cell>
          <cell r="BV8">
            <v>0</v>
          </cell>
          <cell r="BW8">
            <v>0</v>
          </cell>
          <cell r="BX8">
            <v>0</v>
          </cell>
          <cell r="BY8">
            <v>0</v>
          </cell>
          <cell r="BZ8">
            <v>0</v>
          </cell>
          <cell r="CA8" t="str">
            <v>129/132</v>
          </cell>
          <cell r="CB8" t="str">
            <v>131/132</v>
          </cell>
          <cell r="CC8" t="str">
            <v>136/132</v>
          </cell>
          <cell r="CD8" t="str">
            <v>129/132</v>
          </cell>
          <cell r="CE8" t="str">
            <v>131/132</v>
          </cell>
          <cell r="CF8" t="str">
            <v>136/132</v>
          </cell>
          <cell r="CG8" t="str">
            <v>Sensitivity (cc/FA)</v>
          </cell>
          <cell r="CH8">
            <v>0</v>
          </cell>
          <cell r="CI8">
            <v>0</v>
          </cell>
          <cell r="CJ8">
            <v>0</v>
          </cell>
          <cell r="CK8">
            <v>0</v>
          </cell>
          <cell r="CL8">
            <v>0</v>
          </cell>
          <cell r="CM8">
            <v>0</v>
          </cell>
          <cell r="CN8">
            <v>0</v>
          </cell>
          <cell r="CO8">
            <v>0</v>
          </cell>
          <cell r="CP8">
            <v>0</v>
          </cell>
          <cell r="CQ8">
            <v>0</v>
          </cell>
          <cell r="CR8">
            <v>0</v>
          </cell>
          <cell r="CS8">
            <v>0</v>
          </cell>
          <cell r="CT8">
            <v>0</v>
          </cell>
          <cell r="CU8">
            <v>0</v>
          </cell>
          <cell r="CV8">
            <v>0</v>
          </cell>
          <cell r="CW8" t="str">
            <v>40/36 cup</v>
          </cell>
          <cell r="CX8">
            <v>0</v>
          </cell>
          <cell r="CY8" t="str">
            <v>40/36 CDD</v>
          </cell>
          <cell r="CZ8">
            <v>0</v>
          </cell>
          <cell r="DA8" t="str">
            <v>Baseline</v>
          </cell>
          <cell r="DB8" t="str">
            <v>peak center</v>
          </cell>
        </row>
        <row r="9">
          <cell r="A9">
            <v>0</v>
          </cell>
          <cell r="B9">
            <v>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20</v>
          </cell>
          <cell r="I9">
            <v>21</v>
          </cell>
          <cell r="J9">
            <v>22</v>
          </cell>
          <cell r="K9" t="str">
            <v>err20</v>
          </cell>
          <cell r="L9" t="str">
            <v>err21</v>
          </cell>
          <cell r="M9" t="str">
            <v>err22</v>
          </cell>
          <cell r="N9">
            <v>40</v>
          </cell>
          <cell r="O9">
            <v>44</v>
          </cell>
          <cell r="P9" t="str">
            <v>err40</v>
          </cell>
          <cell r="Q9" t="str">
            <v>err44</v>
          </cell>
          <cell r="R9">
            <v>0</v>
          </cell>
          <cell r="S9">
            <v>0</v>
          </cell>
          <cell r="T9" t="str">
            <v>err20/22</v>
          </cell>
          <cell r="U9" t="str">
            <v>err21/22</v>
          </cell>
          <cell r="V9">
            <v>40</v>
          </cell>
          <cell r="W9">
            <v>39</v>
          </cell>
          <cell r="X9">
            <v>38</v>
          </cell>
          <cell r="Y9">
            <v>37</v>
          </cell>
          <cell r="Z9">
            <v>36</v>
          </cell>
          <cell r="AA9" t="str">
            <v>error40</v>
          </cell>
          <cell r="AB9" t="str">
            <v>error39</v>
          </cell>
          <cell r="AC9" t="str">
            <v>error38</v>
          </cell>
          <cell r="AD9" t="str">
            <v>error37</v>
          </cell>
          <cell r="AE9" t="str">
            <v>error36</v>
          </cell>
          <cell r="AF9">
            <v>40</v>
          </cell>
          <cell r="AG9">
            <v>39</v>
          </cell>
          <cell r="AH9">
            <v>38</v>
          </cell>
          <cell r="AI9">
            <v>37</v>
          </cell>
          <cell r="AJ9">
            <v>36</v>
          </cell>
          <cell r="AK9" t="str">
            <v>error40</v>
          </cell>
          <cell r="AL9" t="str">
            <v>error39</v>
          </cell>
          <cell r="AM9" t="str">
            <v>error38</v>
          </cell>
          <cell r="AN9" t="str">
            <v>error37</v>
          </cell>
          <cell r="AO9" t="str">
            <v>error36</v>
          </cell>
          <cell r="AP9">
            <v>0</v>
          </cell>
          <cell r="AQ9">
            <v>0</v>
          </cell>
          <cell r="AR9" t="str">
            <v>error</v>
          </cell>
          <cell r="AS9" t="str">
            <v>error</v>
          </cell>
          <cell r="AT9">
            <v>0</v>
          </cell>
          <cell r="AU9">
            <v>0</v>
          </cell>
          <cell r="AV9">
            <v>0</v>
          </cell>
          <cell r="AW9" t="str">
            <v>error</v>
          </cell>
          <cell r="AX9" t="str">
            <v>error</v>
          </cell>
          <cell r="AY9">
            <v>80</v>
          </cell>
          <cell r="AZ9">
            <v>82</v>
          </cell>
          <cell r="BA9">
            <v>84</v>
          </cell>
          <cell r="BB9">
            <v>86</v>
          </cell>
          <cell r="BC9">
            <v>84</v>
          </cell>
          <cell r="BD9" t="str">
            <v>error86</v>
          </cell>
          <cell r="BE9" t="str">
            <v>error84</v>
          </cell>
          <cell r="BF9" t="str">
            <v>error82</v>
          </cell>
          <cell r="BG9" t="str">
            <v>error80</v>
          </cell>
          <cell r="BH9" t="str">
            <v>error84</v>
          </cell>
          <cell r="BI9">
            <v>0</v>
          </cell>
          <cell r="BJ9" t="str">
            <v>error</v>
          </cell>
          <cell r="BK9">
            <v>0</v>
          </cell>
          <cell r="BL9" t="str">
            <v>error</v>
          </cell>
          <cell r="BM9">
            <v>128</v>
          </cell>
          <cell r="BN9">
            <v>129</v>
          </cell>
          <cell r="BO9">
            <v>130</v>
          </cell>
          <cell r="BP9">
            <v>131</v>
          </cell>
          <cell r="BQ9">
            <v>132</v>
          </cell>
          <cell r="BR9">
            <v>134</v>
          </cell>
          <cell r="BS9">
            <v>136</v>
          </cell>
          <cell r="BT9" t="str">
            <v>error128</v>
          </cell>
          <cell r="BU9" t="str">
            <v>error129</v>
          </cell>
          <cell r="BV9" t="str">
            <v>error130</v>
          </cell>
          <cell r="BW9" t="str">
            <v>error131</v>
          </cell>
          <cell r="BX9" t="str">
            <v>error132</v>
          </cell>
          <cell r="BY9" t="str">
            <v>error134</v>
          </cell>
          <cell r="BZ9" t="str">
            <v>error136</v>
          </cell>
          <cell r="CA9">
            <v>0</v>
          </cell>
          <cell r="CB9">
            <v>0</v>
          </cell>
          <cell r="CC9">
            <v>0</v>
          </cell>
          <cell r="CD9" t="str">
            <v>error</v>
          </cell>
          <cell r="CE9" t="str">
            <v>error</v>
          </cell>
          <cell r="CF9" t="str">
            <v>error</v>
          </cell>
          <cell r="CG9" t="str">
            <v>22Ne on CDD</v>
          </cell>
          <cell r="CH9" t="str">
            <v>error22</v>
          </cell>
          <cell r="CI9" t="str">
            <v>20Ne on CDD</v>
          </cell>
          <cell r="CJ9" t="str">
            <v>error20</v>
          </cell>
          <cell r="CK9" t="str">
            <v>21Ne on CDD</v>
          </cell>
          <cell r="CL9" t="str">
            <v>error21</v>
          </cell>
          <cell r="CM9" t="str">
            <v>40Ar on H2</v>
          </cell>
          <cell r="CN9" t="str">
            <v>error40</v>
          </cell>
          <cell r="CO9" t="str">
            <v>40Ar on H1</v>
          </cell>
          <cell r="CP9" t="str">
            <v>error40</v>
          </cell>
          <cell r="CQ9" t="str">
            <v>84Kr on CUP</v>
          </cell>
          <cell r="CR9" t="str">
            <v>error84</v>
          </cell>
          <cell r="CS9" t="str">
            <v>84Kr on CDD</v>
          </cell>
          <cell r="CT9" t="str">
            <v>error84</v>
          </cell>
          <cell r="CU9" t="str">
            <v>132Xe</v>
          </cell>
          <cell r="CV9" t="str">
            <v>error132</v>
          </cell>
          <cell r="CW9" t="str">
            <v>RATIO FIT</v>
          </cell>
          <cell r="CX9">
            <v>0</v>
          </cell>
          <cell r="CY9" t="str">
            <v>RATIO FIT</v>
          </cell>
          <cell r="CZ9">
            <v>0</v>
          </cell>
          <cell r="DA9">
            <v>0</v>
          </cell>
          <cell r="DB9">
            <v>0</v>
          </cell>
        </row>
        <row r="10">
          <cell r="A10">
            <v>42019.595659722225</v>
          </cell>
          <cell r="B10" t="str">
            <v>laser line closed</v>
          </cell>
          <cell r="E10" t="str">
            <v>ArArdating_STD_1shot</v>
          </cell>
          <cell r="F10">
            <v>1</v>
          </cell>
          <cell r="G10">
            <v>1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19568.802113000002</v>
          </cell>
          <cell r="W10">
            <v>0.89754100000000003</v>
          </cell>
          <cell r="X10">
            <v>12.257904</v>
          </cell>
          <cell r="Y10">
            <v>1.6664000000000002E-2</v>
          </cell>
          <cell r="Z10">
            <v>65.045176999999995</v>
          </cell>
          <cell r="AA10">
            <v>4.5453070000000002</v>
          </cell>
          <cell r="AB10">
            <v>2.877E-2</v>
          </cell>
          <cell r="AC10">
            <v>3.1671999999999999E-2</v>
          </cell>
          <cell r="AD10">
            <v>1.9224999999999999E-2</v>
          </cell>
          <cell r="AE10">
            <v>3.0641000000000002E-2</v>
          </cell>
          <cell r="AF10">
            <v>0</v>
          </cell>
          <cell r="AK10">
            <v>0</v>
          </cell>
          <cell r="AL10">
            <v>0</v>
          </cell>
          <cell r="AM10">
            <v>0</v>
          </cell>
          <cell r="AN10">
            <v>0</v>
          </cell>
          <cell r="AP10">
            <v>300.86059795672639</v>
          </cell>
          <cell r="AQ10">
            <v>0</v>
          </cell>
          <cell r="AR10">
            <v>0.15801919060848379</v>
          </cell>
          <cell r="AS10">
            <v>0</v>
          </cell>
          <cell r="AT10">
            <v>0</v>
          </cell>
          <cell r="AU10">
            <v>0.18845215841291355</v>
          </cell>
          <cell r="AV10">
            <v>0</v>
          </cell>
          <cell r="AW10">
            <v>4.9494954768713854E-4</v>
          </cell>
          <cell r="AX10">
            <v>0</v>
          </cell>
          <cell r="BD10">
            <v>0</v>
          </cell>
          <cell r="BE10">
            <v>0</v>
          </cell>
          <cell r="BF10">
            <v>0</v>
          </cell>
          <cell r="BG10">
            <v>0</v>
          </cell>
          <cell r="BI10">
            <v>0</v>
          </cell>
          <cell r="BJ10">
            <v>0</v>
          </cell>
          <cell r="BK10">
            <v>0</v>
          </cell>
          <cell r="BL10">
            <v>0</v>
          </cell>
          <cell r="BM10">
            <v>0</v>
          </cell>
          <cell r="BN10">
            <v>0</v>
          </cell>
          <cell r="BO10">
            <v>0</v>
          </cell>
          <cell r="BP10">
            <v>0</v>
          </cell>
          <cell r="BQ10">
            <v>0</v>
          </cell>
          <cell r="BR10">
            <v>0</v>
          </cell>
          <cell r="BS10">
            <v>0</v>
          </cell>
          <cell r="BT10">
            <v>0</v>
          </cell>
          <cell r="BU10">
            <v>0</v>
          </cell>
          <cell r="BV10">
            <v>0</v>
          </cell>
          <cell r="BW10">
            <v>0</v>
          </cell>
          <cell r="BX10">
            <v>0</v>
          </cell>
          <cell r="BY10">
            <v>0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0</v>
          </cell>
          <cell r="CE10">
            <v>0</v>
          </cell>
          <cell r="CF10">
            <v>0</v>
          </cell>
          <cell r="CG10">
            <v>0</v>
          </cell>
          <cell r="CH10">
            <v>0</v>
          </cell>
          <cell r="CI10">
            <v>0</v>
          </cell>
          <cell r="CJ10">
            <v>0</v>
          </cell>
          <cell r="CK10">
            <v>0</v>
          </cell>
          <cell r="CL10">
            <v>0</v>
          </cell>
          <cell r="CM10">
            <v>1.2123270127554854E-12</v>
          </cell>
          <cell r="CN10">
            <v>2.8314550853151535E-16</v>
          </cell>
          <cell r="CO10">
            <v>0</v>
          </cell>
          <cell r="CP10">
            <v>0</v>
          </cell>
          <cell r="CQ10">
            <v>0</v>
          </cell>
          <cell r="CR10">
            <v>0</v>
          </cell>
          <cell r="CS10">
            <v>0</v>
          </cell>
          <cell r="CT10">
            <v>0</v>
          </cell>
          <cell r="CU10">
            <v>0</v>
          </cell>
          <cell r="CV10">
            <v>0</v>
          </cell>
          <cell r="CW10">
            <v>300.96385600000002</v>
          </cell>
          <cell r="CX10">
            <v>0</v>
          </cell>
          <cell r="CY10">
            <v>0.18814</v>
          </cell>
          <cell r="CZ10">
            <v>0</v>
          </cell>
          <cell r="DA10" t="str">
            <v>Extrap</v>
          </cell>
          <cell r="DB10" t="str">
            <v>NO</v>
          </cell>
        </row>
        <row r="11">
          <cell r="A11">
            <v>42019.619074074071</v>
          </cell>
          <cell r="B11" t="str">
            <v>laser line closed</v>
          </cell>
          <cell r="E11" t="str">
            <v>ArArdating_STD_1shot</v>
          </cell>
          <cell r="F11">
            <v>1</v>
          </cell>
          <cell r="G11">
            <v>2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19519.430259000001</v>
          </cell>
          <cell r="W11">
            <v>0.91900800000000005</v>
          </cell>
          <cell r="X11">
            <v>12.240551999999999</v>
          </cell>
          <cell r="Y11">
            <v>9.3700000000000001E-4</v>
          </cell>
          <cell r="Z11">
            <v>65.089944000000003</v>
          </cell>
          <cell r="AA11">
            <v>5.2751159999999997</v>
          </cell>
          <cell r="AB11">
            <v>4.1492000000000001E-2</v>
          </cell>
          <cell r="AC11">
            <v>2.9204000000000001E-2</v>
          </cell>
          <cell r="AD11">
            <v>3.8621000000000003E-2</v>
          </cell>
          <cell r="AE11">
            <v>6.5948000000000007E-2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P11">
            <v>299.88396147644556</v>
          </cell>
          <cell r="AQ11">
            <v>0</v>
          </cell>
          <cell r="AR11">
            <v>0.31446001594377931</v>
          </cell>
          <cell r="AS11">
            <v>0</v>
          </cell>
          <cell r="AT11">
            <v>0</v>
          </cell>
          <cell r="AU11">
            <v>0.18805596145542849</v>
          </cell>
          <cell r="AV11">
            <v>0</v>
          </cell>
          <cell r="AW11">
            <v>4.8745222791768606E-4</v>
          </cell>
          <cell r="AX11">
            <v>0</v>
          </cell>
          <cell r="BD11">
            <v>0</v>
          </cell>
          <cell r="BE11">
            <v>0</v>
          </cell>
          <cell r="BF11">
            <v>0</v>
          </cell>
          <cell r="BG11">
            <v>0</v>
          </cell>
          <cell r="BI11">
            <v>0</v>
          </cell>
          <cell r="BJ11">
            <v>0</v>
          </cell>
          <cell r="BK11">
            <v>0</v>
          </cell>
          <cell r="BL11">
            <v>0</v>
          </cell>
          <cell r="BM11">
            <v>0</v>
          </cell>
          <cell r="BN11">
            <v>0</v>
          </cell>
          <cell r="BO11">
            <v>0</v>
          </cell>
          <cell r="BP11">
            <v>0</v>
          </cell>
          <cell r="BQ11">
            <v>0</v>
          </cell>
          <cell r="BR11">
            <v>0</v>
          </cell>
          <cell r="BS11">
            <v>0</v>
          </cell>
          <cell r="BT11">
            <v>0</v>
          </cell>
          <cell r="BU11">
            <v>0</v>
          </cell>
          <cell r="BV11">
            <v>0</v>
          </cell>
          <cell r="BW11">
            <v>0</v>
          </cell>
          <cell r="BX11">
            <v>0</v>
          </cell>
          <cell r="BY11">
            <v>0</v>
          </cell>
          <cell r="BZ11">
            <v>0</v>
          </cell>
          <cell r="CA11">
            <v>0</v>
          </cell>
          <cell r="CB11">
            <v>0</v>
          </cell>
          <cell r="CC11">
            <v>0</v>
          </cell>
          <cell r="CD11">
            <v>0</v>
          </cell>
          <cell r="CE11">
            <v>0</v>
          </cell>
          <cell r="CF11">
            <v>0</v>
          </cell>
          <cell r="CG11">
            <v>0</v>
          </cell>
          <cell r="CH11">
            <v>0</v>
          </cell>
          <cell r="CI11">
            <v>0</v>
          </cell>
          <cell r="CJ11">
            <v>0</v>
          </cell>
          <cell r="CK11">
            <v>0</v>
          </cell>
          <cell r="CL11">
            <v>0</v>
          </cell>
          <cell r="CM11">
            <v>1.2152960841152814E-12</v>
          </cell>
          <cell r="CN11">
            <v>3.3019469390417659E-16</v>
          </cell>
          <cell r="CO11">
            <v>0</v>
          </cell>
          <cell r="CP11">
            <v>0</v>
          </cell>
          <cell r="CQ11">
            <v>0</v>
          </cell>
          <cell r="CR11">
            <v>0</v>
          </cell>
          <cell r="CS11">
            <v>0</v>
          </cell>
          <cell r="CT11">
            <v>0</v>
          </cell>
          <cell r="CU11">
            <v>0</v>
          </cell>
          <cell r="CV11">
            <v>0</v>
          </cell>
          <cell r="CW11">
            <v>300.200649</v>
          </cell>
          <cell r="CX11">
            <v>0</v>
          </cell>
          <cell r="CY11">
            <v>0.18875400000000001</v>
          </cell>
          <cell r="CZ11">
            <v>0</v>
          </cell>
          <cell r="DA11" t="str">
            <v>Extrap</v>
          </cell>
          <cell r="DB11" t="str">
            <v>YES</v>
          </cell>
        </row>
      </sheetData>
      <sheetData sheetId="5" refreshError="1"/>
      <sheetData sheetId="6">
        <row r="1">
          <cell r="C1">
            <v>0.67922336541652839</v>
          </cell>
        </row>
      </sheetData>
      <sheetData sheetId="7"/>
      <sheetData sheetId="8">
        <row r="1">
          <cell r="C1">
            <v>0.96694652964210603</v>
          </cell>
        </row>
      </sheetData>
      <sheetData sheetId="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ogFile"/>
      <sheetName val="Ref Values "/>
      <sheetName val="Salts"/>
      <sheetName val="Hb3Gr"/>
      <sheetName val="Hb3grSum"/>
      <sheetName val="Scapolite"/>
      <sheetName val="PlotDat7"/>
      <sheetName val="PlotDat9"/>
      <sheetName val="PlotDat4"/>
      <sheetName val="Shallowater"/>
      <sheetName val="Summary"/>
      <sheetName val="Vertical_variation"/>
      <sheetName val="Hb3gr_interpolation"/>
      <sheetName val="Shallowater_Summary"/>
      <sheetName val="Shallowater_S1"/>
      <sheetName val="PlotDat6"/>
      <sheetName val="Shallowater_S4"/>
      <sheetName val="PlotDat8"/>
      <sheetName val="Shallowater_S5"/>
      <sheetName val="ShallowaterS6"/>
      <sheetName val="Shallowater_S7"/>
      <sheetName val="Shallowater_S11"/>
      <sheetName val="Shallowater_All"/>
      <sheetName val="PlotDat10"/>
      <sheetName val="PlotDat12"/>
      <sheetName val="Sheet2"/>
    </sheetNames>
    <sheetDataSet>
      <sheetData sheetId="0"/>
      <sheetData sheetId="1">
        <row r="6">
          <cell r="B6">
            <v>35.453000000000003</v>
          </cell>
          <cell r="C6">
            <v>2.0000000000000001E-4</v>
          </cell>
        </row>
        <row r="7">
          <cell r="B7">
            <v>79.903999999999996</v>
          </cell>
          <cell r="C7">
            <v>1E-3</v>
          </cell>
        </row>
        <row r="8">
          <cell r="B8">
            <v>126.9045</v>
          </cell>
          <cell r="C8">
            <v>3.0000000000000001E-5</v>
          </cell>
        </row>
        <row r="9">
          <cell r="B9">
            <v>40.08</v>
          </cell>
          <cell r="C9">
            <v>4.0000000000000001E-3</v>
          </cell>
        </row>
        <row r="10">
          <cell r="B10">
            <v>39.098300000000002</v>
          </cell>
          <cell r="C10">
            <v>1.0000000000000001E-5</v>
          </cell>
        </row>
        <row r="11">
          <cell r="B11">
            <v>137.327</v>
          </cell>
        </row>
        <row r="12">
          <cell r="B12">
            <v>238.02891</v>
          </cell>
        </row>
        <row r="17">
          <cell r="B17">
            <v>5.76E-11</v>
          </cell>
          <cell r="C17">
            <v>2.0000000000000001E-13</v>
          </cell>
        </row>
        <row r="18">
          <cell r="B18">
            <v>5.5309999999999998E-10</v>
          </cell>
          <cell r="C18">
            <v>1.2999999999999999E-12</v>
          </cell>
        </row>
        <row r="19">
          <cell r="B19">
            <v>1.9747782921935762E-2</v>
          </cell>
        </row>
        <row r="20">
          <cell r="B20">
            <v>7.0596036111416745E-6</v>
          </cell>
        </row>
        <row r="21">
          <cell r="B21">
            <v>6.1259141012810013E-9</v>
          </cell>
        </row>
        <row r="30">
          <cell r="B30">
            <v>298.56</v>
          </cell>
          <cell r="C30">
            <v>0.31</v>
          </cell>
        </row>
        <row r="31">
          <cell r="B31">
            <v>0.188</v>
          </cell>
        </row>
        <row r="34">
          <cell r="B34">
            <v>1.17E-4</v>
          </cell>
          <cell r="C34">
            <v>9.9999999999999995E-7</v>
          </cell>
        </row>
        <row r="40">
          <cell r="B40">
            <v>0.13520633458871464</v>
          </cell>
        </row>
        <row r="41">
          <cell r="B41">
            <v>2.6097893185975666E-2</v>
          </cell>
        </row>
        <row r="42">
          <cell r="B42">
            <v>4.5130628864919304E-4</v>
          </cell>
        </row>
        <row r="43">
          <cell r="B43">
            <v>7.8359677735261079E-4</v>
          </cell>
        </row>
        <row r="57">
          <cell r="B57">
            <v>30800</v>
          </cell>
          <cell r="C57">
            <v>1300</v>
          </cell>
        </row>
        <row r="58">
          <cell r="B58">
            <v>41000</v>
          </cell>
          <cell r="C58">
            <v>1500</v>
          </cell>
        </row>
        <row r="60">
          <cell r="B60">
            <v>430</v>
          </cell>
          <cell r="C60">
            <v>30</v>
          </cell>
        </row>
        <row r="61">
          <cell r="B61">
            <v>40</v>
          </cell>
          <cell r="C61">
            <v>3</v>
          </cell>
        </row>
        <row r="63">
          <cell r="B63">
            <v>0.79771999999999998</v>
          </cell>
          <cell r="C63">
            <v>3.5853190931910098E-2</v>
          </cell>
        </row>
        <row r="64">
          <cell r="B64">
            <v>4.879E-2</v>
          </cell>
          <cell r="C64">
            <v>1.9643383109841338E-3</v>
          </cell>
        </row>
        <row r="66">
          <cell r="B66">
            <v>1.38E-2</v>
          </cell>
          <cell r="C66">
            <v>8.0000000000000004E-4</v>
          </cell>
        </row>
        <row r="67">
          <cell r="B67">
            <v>9.7000000000000005E-4</v>
          </cell>
          <cell r="C67">
            <v>6.0000000000000002E-5</v>
          </cell>
        </row>
        <row r="69">
          <cell r="B69">
            <v>2.5899999999999999E-5</v>
          </cell>
          <cell r="C69">
            <v>3.9999999999999998E-7</v>
          </cell>
        </row>
        <row r="70">
          <cell r="B70">
            <v>1.19E-6</v>
          </cell>
          <cell r="C70">
            <v>2E-8</v>
          </cell>
        </row>
        <row r="72">
          <cell r="B72">
            <v>5.2416981925178643</v>
          </cell>
          <cell r="C72">
            <v>7.811493767030267E-2</v>
          </cell>
        </row>
        <row r="76">
          <cell r="B76">
            <v>0.16738255033557048</v>
          </cell>
          <cell r="C76">
            <v>2.2895136286236405E-3</v>
          </cell>
        </row>
        <row r="81">
          <cell r="B81">
            <v>1074900000</v>
          </cell>
          <cell r="C81">
            <v>3500000</v>
          </cell>
        </row>
        <row r="86">
          <cell r="B86">
            <v>1.072E-4</v>
          </cell>
          <cell r="C86">
            <v>2.9000000000000002E-6</v>
          </cell>
        </row>
        <row r="90">
          <cell r="B90">
            <v>1</v>
          </cell>
          <cell r="C90">
            <v>0.2424</v>
          </cell>
          <cell r="D90">
            <v>1E-3</v>
          </cell>
          <cell r="E90">
            <v>4.3300000000000006E-25</v>
          </cell>
          <cell r="F90">
            <v>6.0000000000000009E-27</v>
          </cell>
        </row>
        <row r="91">
          <cell r="B91">
            <v>1</v>
          </cell>
          <cell r="C91">
            <v>0.93258099999999999</v>
          </cell>
          <cell r="D91">
            <v>4.3999999999999999E-5</v>
          </cell>
          <cell r="M91">
            <v>7.000000000000002E-26</v>
          </cell>
          <cell r="N91"/>
        </row>
        <row r="93">
          <cell r="B93">
            <v>0.91700000000000004</v>
          </cell>
          <cell r="C93">
            <v>0.50690000000000002</v>
          </cell>
          <cell r="D93">
            <v>6.9999999999999999E-4</v>
          </cell>
          <cell r="E93">
            <v>1.0890000000000002E-23</v>
          </cell>
          <cell r="F93">
            <v>5.0000000000000008E-26</v>
          </cell>
          <cell r="G93">
            <v>1.296E-22</v>
          </cell>
          <cell r="H93">
            <v>3.0000000000000003E-24</v>
          </cell>
        </row>
        <row r="94">
          <cell r="B94">
            <v>1</v>
          </cell>
          <cell r="C94">
            <v>0.49309999999999998</v>
          </cell>
          <cell r="D94">
            <v>6.9999999999999999E-4</v>
          </cell>
          <cell r="E94">
            <v>2.3600000000000003E-24</v>
          </cell>
          <cell r="F94">
            <v>3.0000000000000001E-26</v>
          </cell>
          <cell r="G94">
            <v>4.6300000000000003E-23</v>
          </cell>
          <cell r="H94">
            <v>1.7E-24</v>
          </cell>
        </row>
        <row r="95">
          <cell r="B95">
            <v>0.94</v>
          </cell>
          <cell r="C95">
            <v>1</v>
          </cell>
          <cell r="E95">
            <v>6.1600000000000009E-24</v>
          </cell>
          <cell r="F95">
            <v>4.0000000000000007E-26</v>
          </cell>
          <cell r="G95">
            <v>1.5340000000000002E-22</v>
          </cell>
          <cell r="H95">
            <v>3.9E-24</v>
          </cell>
        </row>
        <row r="96">
          <cell r="B96">
            <v>1</v>
          </cell>
          <cell r="C96">
            <v>1.06E-3</v>
          </cell>
          <cell r="E96">
            <v>7.7460000000000019E-24</v>
          </cell>
          <cell r="F96">
            <v>3.4200000000000004E-25</v>
          </cell>
          <cell r="G96">
            <v>1.9730000000000003E-22</v>
          </cell>
          <cell r="H96">
            <v>1.0000000000000001E-23</v>
          </cell>
        </row>
        <row r="98">
          <cell r="B98">
            <v>8.0600000000000005E-2</v>
          </cell>
          <cell r="C98">
            <v>7.1999999999999998E-3</v>
          </cell>
          <cell r="E98">
            <v>5.8300000000000003E-22</v>
          </cell>
          <cell r="F98"/>
        </row>
        <row r="103">
          <cell r="B103">
            <v>316</v>
          </cell>
        </row>
        <row r="106">
          <cell r="B106">
            <v>22413.962</v>
          </cell>
          <cell r="C106">
            <v>1.2999999999999999E-2</v>
          </cell>
        </row>
        <row r="109">
          <cell r="B109">
            <v>3.6616487540395295</v>
          </cell>
          <cell r="C109">
            <v>3.4859205644378673E-2</v>
          </cell>
        </row>
        <row r="110">
          <cell r="B110">
            <v>4.0381418069010735</v>
          </cell>
          <cell r="C110">
            <v>3.8443458094483393E-2</v>
          </cell>
        </row>
        <row r="111">
          <cell r="B111">
            <v>3.5719621127760424</v>
          </cell>
          <cell r="C111">
            <v>3.4007249731862504E-2</v>
          </cell>
        </row>
        <row r="113">
          <cell r="B113">
            <v>1.05263859869328E+20</v>
          </cell>
          <cell r="C113">
            <v>1.8221971801441229E+18</v>
          </cell>
        </row>
        <row r="114">
          <cell r="B114">
            <v>1.8664660020810826E+20</v>
          </cell>
          <cell r="C114">
            <v>1.7769132317538168E+18</v>
          </cell>
        </row>
        <row r="116">
          <cell r="B116">
            <v>4.6732233198446188E-2</v>
          </cell>
          <cell r="C116">
            <v>7.1183200833316849E-4</v>
          </cell>
        </row>
        <row r="117">
          <cell r="B117">
            <v>0.20327737148133976</v>
          </cell>
          <cell r="C117">
            <v>3.924028465488629E-3</v>
          </cell>
        </row>
        <row r="118">
          <cell r="B118">
            <v>6.4883755300392768E-2</v>
          </cell>
          <cell r="C118">
            <v>1.0283531809691221E-3</v>
          </cell>
        </row>
        <row r="125">
          <cell r="B125">
            <v>3.9600000000000003E-2</v>
          </cell>
        </row>
        <row r="126">
          <cell r="B126">
            <v>0.20219999999999999</v>
          </cell>
        </row>
        <row r="127">
          <cell r="B127">
            <v>0.30520000000000003</v>
          </cell>
        </row>
        <row r="128">
          <cell r="B128">
            <v>0.47159841499999999</v>
          </cell>
        </row>
        <row r="129">
          <cell r="B129">
            <v>6.492734478</v>
          </cell>
        </row>
        <row r="130">
          <cell r="B130">
            <v>5.211360634</v>
          </cell>
        </row>
        <row r="131">
          <cell r="B131">
            <v>6.6050198150000003</v>
          </cell>
        </row>
        <row r="132">
          <cell r="B132">
            <v>2.5739762220000002</v>
          </cell>
        </row>
        <row r="133">
          <cell r="B133">
            <v>2.175693527</v>
          </cell>
        </row>
        <row r="136">
          <cell r="B136">
            <v>4.0899999999999999E-2</v>
          </cell>
        </row>
        <row r="137">
          <cell r="B137">
            <v>0.20480000000000001</v>
          </cell>
        </row>
        <row r="138">
          <cell r="B138">
            <v>0.3024</v>
          </cell>
        </row>
        <row r="140">
          <cell r="B140">
            <v>6.27</v>
          </cell>
        </row>
        <row r="142">
          <cell r="B142">
            <v>6.02</v>
          </cell>
        </row>
        <row r="143">
          <cell r="B143">
            <v>2.21</v>
          </cell>
        </row>
        <row r="144">
          <cell r="B144">
            <v>1.8</v>
          </cell>
        </row>
        <row r="147">
          <cell r="B147">
            <v>3.9399999999999998E-2</v>
          </cell>
        </row>
        <row r="148">
          <cell r="B148">
            <v>0.20180000000000001</v>
          </cell>
        </row>
        <row r="149">
          <cell r="B149">
            <v>0.3095</v>
          </cell>
        </row>
        <row r="150">
          <cell r="B150">
            <v>0.50802469100000003</v>
          </cell>
        </row>
        <row r="161">
          <cell r="B161">
            <v>0.49654103533333332</v>
          </cell>
          <cell r="C161">
            <v>3.6426276000000035E-2</v>
          </cell>
        </row>
        <row r="162">
          <cell r="B162">
            <v>6.3962201346666658</v>
          </cell>
          <cell r="C162">
            <v>0.22273447800000046</v>
          </cell>
        </row>
        <row r="163">
          <cell r="B163">
            <v>5.0814823513333334</v>
          </cell>
          <cell r="C163">
            <v>0.22273447800000046</v>
          </cell>
        </row>
        <row r="164">
          <cell r="B164">
            <v>6.2659531070000005</v>
          </cell>
          <cell r="C164">
            <v>0.58501981500000078</v>
          </cell>
        </row>
        <row r="165">
          <cell r="B165">
            <v>2.3726422796666666</v>
          </cell>
          <cell r="C165">
            <v>0.36397622200000024</v>
          </cell>
        </row>
        <row r="166">
          <cell r="B166">
            <v>1.9768772663333332</v>
          </cell>
          <cell r="C166">
            <v>0.37569352699999992</v>
          </cell>
        </row>
        <row r="170">
          <cell r="B170">
            <v>0.5</v>
          </cell>
          <cell r="C170">
            <v>0.02</v>
          </cell>
        </row>
        <row r="171">
          <cell r="B171">
            <v>1.246</v>
          </cell>
          <cell r="C171">
            <v>3.5999999999999997E-2</v>
          </cell>
        </row>
        <row r="172">
          <cell r="B172">
            <v>0.45300000000000001</v>
          </cell>
          <cell r="C172">
            <v>1.2999999999999999E-2</v>
          </cell>
        </row>
        <row r="173">
          <cell r="B173">
            <v>2.04</v>
          </cell>
          <cell r="C173">
            <v>0.02</v>
          </cell>
        </row>
        <row r="174">
          <cell r="B174">
            <v>6.47</v>
          </cell>
          <cell r="C174">
            <v>0.47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ogFile"/>
      <sheetName val="Ref Values "/>
      <sheetName val="Salts"/>
      <sheetName val="Hb3Gr"/>
      <sheetName val="Hb3grSum"/>
      <sheetName val="Scapolite"/>
      <sheetName val="PlotDat7"/>
      <sheetName val="PlotDat9"/>
      <sheetName val="PlotDat4"/>
      <sheetName val="PlotDat11"/>
      <sheetName val="Shallowater"/>
      <sheetName val="Shallowater_Summary"/>
      <sheetName val="Summary"/>
      <sheetName val="Vertical_variation"/>
      <sheetName val="Hb3gr_interpolation"/>
      <sheetName val="Shallowater_Summary_OLD"/>
      <sheetName val="Shallowater_S1"/>
      <sheetName val="PlotDat6"/>
      <sheetName val="Shallowater_S4"/>
      <sheetName val="PlotDat8"/>
      <sheetName val="Shallowater_S5"/>
      <sheetName val="ShallowaterS6"/>
      <sheetName val="Shallowater_S7"/>
      <sheetName val="Shallowater_S11"/>
      <sheetName val="Shallowater_All"/>
      <sheetName val="PlotDat10"/>
      <sheetName val="PlotDat12"/>
      <sheetName val="Sheet2"/>
    </sheetNames>
    <sheetDataSet>
      <sheetData sheetId="0"/>
      <sheetData sheetId="1">
        <row r="6">
          <cell r="B6">
            <v>35.453000000000003</v>
          </cell>
          <cell r="C6">
            <v>2.0000000000000001E-4</v>
          </cell>
        </row>
        <row r="7">
          <cell r="B7">
            <v>79.903999999999996</v>
          </cell>
          <cell r="C7">
            <v>1E-3</v>
          </cell>
        </row>
        <row r="8">
          <cell r="B8">
            <v>126.9045</v>
          </cell>
          <cell r="C8">
            <v>3.0000000000000001E-5</v>
          </cell>
        </row>
        <row r="9">
          <cell r="B9">
            <v>40.08</v>
          </cell>
          <cell r="C9">
            <v>4.0000000000000001E-3</v>
          </cell>
        </row>
        <row r="10">
          <cell r="B10">
            <v>39.098300000000002</v>
          </cell>
          <cell r="C10">
            <v>1.0000000000000001E-5</v>
          </cell>
        </row>
        <row r="11">
          <cell r="B11">
            <v>137.327</v>
          </cell>
        </row>
        <row r="12">
          <cell r="B12">
            <v>238.02891</v>
          </cell>
        </row>
        <row r="17">
          <cell r="B17">
            <v>5.76E-11</v>
          </cell>
          <cell r="C17">
            <v>2.0000000000000001E-13</v>
          </cell>
        </row>
        <row r="18">
          <cell r="B18">
            <v>5.5309999999999998E-10</v>
          </cell>
          <cell r="C18">
            <v>1.2999999999999999E-12</v>
          </cell>
        </row>
        <row r="19">
          <cell r="B19">
            <v>1.9747782921935762E-2</v>
          </cell>
        </row>
        <row r="20">
          <cell r="B20">
            <v>7.0596036111416745E-6</v>
          </cell>
        </row>
        <row r="21">
          <cell r="B21">
            <v>6.1259141012810013E-9</v>
          </cell>
        </row>
        <row r="30">
          <cell r="B30">
            <v>298.56</v>
          </cell>
          <cell r="C30">
            <v>0.31</v>
          </cell>
        </row>
        <row r="31">
          <cell r="B31">
            <v>0.188</v>
          </cell>
        </row>
        <row r="34">
          <cell r="B34">
            <v>1.17E-4</v>
          </cell>
          <cell r="C34">
            <v>9.9999999999999995E-7</v>
          </cell>
        </row>
        <row r="40">
          <cell r="B40">
            <v>0.13520633458871464</v>
          </cell>
        </row>
        <row r="41">
          <cell r="B41">
            <v>2.6097893189416504E-2</v>
          </cell>
        </row>
        <row r="42">
          <cell r="B42">
            <v>4.7170085034024968E-4</v>
          </cell>
        </row>
        <row r="43">
          <cell r="B43">
            <v>1.0240475012582816E-3</v>
          </cell>
        </row>
        <row r="57">
          <cell r="B57">
            <v>30800</v>
          </cell>
          <cell r="C57">
            <v>1300</v>
          </cell>
        </row>
        <row r="58">
          <cell r="B58">
            <v>41000</v>
          </cell>
          <cell r="C58">
            <v>1500</v>
          </cell>
        </row>
        <row r="60">
          <cell r="B60">
            <v>430</v>
          </cell>
          <cell r="C60">
            <v>30</v>
          </cell>
        </row>
        <row r="61">
          <cell r="B61">
            <v>40</v>
          </cell>
          <cell r="C61">
            <v>3</v>
          </cell>
        </row>
        <row r="63">
          <cell r="B63">
            <v>0.79771999999999998</v>
          </cell>
          <cell r="C63">
            <v>3.5853190931910098E-2</v>
          </cell>
        </row>
        <row r="64">
          <cell r="B64">
            <v>4.879E-2</v>
          </cell>
          <cell r="C64">
            <v>1.9643383109841338E-3</v>
          </cell>
        </row>
        <row r="66">
          <cell r="B66">
            <v>1.38E-2</v>
          </cell>
          <cell r="C66">
            <v>8.0000000000000004E-4</v>
          </cell>
        </row>
        <row r="67">
          <cell r="B67">
            <v>9.7000000000000005E-4</v>
          </cell>
          <cell r="C67">
            <v>6.0000000000000002E-5</v>
          </cell>
        </row>
        <row r="69">
          <cell r="B69">
            <v>2.5899999999999999E-5</v>
          </cell>
          <cell r="C69">
            <v>3.9999999999999998E-7</v>
          </cell>
        </row>
        <row r="70">
          <cell r="B70">
            <v>1.19E-6</v>
          </cell>
          <cell r="C70">
            <v>2E-8</v>
          </cell>
        </row>
        <row r="72">
          <cell r="B72">
            <v>5.2416981925178643</v>
          </cell>
          <cell r="C72">
            <v>7.811493767030267E-2</v>
          </cell>
        </row>
        <row r="76">
          <cell r="B76">
            <v>0.16738255033557048</v>
          </cell>
          <cell r="C76">
            <v>2.2895136286236405E-3</v>
          </cell>
        </row>
        <row r="81">
          <cell r="B81">
            <v>1074900000</v>
          </cell>
          <cell r="C81">
            <v>3500000</v>
          </cell>
        </row>
        <row r="86">
          <cell r="B86">
            <v>1.072E-4</v>
          </cell>
          <cell r="C86">
            <v>2.9000000000000002E-6</v>
          </cell>
        </row>
        <row r="90">
          <cell r="B90">
            <v>1</v>
          </cell>
          <cell r="C90">
            <v>0.2424</v>
          </cell>
          <cell r="D90">
            <v>1E-3</v>
          </cell>
          <cell r="E90">
            <v>4.3300000000000006E-25</v>
          </cell>
          <cell r="F90">
            <v>6.0000000000000009E-27</v>
          </cell>
        </row>
        <row r="91">
          <cell r="B91">
            <v>1</v>
          </cell>
          <cell r="C91">
            <v>0.93258099999999999</v>
          </cell>
          <cell r="D91">
            <v>4.3999999999999999E-5</v>
          </cell>
          <cell r="M91">
            <v>7.000000000000002E-26</v>
          </cell>
          <cell r="N91"/>
        </row>
        <row r="93">
          <cell r="B93">
            <v>0.91700000000000004</v>
          </cell>
          <cell r="C93">
            <v>0.50690000000000002</v>
          </cell>
          <cell r="D93">
            <v>6.9999999999999999E-4</v>
          </cell>
          <cell r="E93">
            <v>1.0890000000000002E-23</v>
          </cell>
          <cell r="F93">
            <v>5.0000000000000008E-26</v>
          </cell>
          <cell r="G93">
            <v>1.296E-22</v>
          </cell>
          <cell r="H93">
            <v>3.0000000000000003E-24</v>
          </cell>
        </row>
        <row r="94">
          <cell r="B94">
            <v>1</v>
          </cell>
          <cell r="C94">
            <v>0.49309999999999998</v>
          </cell>
          <cell r="D94">
            <v>6.9999999999999999E-4</v>
          </cell>
          <cell r="E94">
            <v>2.3600000000000003E-24</v>
          </cell>
          <cell r="F94">
            <v>3.0000000000000001E-26</v>
          </cell>
          <cell r="G94">
            <v>4.6300000000000003E-23</v>
          </cell>
          <cell r="H94">
            <v>1.7E-24</v>
          </cell>
        </row>
        <row r="95">
          <cell r="B95">
            <v>0.94</v>
          </cell>
          <cell r="C95">
            <v>1</v>
          </cell>
          <cell r="E95">
            <v>6.1600000000000009E-24</v>
          </cell>
          <cell r="F95">
            <v>4.0000000000000007E-26</v>
          </cell>
          <cell r="G95">
            <v>1.5340000000000002E-22</v>
          </cell>
          <cell r="H95">
            <v>3.9E-24</v>
          </cell>
        </row>
        <row r="96">
          <cell r="B96">
            <v>1</v>
          </cell>
          <cell r="C96">
            <v>1.06E-3</v>
          </cell>
          <cell r="E96">
            <v>7.7460000000000019E-24</v>
          </cell>
          <cell r="F96">
            <v>3.4200000000000004E-25</v>
          </cell>
          <cell r="G96">
            <v>1.9730000000000003E-22</v>
          </cell>
          <cell r="H96">
            <v>1.0000000000000001E-23</v>
          </cell>
        </row>
        <row r="98">
          <cell r="B98">
            <v>8.0600000000000005E-2</v>
          </cell>
          <cell r="C98">
            <v>7.1999999999999998E-3</v>
          </cell>
          <cell r="E98">
            <v>5.8300000000000003E-22</v>
          </cell>
          <cell r="F98"/>
        </row>
        <row r="103">
          <cell r="B103">
            <v>316</v>
          </cell>
        </row>
        <row r="106">
          <cell r="B106">
            <v>22413.962</v>
          </cell>
          <cell r="C106">
            <v>1.2999999999999999E-2</v>
          </cell>
        </row>
        <row r="109">
          <cell r="B109">
            <v>3.6616487540395295</v>
          </cell>
          <cell r="C109">
            <v>3.4859205644378673E-2</v>
          </cell>
        </row>
        <row r="110">
          <cell r="B110">
            <v>4.0381418069010735</v>
          </cell>
          <cell r="C110">
            <v>3.8443458094483393E-2</v>
          </cell>
        </row>
        <row r="111">
          <cell r="B111">
            <v>3.5719621127760424</v>
          </cell>
          <cell r="C111">
            <v>3.4007249731862504E-2</v>
          </cell>
        </row>
        <row r="113">
          <cell r="B113">
            <v>1.05263859869328E+20</v>
          </cell>
          <cell r="C113">
            <v>1.8221971801441229E+18</v>
          </cell>
        </row>
        <row r="114">
          <cell r="B114">
            <v>1.8664660020810826E+20</v>
          </cell>
          <cell r="C114">
            <v>1.7769132317538168E+18</v>
          </cell>
        </row>
        <row r="116">
          <cell r="B116">
            <v>4.6732233198446188E-2</v>
          </cell>
          <cell r="C116">
            <v>7.1183200833316849E-4</v>
          </cell>
        </row>
        <row r="117">
          <cell r="B117">
            <v>0.20327737148133976</v>
          </cell>
          <cell r="C117">
            <v>3.924028465488629E-3</v>
          </cell>
        </row>
        <row r="118">
          <cell r="B118">
            <v>6.4883755300392768E-2</v>
          </cell>
          <cell r="C118">
            <v>1.0283531809691221E-3</v>
          </cell>
        </row>
        <row r="125">
          <cell r="B125">
            <v>3.9600000000000003E-2</v>
          </cell>
        </row>
        <row r="126">
          <cell r="B126">
            <v>0.20219999999999999</v>
          </cell>
        </row>
        <row r="127">
          <cell r="B127">
            <v>0.30520000000000003</v>
          </cell>
        </row>
        <row r="128">
          <cell r="B128">
            <v>0.47159841499999999</v>
          </cell>
        </row>
        <row r="129">
          <cell r="B129">
            <v>6.492734478</v>
          </cell>
        </row>
        <row r="130">
          <cell r="B130">
            <v>5.211360634</v>
          </cell>
        </row>
        <row r="131">
          <cell r="B131">
            <v>6.6050198150000003</v>
          </cell>
        </row>
        <row r="132">
          <cell r="B132">
            <v>2.5739762220000002</v>
          </cell>
        </row>
        <row r="133">
          <cell r="B133">
            <v>2.175693527</v>
          </cell>
        </row>
        <row r="136">
          <cell r="B136">
            <v>4.0899999999999999E-2</v>
          </cell>
        </row>
        <row r="137">
          <cell r="B137">
            <v>0.20480000000000001</v>
          </cell>
        </row>
        <row r="138">
          <cell r="B138">
            <v>0.3024</v>
          </cell>
        </row>
        <row r="140">
          <cell r="B140">
            <v>6.27</v>
          </cell>
        </row>
        <row r="142">
          <cell r="B142">
            <v>6.02</v>
          </cell>
        </row>
        <row r="143">
          <cell r="B143">
            <v>2.21</v>
          </cell>
        </row>
        <row r="144">
          <cell r="B144">
            <v>1.8</v>
          </cell>
        </row>
        <row r="147">
          <cell r="B147">
            <v>3.9399999999999998E-2</v>
          </cell>
        </row>
        <row r="148">
          <cell r="B148">
            <v>0.20180000000000001</v>
          </cell>
        </row>
        <row r="149">
          <cell r="B149">
            <v>0.3095</v>
          </cell>
        </row>
        <row r="150">
          <cell r="B150">
            <v>0.50802469100000003</v>
          </cell>
        </row>
        <row r="161">
          <cell r="B161">
            <v>0.49654103533333332</v>
          </cell>
          <cell r="C161">
            <v>3.6426276000000035E-2</v>
          </cell>
        </row>
        <row r="162">
          <cell r="B162">
            <v>6.3962201346666658</v>
          </cell>
          <cell r="C162">
            <v>0.22273447800000046</v>
          </cell>
        </row>
        <row r="163">
          <cell r="B163">
            <v>5.0814823513333334</v>
          </cell>
          <cell r="C163">
            <v>0.22273447800000046</v>
          </cell>
        </row>
        <row r="164">
          <cell r="B164">
            <v>6.2659531070000005</v>
          </cell>
          <cell r="C164">
            <v>0.58501981500000078</v>
          </cell>
        </row>
        <row r="165">
          <cell r="B165">
            <v>2.3726422796666666</v>
          </cell>
          <cell r="C165">
            <v>0.36397622200000024</v>
          </cell>
        </row>
        <row r="166">
          <cell r="B166">
            <v>1.9768772663333332</v>
          </cell>
          <cell r="C166">
            <v>0.37569352699999992</v>
          </cell>
        </row>
        <row r="170">
          <cell r="B170">
            <v>0.5</v>
          </cell>
          <cell r="C170">
            <v>0.02</v>
          </cell>
        </row>
        <row r="171">
          <cell r="B171">
            <v>1.246</v>
          </cell>
          <cell r="C171">
            <v>3.5999999999999997E-2</v>
          </cell>
        </row>
        <row r="172">
          <cell r="B172">
            <v>0.45300000000000001</v>
          </cell>
          <cell r="C172">
            <v>1.2999999999999999E-2</v>
          </cell>
        </row>
        <row r="173">
          <cell r="B173">
            <v>2.04</v>
          </cell>
          <cell r="C173">
            <v>0.02</v>
          </cell>
        </row>
        <row r="174">
          <cell r="B174">
            <v>6.47</v>
          </cell>
          <cell r="C174">
            <v>0.47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mples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ogFile"/>
      <sheetName val="Ref Values "/>
      <sheetName val="Salts"/>
      <sheetName val="Hb3Gr"/>
      <sheetName val="Scapolite"/>
      <sheetName val="PlotDat3"/>
      <sheetName val="Shallowater"/>
      <sheetName val="Vertical_variation"/>
      <sheetName val="Hb3grSum"/>
      <sheetName val="Hb3gr_interpolation"/>
      <sheetName val="Halogen Samples"/>
      <sheetName val="Sheet2"/>
    </sheetNames>
    <sheetDataSet>
      <sheetData sheetId="0" refreshError="1"/>
      <sheetData sheetId="1">
        <row r="151">
          <cell r="B151">
            <v>6.4259259259999997</v>
          </cell>
        </row>
        <row r="152">
          <cell r="B152">
            <v>5.0530864199999996</v>
          </cell>
        </row>
        <row r="153">
          <cell r="B153">
            <v>6.1728395059999999</v>
          </cell>
        </row>
        <row r="154">
          <cell r="B154">
            <v>2.3339506170000002</v>
          </cell>
        </row>
        <row r="155">
          <cell r="B155">
            <v>1.9549382719999999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5">
          <cell r="AB5">
            <v>3</v>
          </cell>
          <cell r="AC5">
            <v>4.7426911939066315E-3</v>
          </cell>
          <cell r="AD5">
            <v>9.7091489596462922E-6</v>
          </cell>
        </row>
        <row r="6">
          <cell r="AB6">
            <v>19</v>
          </cell>
          <cell r="AC6">
            <v>4.4050728368799042E-3</v>
          </cell>
          <cell r="AD6">
            <v>8.4571157406964633E-6</v>
          </cell>
        </row>
        <row r="7">
          <cell r="AB7">
            <v>36</v>
          </cell>
          <cell r="AC7">
            <v>3.8350333275558941E-3</v>
          </cell>
          <cell r="AD7">
            <v>7.6676428222284996E-6</v>
          </cell>
        </row>
        <row r="8">
          <cell r="AB8">
            <v>2</v>
          </cell>
          <cell r="AC8">
            <v>5.1652121644352933E-3</v>
          </cell>
        </row>
        <row r="9">
          <cell r="AB9">
            <v>18</v>
          </cell>
          <cell r="AC9">
            <v>4.8741710177054838E-3</v>
          </cell>
        </row>
        <row r="10">
          <cell r="AB10">
            <v>39</v>
          </cell>
          <cell r="AC10">
            <v>4.3422657953273566E-3</v>
          </cell>
        </row>
        <row r="11">
          <cell r="AB11">
            <v>2</v>
          </cell>
          <cell r="AC11">
            <v>5.3121668012560807E-3</v>
          </cell>
        </row>
        <row r="12">
          <cell r="AB12">
            <v>24</v>
          </cell>
          <cell r="AC12">
            <v>4.8996499783353319E-3</v>
          </cell>
        </row>
        <row r="13">
          <cell r="AB13">
            <v>41</v>
          </cell>
          <cell r="AC13">
            <v>4.2112251639609289E-3</v>
          </cell>
        </row>
      </sheetData>
      <sheetData sheetId="8" refreshError="1"/>
      <sheetData sheetId="9">
        <row r="7">
          <cell r="M7">
            <v>2</v>
          </cell>
        </row>
      </sheetData>
      <sheetData sheetId="10" refreshError="1"/>
      <sheetData sheetId="1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ogFile"/>
      <sheetName val="Ref Values "/>
      <sheetName val="Vertical_variation"/>
      <sheetName val="Salts"/>
      <sheetName val="Hb3Gr"/>
      <sheetName val="PlotDat1"/>
      <sheetName val="Shallowater"/>
      <sheetName val="Scapolite"/>
      <sheetName val="Halogen Samples"/>
      <sheetName val="Sheet2"/>
    </sheetNames>
    <sheetDataSet>
      <sheetData sheetId="0"/>
      <sheetData sheetId="1"/>
      <sheetData sheetId="2"/>
      <sheetData sheetId="3"/>
      <sheetData sheetId="4">
        <row r="10">
          <cell r="CY10">
            <v>3.375159538894975E-2</v>
          </cell>
          <cell r="CZ10">
            <v>1.5451844425933516E-4</v>
          </cell>
          <cell r="DA10">
            <v>3.2991058936537144E+18</v>
          </cell>
          <cell r="DB10">
            <v>7.6891636724989296E+16</v>
          </cell>
          <cell r="DC10">
            <v>6.2996205309471345E+18</v>
          </cell>
          <cell r="DD10">
            <v>6.6547763374471656E+16</v>
          </cell>
          <cell r="DE10">
            <v>0.54237067956270024</v>
          </cell>
          <cell r="DF10">
            <v>7.9831469058481257E-3</v>
          </cell>
          <cell r="DG10">
            <v>0.92858712665260035</v>
          </cell>
          <cell r="DH10">
            <v>1.3853885755983909E-2</v>
          </cell>
        </row>
        <row r="11">
          <cell r="CY11">
            <v>3.3680591711743944E-2</v>
          </cell>
          <cell r="CZ11">
            <v>1.4939121278557756E-4</v>
          </cell>
          <cell r="DA11">
            <v>3.1991558920690447E+18</v>
          </cell>
          <cell r="DB11">
            <v>7.4463843346153808E+16</v>
          </cell>
          <cell r="DC11">
            <v>6.2863679359943967E+18</v>
          </cell>
          <cell r="DD11">
            <v>6.60242669182872E+16</v>
          </cell>
          <cell r="DE11">
            <v>0.52916459827613271</v>
          </cell>
          <cell r="DF11">
            <v>7.7432785700430442E-3</v>
          </cell>
          <cell r="DG11">
            <v>0.90235286123626368</v>
          </cell>
          <cell r="DH11">
            <v>1.3458076792302986E-2</v>
          </cell>
        </row>
      </sheetData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sciencedirect.com/science/article/pii/S0009254107001490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B1:ND101"/>
  <sheetViews>
    <sheetView topLeftCell="A4" zoomScale="70" zoomScaleNormal="70" zoomScalePageLayoutView="70" workbookViewId="0">
      <pane ySplit="1236" topLeftCell="A4" activePane="bottomLeft"/>
      <selection activeCell="HK1" sqref="HK1:HR1048576"/>
      <selection pane="bottomLeft" activeCell="ED33" sqref="ED33"/>
    </sheetView>
  </sheetViews>
  <sheetFormatPr defaultColWidth="17.6640625" defaultRowHeight="18"/>
  <cols>
    <col min="1" max="1" width="17.6640625" style="1"/>
    <col min="2" max="2" width="32.44140625" style="245" customWidth="1"/>
    <col min="3" max="3" width="30.88671875" style="5" customWidth="1"/>
    <col min="4" max="4" width="27.44140625" style="5" customWidth="1"/>
    <col min="5" max="5" width="20.6640625" style="67" customWidth="1"/>
    <col min="6" max="6" width="20.6640625" style="5" customWidth="1"/>
    <col min="7" max="7" width="17.6640625" style="5"/>
    <col min="8" max="8" width="17.88671875" style="5" bestFit="1" customWidth="1"/>
    <col min="9" max="9" width="17.6640625" style="5"/>
    <col min="10" max="10" width="17.88671875" style="67" bestFit="1" customWidth="1"/>
    <col min="11" max="11" width="42.44140625" style="67" bestFit="1" customWidth="1"/>
    <col min="12" max="13" width="17.88671875" style="5" bestFit="1" customWidth="1"/>
    <col min="14" max="14" width="19.6640625" style="5" customWidth="1"/>
    <col min="15" max="20" width="17.88671875" style="5" bestFit="1" customWidth="1"/>
    <col min="21" max="21" width="17.88671875" style="6" bestFit="1" customWidth="1"/>
    <col min="22" max="34" width="17.88671875" style="5" bestFit="1" customWidth="1"/>
    <col min="35" max="44" width="17.88671875" style="134" bestFit="1" customWidth="1"/>
    <col min="45" max="46" width="17.88671875" style="5" bestFit="1" customWidth="1"/>
    <col min="47" max="54" width="17.88671875" style="134" bestFit="1" customWidth="1"/>
    <col min="55" max="56" width="17.6640625" style="5"/>
    <col min="57" max="68" width="17.88671875" style="134" bestFit="1" customWidth="1"/>
    <col min="69" max="69" width="23.109375" style="5" customWidth="1"/>
    <col min="70" max="75" width="17.88671875" style="134" bestFit="1" customWidth="1"/>
    <col min="76" max="77" width="17.88671875" style="5" bestFit="1" customWidth="1"/>
    <col min="78" max="91" width="17.88671875" style="134" bestFit="1" customWidth="1"/>
    <col min="92" max="93" width="11.44140625" style="5" bestFit="1" customWidth="1"/>
    <col min="94" max="94" width="13.44140625" style="5" bestFit="1" customWidth="1"/>
    <col min="95" max="97" width="17.88671875" style="5" bestFit="1" customWidth="1"/>
    <col min="98" max="98" width="11.33203125" style="5" bestFit="1" customWidth="1"/>
    <col min="99" max="99" width="11.109375" style="5" bestFit="1" customWidth="1"/>
    <col min="100" max="100" width="11.33203125" style="5" bestFit="1" customWidth="1"/>
    <col min="101" max="101" width="11.109375" style="5" bestFit="1" customWidth="1"/>
    <col min="102" max="133" width="17.88671875" style="134" bestFit="1" customWidth="1"/>
    <col min="134" max="136" width="17.88671875" style="134" customWidth="1"/>
    <col min="137" max="138" width="17.88671875" style="134" bestFit="1" customWidth="1"/>
    <col min="139" max="139" width="20.33203125" style="134" bestFit="1" customWidth="1"/>
    <col min="140" max="150" width="20.33203125" style="134" customWidth="1"/>
    <col min="151" max="158" width="17.88671875" style="5" bestFit="1" customWidth="1"/>
    <col min="159" max="166" width="17.6640625" style="5"/>
    <col min="167" max="182" width="17.88671875" style="134" bestFit="1" customWidth="1"/>
    <col min="183" max="186" width="17.88671875" style="5" bestFit="1" customWidth="1"/>
    <col min="187" max="202" width="17.88671875" style="134" bestFit="1" customWidth="1"/>
    <col min="203" max="203" width="11.88671875" style="5" customWidth="1"/>
    <col min="204" max="204" width="12.33203125" style="5" customWidth="1"/>
    <col min="205" max="210" width="17.88671875" style="134" bestFit="1" customWidth="1"/>
    <col min="211" max="211" width="10.109375" style="5" customWidth="1"/>
    <col min="212" max="212" width="12.109375" style="5" customWidth="1"/>
    <col min="213" max="218" width="17.88671875" style="134" bestFit="1" customWidth="1"/>
    <col min="219" max="254" width="17.88671875" style="5" bestFit="1" customWidth="1"/>
    <col min="255" max="268" width="17.88671875" style="134" bestFit="1" customWidth="1"/>
    <col min="269" max="269" width="18" style="134" bestFit="1" customWidth="1"/>
    <col min="270" max="270" width="18.109375" style="134" bestFit="1" customWidth="1"/>
    <col min="271" max="273" width="18" style="134" bestFit="1" customWidth="1"/>
    <col min="274" max="274" width="19.88671875" style="134" bestFit="1" customWidth="1"/>
    <col min="275" max="279" width="18" style="134" bestFit="1" customWidth="1"/>
    <col min="280" max="280" width="18.109375" style="134" bestFit="1" customWidth="1"/>
    <col min="281" max="284" width="17.88671875" style="5" bestFit="1" customWidth="1"/>
    <col min="285" max="287" width="17.88671875" style="134" bestFit="1" customWidth="1"/>
    <col min="288" max="288" width="19.33203125" style="134" bestFit="1" customWidth="1"/>
    <col min="289" max="290" width="17.88671875" style="5" bestFit="1" customWidth="1"/>
    <col min="291" max="292" width="17.88671875" style="134" bestFit="1" customWidth="1"/>
    <col min="293" max="294" width="17.88671875" style="161" bestFit="1" customWidth="1"/>
    <col min="295" max="300" width="17.88671875" style="134" bestFit="1" customWidth="1"/>
    <col min="301" max="301" width="15" style="134" customWidth="1"/>
    <col min="302" max="302" width="14" style="134" bestFit="1" customWidth="1"/>
    <col min="303" max="303" width="18" style="134" bestFit="1" customWidth="1"/>
    <col min="304" max="304" width="19.88671875" style="134" bestFit="1" customWidth="1"/>
    <col min="305" max="305" width="21.88671875" style="134" bestFit="1" customWidth="1"/>
    <col min="306" max="306" width="23.33203125" style="134" bestFit="1" customWidth="1"/>
    <col min="307" max="308" width="17.88671875" style="117" bestFit="1" customWidth="1"/>
    <col min="309" max="312" width="17.88671875" style="134" bestFit="1" customWidth="1"/>
    <col min="313" max="318" width="17.6640625" style="134"/>
    <col min="319" max="319" width="16.44140625" style="134" bestFit="1" customWidth="1"/>
    <col min="320" max="320" width="18" style="134" bestFit="1" customWidth="1"/>
    <col min="321" max="321" width="19.33203125" style="134" bestFit="1" customWidth="1"/>
    <col min="322" max="322" width="21.44140625" style="134" bestFit="1" customWidth="1"/>
    <col min="323" max="324" width="13.44140625" style="134" bestFit="1" customWidth="1"/>
    <col min="325" max="325" width="11.44140625" style="134" bestFit="1" customWidth="1"/>
    <col min="326" max="326" width="12.44140625" style="134" bestFit="1" customWidth="1"/>
    <col min="327" max="328" width="17.6640625" style="1"/>
    <col min="329" max="329" width="25.109375" style="215" bestFit="1" customWidth="1"/>
    <col min="330" max="330" width="25.109375" style="215" customWidth="1"/>
    <col min="331" max="331" width="11.88671875" style="215" bestFit="1" customWidth="1"/>
    <col min="332" max="332" width="13.33203125" style="215" bestFit="1" customWidth="1"/>
    <col min="333" max="333" width="12.44140625" style="215" bestFit="1" customWidth="1"/>
    <col min="334" max="334" width="13.88671875" style="215" bestFit="1" customWidth="1"/>
    <col min="335" max="335" width="13.44140625" style="215" bestFit="1" customWidth="1"/>
    <col min="336" max="336" width="14.44140625" style="215" bestFit="1" customWidth="1"/>
    <col min="337" max="337" width="15.109375" style="215" bestFit="1" customWidth="1"/>
    <col min="338" max="338" width="14.44140625" style="215" bestFit="1" customWidth="1"/>
    <col min="339" max="339" width="15.109375" style="215" bestFit="1" customWidth="1"/>
    <col min="340" max="340" width="14.44140625" style="215" bestFit="1" customWidth="1"/>
    <col min="341" max="344" width="14.33203125" style="215" customWidth="1"/>
    <col min="345" max="345" width="16.33203125" style="215" customWidth="1"/>
    <col min="346" max="348" width="17.33203125" style="215" customWidth="1"/>
    <col min="349" max="349" width="14.44140625" style="215" bestFit="1" customWidth="1"/>
    <col min="350" max="350" width="16.109375" style="215" bestFit="1" customWidth="1"/>
    <col min="351" max="351" width="12" style="215" bestFit="1" customWidth="1"/>
    <col min="352" max="352" width="13.44140625" style="215" bestFit="1" customWidth="1"/>
    <col min="353" max="366" width="17.88671875" style="62" bestFit="1" customWidth="1"/>
    <col min="367" max="367" width="22.44140625" style="62" bestFit="1" customWidth="1"/>
    <col min="368" max="368" width="17.88671875" style="62" bestFit="1" customWidth="1"/>
    <col min="369" max="16384" width="17.6640625" style="1"/>
  </cols>
  <sheetData>
    <row r="1" spans="2:368" ht="24.9" customHeight="1">
      <c r="B1" s="242" t="s">
        <v>379</v>
      </c>
    </row>
    <row r="2" spans="2:368" ht="24.9" customHeight="1">
      <c r="B2" s="243" t="s">
        <v>380</v>
      </c>
      <c r="Y2" s="5" t="s">
        <v>936</v>
      </c>
      <c r="BY2" s="249"/>
      <c r="CN2" s="222" t="s">
        <v>931</v>
      </c>
      <c r="DD2" s="206"/>
      <c r="HM2" s="6"/>
      <c r="HN2" s="6"/>
      <c r="HO2" s="6"/>
      <c r="HP2" s="6"/>
      <c r="MU2" s="109"/>
      <c r="NA2" s="109"/>
      <c r="NB2" s="109"/>
      <c r="NC2" s="109"/>
    </row>
    <row r="3" spans="2:368" ht="24.9" customHeight="1">
      <c r="B3" s="244" t="s">
        <v>499</v>
      </c>
      <c r="Y3" s="5" t="s">
        <v>864</v>
      </c>
      <c r="AA3" s="5" t="s">
        <v>846</v>
      </c>
      <c r="AC3" s="5" t="s">
        <v>906</v>
      </c>
      <c r="AE3" s="5" t="s">
        <v>933</v>
      </c>
      <c r="AG3" s="5" t="s">
        <v>846</v>
      </c>
      <c r="BC3" s="105" t="s">
        <v>403</v>
      </c>
      <c r="BQ3" s="105" t="s">
        <v>403</v>
      </c>
      <c r="CD3" s="206"/>
      <c r="CE3" s="248"/>
      <c r="CK3" s="248"/>
      <c r="EM3" s="482"/>
      <c r="EN3" s="482"/>
      <c r="EO3" s="482"/>
      <c r="EP3" s="482"/>
      <c r="EQ3" s="482"/>
      <c r="ER3" s="482"/>
      <c r="ES3" s="482"/>
      <c r="ET3" s="482"/>
      <c r="GU3" s="223" t="s">
        <v>792</v>
      </c>
      <c r="GY3" s="158"/>
      <c r="HC3" s="223" t="s">
        <v>793</v>
      </c>
      <c r="HK3" s="223" t="s">
        <v>791</v>
      </c>
      <c r="HO3" s="223" t="s">
        <v>790</v>
      </c>
      <c r="KC3" s="223" t="s">
        <v>789</v>
      </c>
      <c r="KI3" s="223" t="s">
        <v>788</v>
      </c>
      <c r="KU3" s="223" t="s">
        <v>787</v>
      </c>
      <c r="LQ3" s="250" t="s">
        <v>753</v>
      </c>
      <c r="LR3" s="250"/>
      <c r="MQ3" s="109"/>
      <c r="MY3" s="109"/>
      <c r="NA3" s="109"/>
      <c r="NC3" s="109"/>
    </row>
    <row r="4" spans="2:368" ht="24.9" customHeight="1" thickBot="1">
      <c r="K4" s="190" t="s">
        <v>378</v>
      </c>
      <c r="BC4" s="750" t="s">
        <v>330</v>
      </c>
      <c r="BD4" s="750"/>
      <c r="BE4" s="750"/>
      <c r="BF4" s="750"/>
      <c r="BG4" s="750"/>
      <c r="BH4" s="750"/>
      <c r="BQ4" s="751" t="s">
        <v>330</v>
      </c>
      <c r="BR4" s="751"/>
      <c r="BS4" s="751"/>
      <c r="BT4" s="751"/>
      <c r="BU4" s="751"/>
      <c r="BV4" s="751"/>
      <c r="BW4" s="751"/>
      <c r="GU4" s="752"/>
      <c r="GV4" s="752"/>
      <c r="GW4" s="237"/>
      <c r="GX4" s="237"/>
      <c r="GY4" s="237"/>
      <c r="GZ4" s="237"/>
      <c r="HA4" s="237"/>
      <c r="HB4" s="237"/>
      <c r="HC4" s="752"/>
      <c r="HD4" s="752"/>
      <c r="HE4" s="237"/>
      <c r="HF4" s="237"/>
      <c r="HG4" s="237"/>
      <c r="HH4" s="237"/>
      <c r="HI4" s="237"/>
      <c r="HJ4" s="237"/>
      <c r="HK4" s="111"/>
      <c r="HL4" s="111"/>
      <c r="LQ4" s="230"/>
      <c r="LR4" s="230"/>
      <c r="LS4" s="230"/>
      <c r="LT4" s="230"/>
      <c r="LU4" s="230"/>
      <c r="LV4" s="230"/>
      <c r="LW4" s="230"/>
      <c r="LX4" s="230"/>
      <c r="LY4" s="230"/>
      <c r="LZ4" s="230"/>
      <c r="MA4" s="230"/>
      <c r="MB4" s="230"/>
      <c r="MC4" s="230"/>
      <c r="MD4" s="230"/>
      <c r="ME4" s="230"/>
      <c r="MF4" s="230"/>
      <c r="MG4" s="230"/>
      <c r="MH4" s="230"/>
      <c r="MI4" s="230"/>
      <c r="MJ4" s="230"/>
      <c r="MK4" s="230"/>
      <c r="ML4" s="230"/>
      <c r="MM4" s="230"/>
      <c r="MN4" s="230"/>
      <c r="MO4" s="230"/>
      <c r="MP4" s="230"/>
      <c r="MQ4" s="230"/>
      <c r="MR4" s="230"/>
      <c r="MS4" s="230"/>
      <c r="MT4" s="230"/>
      <c r="MU4" s="230"/>
      <c r="MV4" s="230"/>
      <c r="MW4" s="230"/>
      <c r="MX4" s="230"/>
      <c r="MY4" s="230"/>
      <c r="MZ4" s="230"/>
      <c r="NA4" s="230"/>
      <c r="NB4" s="230"/>
      <c r="NC4" s="230"/>
      <c r="ND4" s="230"/>
    </row>
    <row r="5" spans="2:368" s="12" customFormat="1" ht="24.9" customHeight="1" thickBot="1">
      <c r="B5" s="745" t="s">
        <v>650</v>
      </c>
      <c r="C5" s="746"/>
      <c r="D5" s="746"/>
      <c r="E5" s="746"/>
      <c r="F5" s="747"/>
      <c r="G5" s="745" t="s">
        <v>323</v>
      </c>
      <c r="H5" s="746"/>
      <c r="I5" s="746"/>
      <c r="J5" s="746"/>
      <c r="K5" s="747"/>
      <c r="L5" s="745" t="s">
        <v>325</v>
      </c>
      <c r="M5" s="746"/>
      <c r="N5" s="747"/>
      <c r="O5" s="745" t="s">
        <v>651</v>
      </c>
      <c r="P5" s="746"/>
      <c r="Q5" s="746"/>
      <c r="R5" s="746"/>
      <c r="S5" s="746"/>
      <c r="T5" s="746"/>
      <c r="U5" s="746"/>
      <c r="V5" s="746"/>
      <c r="W5" s="746"/>
      <c r="X5" s="747"/>
      <c r="Y5" s="745" t="s">
        <v>652</v>
      </c>
      <c r="Z5" s="746"/>
      <c r="AA5" s="746"/>
      <c r="AB5" s="746"/>
      <c r="AC5" s="746"/>
      <c r="AD5" s="746"/>
      <c r="AE5" s="746"/>
      <c r="AF5" s="746"/>
      <c r="AG5" s="746"/>
      <c r="AH5" s="747"/>
      <c r="AI5" s="742" t="s">
        <v>653</v>
      </c>
      <c r="AJ5" s="743"/>
      <c r="AK5" s="743"/>
      <c r="AL5" s="743"/>
      <c r="AM5" s="743"/>
      <c r="AN5" s="743"/>
      <c r="AO5" s="743"/>
      <c r="AP5" s="743"/>
      <c r="AQ5" s="743"/>
      <c r="AR5" s="744"/>
      <c r="AS5" s="757"/>
      <c r="AT5" s="759"/>
      <c r="AU5" s="748" t="s">
        <v>27</v>
      </c>
      <c r="AV5" s="756"/>
      <c r="AW5" s="756"/>
      <c r="AX5" s="756"/>
      <c r="AY5" s="756"/>
      <c r="AZ5" s="756"/>
      <c r="BA5" s="756"/>
      <c r="BB5" s="749"/>
      <c r="BC5" s="757" t="s">
        <v>402</v>
      </c>
      <c r="BD5" s="759"/>
      <c r="BE5" s="748" t="s">
        <v>26</v>
      </c>
      <c r="BF5" s="756"/>
      <c r="BG5" s="756"/>
      <c r="BH5" s="749"/>
      <c r="BI5" s="748" t="s">
        <v>116</v>
      </c>
      <c r="BJ5" s="756"/>
      <c r="BK5" s="756"/>
      <c r="BL5" s="756"/>
      <c r="BM5" s="756"/>
      <c r="BN5" s="756"/>
      <c r="BO5" s="756"/>
      <c r="BP5" s="749"/>
      <c r="BQ5" s="238" t="s">
        <v>411</v>
      </c>
      <c r="BR5" s="748" t="s">
        <v>467</v>
      </c>
      <c r="BS5" s="749"/>
      <c r="BT5" s="748" t="s">
        <v>468</v>
      </c>
      <c r="BU5" s="756"/>
      <c r="BV5" s="756"/>
      <c r="BW5" s="749"/>
      <c r="BX5" s="745" t="s">
        <v>311</v>
      </c>
      <c r="BY5" s="747"/>
      <c r="BZ5" s="748" t="s">
        <v>313</v>
      </c>
      <c r="CA5" s="756"/>
      <c r="CB5" s="756"/>
      <c r="CC5" s="756"/>
      <c r="CD5" s="756"/>
      <c r="CE5" s="756"/>
      <c r="CF5" s="756"/>
      <c r="CG5" s="756"/>
      <c r="CH5" s="756"/>
      <c r="CI5" s="749"/>
      <c r="CJ5" s="748" t="s">
        <v>338</v>
      </c>
      <c r="CK5" s="756"/>
      <c r="CL5" s="756"/>
      <c r="CM5" s="749"/>
      <c r="CN5" s="757" t="s">
        <v>381</v>
      </c>
      <c r="CO5" s="758"/>
      <c r="CP5" s="758"/>
      <c r="CQ5" s="758"/>
      <c r="CR5" s="758"/>
      <c r="CS5" s="758"/>
      <c r="CT5" s="758"/>
      <c r="CU5" s="758"/>
      <c r="CV5" s="758"/>
      <c r="CW5" s="759"/>
      <c r="CX5" s="748" t="s">
        <v>645</v>
      </c>
      <c r="CY5" s="756"/>
      <c r="CZ5" s="756"/>
      <c r="DA5" s="756"/>
      <c r="DB5" s="756"/>
      <c r="DC5" s="749"/>
      <c r="DD5" s="748" t="s">
        <v>646</v>
      </c>
      <c r="DE5" s="756"/>
      <c r="DF5" s="756"/>
      <c r="DG5" s="756"/>
      <c r="DH5" s="756"/>
      <c r="DI5" s="749"/>
      <c r="DJ5" s="748" t="s">
        <v>647</v>
      </c>
      <c r="DK5" s="756"/>
      <c r="DL5" s="756"/>
      <c r="DM5" s="756"/>
      <c r="DN5" s="756"/>
      <c r="DO5" s="749"/>
      <c r="DP5" s="748" t="s">
        <v>648</v>
      </c>
      <c r="DQ5" s="756"/>
      <c r="DR5" s="756"/>
      <c r="DS5" s="756"/>
      <c r="DT5" s="756"/>
      <c r="DU5" s="756"/>
      <c r="DV5" s="756"/>
      <c r="DW5" s="756"/>
      <c r="DX5" s="756"/>
      <c r="DY5" s="749"/>
      <c r="DZ5" s="748" t="s">
        <v>207</v>
      </c>
      <c r="EA5" s="756"/>
      <c r="EB5" s="756"/>
      <c r="EC5" s="756"/>
      <c r="ED5" s="756"/>
      <c r="EE5" s="756"/>
      <c r="EF5" s="756"/>
      <c r="EG5" s="498"/>
      <c r="EH5" s="499"/>
      <c r="EI5" s="500"/>
      <c r="EJ5" s="748" t="s">
        <v>930</v>
      </c>
      <c r="EK5" s="756"/>
      <c r="EL5" s="749"/>
      <c r="EM5" s="753" t="s">
        <v>929</v>
      </c>
      <c r="EN5" s="754"/>
      <c r="EO5" s="754"/>
      <c r="EP5" s="754"/>
      <c r="EQ5" s="754"/>
      <c r="ER5" s="754"/>
      <c r="ES5" s="754"/>
      <c r="ET5" s="755"/>
      <c r="EU5" s="745" t="s">
        <v>649</v>
      </c>
      <c r="EV5" s="746"/>
      <c r="EW5" s="746"/>
      <c r="EX5" s="746"/>
      <c r="EY5" s="746"/>
      <c r="EZ5" s="746"/>
      <c r="FA5" s="746"/>
      <c r="FB5" s="747"/>
      <c r="FC5" s="745" t="s">
        <v>654</v>
      </c>
      <c r="FD5" s="746"/>
      <c r="FE5" s="746"/>
      <c r="FF5" s="746"/>
      <c r="FG5" s="746"/>
      <c r="FH5" s="746"/>
      <c r="FI5" s="746"/>
      <c r="FJ5" s="747"/>
      <c r="FK5" s="742" t="s">
        <v>655</v>
      </c>
      <c r="FL5" s="743"/>
      <c r="FM5" s="743"/>
      <c r="FN5" s="743"/>
      <c r="FO5" s="743"/>
      <c r="FP5" s="743"/>
      <c r="FQ5" s="743"/>
      <c r="FR5" s="744"/>
      <c r="FS5" s="760" t="s">
        <v>580</v>
      </c>
      <c r="FT5" s="761"/>
      <c r="FU5" s="742" t="s">
        <v>208</v>
      </c>
      <c r="FV5" s="743"/>
      <c r="FW5" s="743"/>
      <c r="FX5" s="743"/>
      <c r="FY5" s="743"/>
      <c r="FZ5" s="744"/>
      <c r="GA5" s="745" t="s">
        <v>337</v>
      </c>
      <c r="GB5" s="746"/>
      <c r="GC5" s="746"/>
      <c r="GD5" s="747"/>
      <c r="GE5" s="742" t="s">
        <v>312</v>
      </c>
      <c r="GF5" s="743"/>
      <c r="GG5" s="743"/>
      <c r="GH5" s="743"/>
      <c r="GI5" s="743"/>
      <c r="GJ5" s="743"/>
      <c r="GK5" s="743"/>
      <c r="GL5" s="744"/>
      <c r="GM5" s="742" t="s">
        <v>320</v>
      </c>
      <c r="GN5" s="743"/>
      <c r="GO5" s="743"/>
      <c r="GP5" s="743"/>
      <c r="GQ5" s="743"/>
      <c r="GR5" s="743"/>
      <c r="GS5" s="743"/>
      <c r="GT5" s="744"/>
      <c r="GU5" s="742" t="s">
        <v>738</v>
      </c>
      <c r="GV5" s="743"/>
      <c r="GW5" s="762"/>
      <c r="GX5" s="762"/>
      <c r="GY5" s="762"/>
      <c r="GZ5" s="762"/>
      <c r="HA5" s="762"/>
      <c r="HB5" s="763"/>
      <c r="HC5" s="742" t="s">
        <v>739</v>
      </c>
      <c r="HD5" s="743"/>
      <c r="HE5" s="762"/>
      <c r="HF5" s="762"/>
      <c r="HG5" s="762"/>
      <c r="HH5" s="762"/>
      <c r="HI5" s="762"/>
      <c r="HJ5" s="763"/>
      <c r="HK5" s="745" t="s">
        <v>663</v>
      </c>
      <c r="HL5" s="746"/>
      <c r="HM5" s="746"/>
      <c r="HN5" s="747"/>
      <c r="HO5" s="745" t="s">
        <v>662</v>
      </c>
      <c r="HP5" s="746"/>
      <c r="HQ5" s="746"/>
      <c r="HR5" s="747"/>
      <c r="HS5" s="745" t="s">
        <v>656</v>
      </c>
      <c r="HT5" s="746"/>
      <c r="HU5" s="746"/>
      <c r="HV5" s="746"/>
      <c r="HW5" s="746"/>
      <c r="HX5" s="746"/>
      <c r="HY5" s="746"/>
      <c r="HZ5" s="746"/>
      <c r="IA5" s="746"/>
      <c r="IB5" s="746"/>
      <c r="IC5" s="746"/>
      <c r="ID5" s="746"/>
      <c r="IE5" s="746"/>
      <c r="IF5" s="747"/>
      <c r="IG5" s="745" t="s">
        <v>657</v>
      </c>
      <c r="IH5" s="746"/>
      <c r="II5" s="746"/>
      <c r="IJ5" s="746"/>
      <c r="IK5" s="746"/>
      <c r="IL5" s="746"/>
      <c r="IM5" s="746"/>
      <c r="IN5" s="746"/>
      <c r="IO5" s="746"/>
      <c r="IP5" s="746"/>
      <c r="IQ5" s="746"/>
      <c r="IR5" s="746"/>
      <c r="IS5" s="746"/>
      <c r="IT5" s="747"/>
      <c r="IU5" s="742" t="s">
        <v>658</v>
      </c>
      <c r="IV5" s="743"/>
      <c r="IW5" s="743"/>
      <c r="IX5" s="743"/>
      <c r="IY5" s="743"/>
      <c r="IZ5" s="743"/>
      <c r="JA5" s="743"/>
      <c r="JB5" s="743"/>
      <c r="JC5" s="743"/>
      <c r="JD5" s="743"/>
      <c r="JE5" s="743"/>
      <c r="JF5" s="743"/>
      <c r="JG5" s="743"/>
      <c r="JH5" s="744"/>
      <c r="JI5" s="742" t="s">
        <v>671</v>
      </c>
      <c r="JJ5" s="743"/>
      <c r="JK5" s="743"/>
      <c r="JL5" s="743"/>
      <c r="JM5" s="743"/>
      <c r="JN5" s="743"/>
      <c r="JO5" s="743"/>
      <c r="JP5" s="743"/>
      <c r="JQ5" s="743"/>
      <c r="JR5" s="743"/>
      <c r="JS5" s="743"/>
      <c r="JT5" s="744"/>
      <c r="JU5" s="745" t="s">
        <v>358</v>
      </c>
      <c r="JV5" s="746"/>
      <c r="JW5" s="746"/>
      <c r="JX5" s="747"/>
      <c r="JY5" s="742" t="s">
        <v>667</v>
      </c>
      <c r="JZ5" s="743"/>
      <c r="KA5" s="743"/>
      <c r="KB5" s="744"/>
      <c r="KC5" s="742" t="s">
        <v>668</v>
      </c>
      <c r="KD5" s="743"/>
      <c r="KE5" s="743"/>
      <c r="KF5" s="743"/>
      <c r="KG5" s="743"/>
      <c r="KH5" s="744"/>
      <c r="KI5" s="742" t="s">
        <v>740</v>
      </c>
      <c r="KJ5" s="743"/>
      <c r="KK5" s="743"/>
      <c r="KL5" s="743"/>
      <c r="KM5" s="743"/>
      <c r="KN5" s="744"/>
      <c r="KO5" s="742" t="s">
        <v>762</v>
      </c>
      <c r="KP5" s="743"/>
      <c r="KQ5" s="743"/>
      <c r="KR5" s="743"/>
      <c r="KS5" s="743"/>
      <c r="KT5" s="743"/>
      <c r="KU5" s="742" t="s">
        <v>763</v>
      </c>
      <c r="KV5" s="743"/>
      <c r="KW5" s="743"/>
      <c r="KX5" s="743"/>
      <c r="KY5" s="743"/>
      <c r="KZ5" s="744"/>
      <c r="LA5" s="742" t="s">
        <v>781</v>
      </c>
      <c r="LB5" s="743"/>
      <c r="LC5" s="743"/>
      <c r="LD5" s="743"/>
      <c r="LE5" s="743"/>
      <c r="LF5" s="744"/>
      <c r="LG5" s="742" t="s">
        <v>368</v>
      </c>
      <c r="LH5" s="743"/>
      <c r="LI5" s="743"/>
      <c r="LJ5" s="743"/>
      <c r="LK5" s="743"/>
      <c r="LL5" s="743"/>
      <c r="LM5" s="743"/>
      <c r="LN5" s="744"/>
      <c r="LQ5" s="251"/>
      <c r="LR5" s="252"/>
      <c r="LS5" s="252"/>
      <c r="LT5" s="252"/>
      <c r="LU5" s="252"/>
      <c r="LV5" s="252"/>
      <c r="LW5" s="252"/>
      <c r="LX5" s="252"/>
      <c r="LY5" s="764" t="s">
        <v>766</v>
      </c>
      <c r="LZ5" s="765"/>
      <c r="MA5" s="765"/>
      <c r="MB5" s="766"/>
      <c r="MC5" s="764" t="s">
        <v>767</v>
      </c>
      <c r="MD5" s="765"/>
      <c r="ME5" s="765"/>
      <c r="MF5" s="766"/>
      <c r="MG5" s="764" t="s">
        <v>766</v>
      </c>
      <c r="MH5" s="765"/>
      <c r="MI5" s="764" t="s">
        <v>767</v>
      </c>
      <c r="MJ5" s="766"/>
      <c r="MK5" s="764" t="s">
        <v>780</v>
      </c>
      <c r="ML5" s="765"/>
      <c r="MM5" s="765"/>
      <c r="MN5" s="766"/>
      <c r="MO5" s="764" t="s">
        <v>768</v>
      </c>
      <c r="MP5" s="765"/>
      <c r="MQ5" s="765"/>
      <c r="MR5" s="765"/>
      <c r="MS5" s="765"/>
      <c r="MT5" s="765"/>
      <c r="MU5" s="765"/>
      <c r="MV5" s="766"/>
      <c r="MW5" s="764" t="s">
        <v>769</v>
      </c>
      <c r="MX5" s="765"/>
      <c r="MY5" s="765"/>
      <c r="MZ5" s="765"/>
      <c r="NA5" s="765"/>
      <c r="NB5" s="765"/>
      <c r="NC5" s="765"/>
      <c r="ND5" s="766"/>
    </row>
    <row r="6" spans="2:368" ht="24.9" customHeight="1" thickBot="1">
      <c r="B6" s="246" t="s">
        <v>339</v>
      </c>
      <c r="C6" s="92" t="s">
        <v>659</v>
      </c>
      <c r="D6" s="92" t="s">
        <v>660</v>
      </c>
      <c r="E6" s="99" t="s">
        <v>109</v>
      </c>
      <c r="F6" s="100" t="s">
        <v>113</v>
      </c>
      <c r="G6" s="82" t="s">
        <v>29</v>
      </c>
      <c r="H6" s="82" t="s">
        <v>0</v>
      </c>
      <c r="I6" s="82" t="s">
        <v>110</v>
      </c>
      <c r="J6" s="94" t="s">
        <v>321</v>
      </c>
      <c r="K6" s="94" t="s">
        <v>329</v>
      </c>
      <c r="L6" s="82" t="s">
        <v>111</v>
      </c>
      <c r="M6" s="82" t="s">
        <v>324</v>
      </c>
      <c r="N6" s="95" t="s">
        <v>112</v>
      </c>
      <c r="O6" s="96" t="s">
        <v>404</v>
      </c>
      <c r="P6" s="75" t="s">
        <v>405</v>
      </c>
      <c r="Q6" s="97" t="s">
        <v>400</v>
      </c>
      <c r="R6" s="75" t="s">
        <v>406</v>
      </c>
      <c r="S6" s="98" t="s">
        <v>407</v>
      </c>
      <c r="T6" s="83" t="s">
        <v>408</v>
      </c>
      <c r="U6" s="74" t="s">
        <v>399</v>
      </c>
      <c r="V6" s="73" t="s">
        <v>409</v>
      </c>
      <c r="W6" s="74" t="s">
        <v>398</v>
      </c>
      <c r="X6" s="76" t="s">
        <v>410</v>
      </c>
      <c r="Y6" s="96" t="s">
        <v>404</v>
      </c>
      <c r="Z6" s="75" t="s">
        <v>405</v>
      </c>
      <c r="AA6" s="97" t="s">
        <v>400</v>
      </c>
      <c r="AB6" s="75" t="s">
        <v>406</v>
      </c>
      <c r="AC6" s="98" t="s">
        <v>407</v>
      </c>
      <c r="AD6" s="83" t="s">
        <v>408</v>
      </c>
      <c r="AE6" s="74" t="s">
        <v>399</v>
      </c>
      <c r="AF6" s="73" t="s">
        <v>409</v>
      </c>
      <c r="AG6" s="74" t="s">
        <v>398</v>
      </c>
      <c r="AH6" s="76" t="s">
        <v>410</v>
      </c>
      <c r="AI6" s="125" t="s">
        <v>457</v>
      </c>
      <c r="AJ6" s="126" t="s">
        <v>458</v>
      </c>
      <c r="AK6" s="127" t="s">
        <v>459</v>
      </c>
      <c r="AL6" s="126" t="s">
        <v>460</v>
      </c>
      <c r="AM6" s="128" t="s">
        <v>461</v>
      </c>
      <c r="AN6" s="129" t="s">
        <v>462</v>
      </c>
      <c r="AO6" s="130" t="s">
        <v>463</v>
      </c>
      <c r="AP6" s="131" t="s">
        <v>464</v>
      </c>
      <c r="AQ6" s="130" t="s">
        <v>465</v>
      </c>
      <c r="AR6" s="132" t="s">
        <v>466</v>
      </c>
      <c r="AS6" s="92" t="s">
        <v>401</v>
      </c>
      <c r="AT6" s="93" t="s">
        <v>2</v>
      </c>
      <c r="AU6" s="136" t="s">
        <v>459</v>
      </c>
      <c r="AV6" s="137" t="s">
        <v>460</v>
      </c>
      <c r="AW6" s="136" t="s">
        <v>461</v>
      </c>
      <c r="AX6" s="137" t="s">
        <v>462</v>
      </c>
      <c r="AY6" s="136" t="s">
        <v>463</v>
      </c>
      <c r="AZ6" s="137" t="s">
        <v>464</v>
      </c>
      <c r="BA6" s="136" t="s">
        <v>465</v>
      </c>
      <c r="BB6" s="138" t="s">
        <v>466</v>
      </c>
      <c r="BC6" s="90" t="s">
        <v>399</v>
      </c>
      <c r="BD6" s="91" t="s">
        <v>400</v>
      </c>
      <c r="BE6" s="140" t="s">
        <v>463</v>
      </c>
      <c r="BF6" s="141" t="s">
        <v>464</v>
      </c>
      <c r="BG6" s="142" t="s">
        <v>459</v>
      </c>
      <c r="BH6" s="135" t="s">
        <v>460</v>
      </c>
      <c r="BI6" s="142" t="s">
        <v>457</v>
      </c>
      <c r="BJ6" s="141" t="s">
        <v>458</v>
      </c>
      <c r="BK6" s="142" t="s">
        <v>459</v>
      </c>
      <c r="BL6" s="141" t="s">
        <v>460</v>
      </c>
      <c r="BM6" s="142" t="s">
        <v>461</v>
      </c>
      <c r="BN6" s="141" t="s">
        <v>462</v>
      </c>
      <c r="BO6" s="142" t="s">
        <v>465</v>
      </c>
      <c r="BP6" s="141" t="s">
        <v>466</v>
      </c>
      <c r="BQ6" s="89" t="s">
        <v>398</v>
      </c>
      <c r="BR6" s="144" t="s">
        <v>469</v>
      </c>
      <c r="BS6" s="145" t="s">
        <v>470</v>
      </c>
      <c r="BT6" s="142" t="s">
        <v>471</v>
      </c>
      <c r="BU6" s="141" t="s">
        <v>472</v>
      </c>
      <c r="BV6" s="145" t="s">
        <v>473</v>
      </c>
      <c r="BW6" s="146" t="s">
        <v>474</v>
      </c>
      <c r="BX6" s="86" t="s">
        <v>396</v>
      </c>
      <c r="BY6" s="87" t="s">
        <v>397</v>
      </c>
      <c r="BZ6" s="149" t="s">
        <v>465</v>
      </c>
      <c r="CA6" s="150" t="s">
        <v>475</v>
      </c>
      <c r="CB6" s="151" t="s">
        <v>476</v>
      </c>
      <c r="CC6" s="150" t="s">
        <v>464</v>
      </c>
      <c r="CD6" s="152" t="s">
        <v>477</v>
      </c>
      <c r="CE6" s="150" t="s">
        <v>478</v>
      </c>
      <c r="CF6" s="152" t="s">
        <v>479</v>
      </c>
      <c r="CG6" s="150" t="s">
        <v>460</v>
      </c>
      <c r="CH6" s="152" t="s">
        <v>480</v>
      </c>
      <c r="CI6" s="153" t="s">
        <v>474</v>
      </c>
      <c r="CJ6" s="152" t="s">
        <v>477</v>
      </c>
      <c r="CK6" s="150" t="s">
        <v>478</v>
      </c>
      <c r="CL6" s="152" t="s">
        <v>481</v>
      </c>
      <c r="CM6" s="153" t="s">
        <v>482</v>
      </c>
      <c r="CN6" s="81" t="s">
        <v>18</v>
      </c>
      <c r="CO6" s="82" t="s">
        <v>127</v>
      </c>
      <c r="CP6" s="82" t="s">
        <v>392</v>
      </c>
      <c r="CQ6" s="82" t="s">
        <v>393</v>
      </c>
      <c r="CR6" s="82" t="s">
        <v>394</v>
      </c>
      <c r="CS6" s="82" t="s">
        <v>395</v>
      </c>
      <c r="CT6" s="83" t="s">
        <v>63</v>
      </c>
      <c r="CU6" s="83" t="s">
        <v>64</v>
      </c>
      <c r="CV6" s="83" t="s">
        <v>65</v>
      </c>
      <c r="CW6" s="84" t="s">
        <v>209</v>
      </c>
      <c r="CX6" s="148" t="s">
        <v>118</v>
      </c>
      <c r="CY6" s="141" t="s">
        <v>165</v>
      </c>
      <c r="CZ6" s="141" t="s">
        <v>117</v>
      </c>
      <c r="DA6" s="141" t="s">
        <v>166</v>
      </c>
      <c r="DB6" s="141" t="s">
        <v>164</v>
      </c>
      <c r="DC6" s="135" t="s">
        <v>167</v>
      </c>
      <c r="DD6" s="148" t="s">
        <v>124</v>
      </c>
      <c r="DE6" s="148" t="s">
        <v>741</v>
      </c>
      <c r="DF6" s="141" t="s">
        <v>125</v>
      </c>
      <c r="DG6" s="141" t="s">
        <v>742</v>
      </c>
      <c r="DH6" s="141" t="s">
        <v>126</v>
      </c>
      <c r="DI6" s="141" t="s">
        <v>743</v>
      </c>
      <c r="DJ6" s="148" t="s">
        <v>121</v>
      </c>
      <c r="DK6" s="141" t="s">
        <v>744</v>
      </c>
      <c r="DL6" s="141" t="s">
        <v>122</v>
      </c>
      <c r="DM6" s="141" t="s">
        <v>745</v>
      </c>
      <c r="DN6" s="141" t="s">
        <v>211</v>
      </c>
      <c r="DO6" s="135" t="s">
        <v>746</v>
      </c>
      <c r="DP6" s="148" t="s">
        <v>221</v>
      </c>
      <c r="DQ6" s="141" t="s">
        <v>222</v>
      </c>
      <c r="DR6" s="141" t="s">
        <v>223</v>
      </c>
      <c r="DS6" s="141" t="s">
        <v>676</v>
      </c>
      <c r="DT6" s="141" t="s">
        <v>314</v>
      </c>
      <c r="DU6" s="141" t="s">
        <v>315</v>
      </c>
      <c r="DV6" s="141" t="s">
        <v>316</v>
      </c>
      <c r="DW6" s="141" t="s">
        <v>317</v>
      </c>
      <c r="DX6" s="141" t="s">
        <v>593</v>
      </c>
      <c r="DY6" s="135" t="s">
        <v>747</v>
      </c>
      <c r="DZ6" s="149" t="s">
        <v>483</v>
      </c>
      <c r="EA6" s="150" t="s">
        <v>484</v>
      </c>
      <c r="EB6" s="152" t="s">
        <v>595</v>
      </c>
      <c r="EC6" s="150" t="s">
        <v>596</v>
      </c>
      <c r="ED6" s="155" t="s">
        <v>71</v>
      </c>
      <c r="EE6" s="155" t="s">
        <v>72</v>
      </c>
      <c r="EF6" s="156" t="s">
        <v>225</v>
      </c>
      <c r="EG6" s="155" t="s">
        <v>71</v>
      </c>
      <c r="EH6" s="155" t="s">
        <v>72</v>
      </c>
      <c r="EI6" s="156" t="s">
        <v>225</v>
      </c>
      <c r="EJ6" s="483" t="s">
        <v>917</v>
      </c>
      <c r="EK6" s="129" t="s">
        <v>71</v>
      </c>
      <c r="EL6" s="186" t="s">
        <v>72</v>
      </c>
      <c r="EM6" s="185" t="s">
        <v>923</v>
      </c>
      <c r="EN6" s="184" t="s">
        <v>924</v>
      </c>
      <c r="EO6" s="185" t="s">
        <v>925</v>
      </c>
      <c r="EP6" s="184" t="s">
        <v>928</v>
      </c>
      <c r="EQ6" s="183" t="s">
        <v>921</v>
      </c>
      <c r="ER6" s="184" t="s">
        <v>922</v>
      </c>
      <c r="ES6" s="185" t="s">
        <v>926</v>
      </c>
      <c r="ET6" s="184" t="s">
        <v>927</v>
      </c>
      <c r="EU6" s="72" t="s">
        <v>384</v>
      </c>
      <c r="EV6" s="73" t="s">
        <v>385</v>
      </c>
      <c r="EW6" s="74" t="s">
        <v>386</v>
      </c>
      <c r="EX6" s="75" t="s">
        <v>387</v>
      </c>
      <c r="EY6" s="74" t="s">
        <v>388</v>
      </c>
      <c r="EZ6" s="73" t="s">
        <v>389</v>
      </c>
      <c r="FA6" s="74" t="s">
        <v>390</v>
      </c>
      <c r="FB6" s="76" t="s">
        <v>391</v>
      </c>
      <c r="FC6" s="77" t="s">
        <v>384</v>
      </c>
      <c r="FD6" s="78" t="s">
        <v>385</v>
      </c>
      <c r="FE6" s="79" t="s">
        <v>386</v>
      </c>
      <c r="FF6" s="73" t="s">
        <v>387</v>
      </c>
      <c r="FG6" s="79" t="s">
        <v>388</v>
      </c>
      <c r="FH6" s="78" t="s">
        <v>389</v>
      </c>
      <c r="FI6" s="79" t="s">
        <v>390</v>
      </c>
      <c r="FJ6" s="80" t="s">
        <v>391</v>
      </c>
      <c r="FK6" s="187" t="s">
        <v>581</v>
      </c>
      <c r="FL6" s="181" t="s">
        <v>582</v>
      </c>
      <c r="FM6" s="180" t="s">
        <v>583</v>
      </c>
      <c r="FN6" s="188" t="s">
        <v>584</v>
      </c>
      <c r="FO6" s="180" t="s">
        <v>554</v>
      </c>
      <c r="FP6" s="181" t="s">
        <v>555</v>
      </c>
      <c r="FQ6" s="180" t="s">
        <v>556</v>
      </c>
      <c r="FR6" s="182" t="s">
        <v>557</v>
      </c>
      <c r="FS6" s="125" t="s">
        <v>554</v>
      </c>
      <c r="FT6" s="189" t="s">
        <v>555</v>
      </c>
      <c r="FU6" s="125" t="s">
        <v>550</v>
      </c>
      <c r="FV6" s="126" t="s">
        <v>551</v>
      </c>
      <c r="FW6" s="127" t="s">
        <v>552</v>
      </c>
      <c r="FX6" s="126" t="s">
        <v>553</v>
      </c>
      <c r="FY6" s="127" t="s">
        <v>585</v>
      </c>
      <c r="FZ6" s="126" t="s">
        <v>586</v>
      </c>
      <c r="GA6" s="69" t="s">
        <v>382</v>
      </c>
      <c r="GB6" s="70" t="s">
        <v>383</v>
      </c>
      <c r="GC6" s="70" t="s">
        <v>356</v>
      </c>
      <c r="GD6" s="71" t="s">
        <v>357</v>
      </c>
      <c r="GE6" s="125" t="s">
        <v>550</v>
      </c>
      <c r="GF6" s="126" t="s">
        <v>551</v>
      </c>
      <c r="GG6" s="127" t="s">
        <v>552</v>
      </c>
      <c r="GH6" s="126" t="s">
        <v>553</v>
      </c>
      <c r="GI6" s="180" t="s">
        <v>554</v>
      </c>
      <c r="GJ6" s="181" t="s">
        <v>555</v>
      </c>
      <c r="GK6" s="180" t="s">
        <v>556</v>
      </c>
      <c r="GL6" s="182" t="s">
        <v>557</v>
      </c>
      <c r="GM6" s="183" t="s">
        <v>558</v>
      </c>
      <c r="GN6" s="184" t="s">
        <v>559</v>
      </c>
      <c r="GO6" s="185" t="s">
        <v>560</v>
      </c>
      <c r="GP6" s="184" t="s">
        <v>561</v>
      </c>
      <c r="GQ6" s="185" t="s">
        <v>562</v>
      </c>
      <c r="GR6" s="184" t="s">
        <v>563</v>
      </c>
      <c r="GS6" s="128" t="s">
        <v>564</v>
      </c>
      <c r="GT6" s="186" t="s">
        <v>565</v>
      </c>
      <c r="GU6" s="236" t="s">
        <v>21</v>
      </c>
      <c r="GV6" s="110" t="s">
        <v>748</v>
      </c>
      <c r="GW6" s="179" t="s">
        <v>661</v>
      </c>
      <c r="GX6" s="162" t="s">
        <v>2</v>
      </c>
      <c r="GY6" s="162" t="s">
        <v>684</v>
      </c>
      <c r="GZ6" s="162" t="s">
        <v>2</v>
      </c>
      <c r="HA6" s="162" t="s">
        <v>665</v>
      </c>
      <c r="HB6" s="163" t="s">
        <v>2</v>
      </c>
      <c r="HC6" s="236" t="s">
        <v>340</v>
      </c>
      <c r="HD6" s="110" t="s">
        <v>749</v>
      </c>
      <c r="HE6" s="179" t="s">
        <v>661</v>
      </c>
      <c r="HF6" s="162" t="s">
        <v>2</v>
      </c>
      <c r="HG6" s="162" t="s">
        <v>685</v>
      </c>
      <c r="HH6" s="162" t="s">
        <v>2</v>
      </c>
      <c r="HI6" s="162" t="s">
        <v>664</v>
      </c>
      <c r="HJ6" s="163" t="s">
        <v>2</v>
      </c>
      <c r="HK6" s="224" t="s">
        <v>414</v>
      </c>
      <c r="HL6" s="227" t="s">
        <v>666</v>
      </c>
      <c r="HM6" s="278" t="s">
        <v>937</v>
      </c>
      <c r="HN6" s="278" t="s">
        <v>2</v>
      </c>
      <c r="HO6" s="224" t="s">
        <v>412</v>
      </c>
      <c r="HP6" s="227" t="s">
        <v>666</v>
      </c>
      <c r="HQ6" s="278" t="s">
        <v>938</v>
      </c>
      <c r="HR6" s="507" t="s">
        <v>666</v>
      </c>
      <c r="HS6" s="112" t="s">
        <v>416</v>
      </c>
      <c r="HT6" s="113" t="s">
        <v>417</v>
      </c>
      <c r="HU6" s="114" t="s">
        <v>418</v>
      </c>
      <c r="HV6" s="113" t="s">
        <v>419</v>
      </c>
      <c r="HW6" s="114" t="s">
        <v>420</v>
      </c>
      <c r="HX6" s="113" t="s">
        <v>421</v>
      </c>
      <c r="HY6" s="114" t="s">
        <v>422</v>
      </c>
      <c r="HZ6" s="113" t="s">
        <v>423</v>
      </c>
      <c r="IA6" s="114" t="s">
        <v>424</v>
      </c>
      <c r="IB6" s="113" t="s">
        <v>425</v>
      </c>
      <c r="IC6" s="114" t="s">
        <v>426</v>
      </c>
      <c r="ID6" s="115" t="s">
        <v>427</v>
      </c>
      <c r="IE6" s="114" t="s">
        <v>428</v>
      </c>
      <c r="IF6" s="116" t="s">
        <v>429</v>
      </c>
      <c r="IG6" s="112" t="s">
        <v>416</v>
      </c>
      <c r="IH6" s="113" t="s">
        <v>417</v>
      </c>
      <c r="II6" s="114" t="s">
        <v>418</v>
      </c>
      <c r="IJ6" s="113" t="s">
        <v>419</v>
      </c>
      <c r="IK6" s="114" t="s">
        <v>420</v>
      </c>
      <c r="IL6" s="113" t="s">
        <v>421</v>
      </c>
      <c r="IM6" s="114" t="s">
        <v>422</v>
      </c>
      <c r="IN6" s="113" t="s">
        <v>423</v>
      </c>
      <c r="IO6" s="114" t="s">
        <v>424</v>
      </c>
      <c r="IP6" s="113" t="s">
        <v>425</v>
      </c>
      <c r="IQ6" s="114" t="s">
        <v>426</v>
      </c>
      <c r="IR6" s="115" t="s">
        <v>427</v>
      </c>
      <c r="IS6" s="114" t="s">
        <v>428</v>
      </c>
      <c r="IT6" s="116" t="s">
        <v>429</v>
      </c>
      <c r="IU6" s="172" t="s">
        <v>516</v>
      </c>
      <c r="IV6" s="173" t="s">
        <v>517</v>
      </c>
      <c r="IW6" s="174" t="s">
        <v>518</v>
      </c>
      <c r="IX6" s="173" t="s">
        <v>519</v>
      </c>
      <c r="IY6" s="174" t="s">
        <v>520</v>
      </c>
      <c r="IZ6" s="173" t="s">
        <v>521</v>
      </c>
      <c r="JA6" s="174" t="s">
        <v>522</v>
      </c>
      <c r="JB6" s="173" t="s">
        <v>523</v>
      </c>
      <c r="JC6" s="174" t="s">
        <v>524</v>
      </c>
      <c r="JD6" s="173" t="s">
        <v>525</v>
      </c>
      <c r="JE6" s="174" t="s">
        <v>526</v>
      </c>
      <c r="JF6" s="175" t="s">
        <v>527</v>
      </c>
      <c r="JG6" s="174" t="s">
        <v>528</v>
      </c>
      <c r="JH6" s="176" t="s">
        <v>529</v>
      </c>
      <c r="JI6" s="177" t="s">
        <v>530</v>
      </c>
      <c r="JJ6" s="162" t="s">
        <v>531</v>
      </c>
      <c r="JK6" s="178" t="s">
        <v>532</v>
      </c>
      <c r="JL6" s="162" t="s">
        <v>533</v>
      </c>
      <c r="JM6" s="178" t="s">
        <v>534</v>
      </c>
      <c r="JN6" s="162" t="s">
        <v>535</v>
      </c>
      <c r="JO6" s="178" t="s">
        <v>536</v>
      </c>
      <c r="JP6" s="162" t="s">
        <v>537</v>
      </c>
      <c r="JQ6" s="178" t="s">
        <v>538</v>
      </c>
      <c r="JR6" s="162" t="s">
        <v>539</v>
      </c>
      <c r="JS6" s="178" t="s">
        <v>540</v>
      </c>
      <c r="JT6" s="163" t="s">
        <v>541</v>
      </c>
      <c r="JU6" s="69" t="s">
        <v>430</v>
      </c>
      <c r="JV6" s="70" t="s">
        <v>431</v>
      </c>
      <c r="JW6" s="70" t="s">
        <v>354</v>
      </c>
      <c r="JX6" s="70" t="s">
        <v>355</v>
      </c>
      <c r="JY6" s="179" t="s">
        <v>542</v>
      </c>
      <c r="JZ6" s="162" t="s">
        <v>543</v>
      </c>
      <c r="KA6" s="162" t="s">
        <v>544</v>
      </c>
      <c r="KB6" s="162" t="s">
        <v>545</v>
      </c>
      <c r="KC6" s="224" t="s">
        <v>432</v>
      </c>
      <c r="KD6" s="227" t="s">
        <v>750</v>
      </c>
      <c r="KE6" s="162" t="s">
        <v>364</v>
      </c>
      <c r="KF6" s="162" t="s">
        <v>365</v>
      </c>
      <c r="KG6" s="162" t="s">
        <v>359</v>
      </c>
      <c r="KH6" s="162" t="s">
        <v>360</v>
      </c>
      <c r="KI6" s="235" t="s">
        <v>22</v>
      </c>
      <c r="KJ6" s="227" t="s">
        <v>751</v>
      </c>
      <c r="KK6" s="162" t="s">
        <v>669</v>
      </c>
      <c r="KL6" s="162" t="s">
        <v>2</v>
      </c>
      <c r="KM6" s="162" t="s">
        <v>670</v>
      </c>
      <c r="KN6" s="162" t="s">
        <v>2</v>
      </c>
      <c r="KO6" s="171" t="s">
        <v>510</v>
      </c>
      <c r="KP6" s="165" t="s">
        <v>511</v>
      </c>
      <c r="KQ6" s="164" t="s">
        <v>512</v>
      </c>
      <c r="KR6" s="165" t="s">
        <v>513</v>
      </c>
      <c r="KS6" s="164" t="s">
        <v>514</v>
      </c>
      <c r="KT6" s="165" t="s">
        <v>515</v>
      </c>
      <c r="KU6" s="224" t="s">
        <v>434</v>
      </c>
      <c r="KV6" s="227" t="s">
        <v>752</v>
      </c>
      <c r="KW6" s="162" t="s">
        <v>370</v>
      </c>
      <c r="KX6" s="162" t="s">
        <v>371</v>
      </c>
      <c r="KY6" s="162" t="s">
        <v>366</v>
      </c>
      <c r="KZ6" s="163" t="s">
        <v>367</v>
      </c>
      <c r="LA6" s="224" t="s">
        <v>764</v>
      </c>
      <c r="LB6" s="227" t="s">
        <v>765</v>
      </c>
      <c r="LC6" s="162" t="s">
        <v>370</v>
      </c>
      <c r="LD6" s="162" t="s">
        <v>371</v>
      </c>
      <c r="LE6" s="162" t="s">
        <v>366</v>
      </c>
      <c r="LF6" s="163" t="s">
        <v>367</v>
      </c>
      <c r="LG6" s="171" t="s">
        <v>500</v>
      </c>
      <c r="LH6" s="165" t="s">
        <v>501</v>
      </c>
      <c r="LI6" s="164" t="s">
        <v>683</v>
      </c>
      <c r="LJ6" s="165" t="s">
        <v>502</v>
      </c>
      <c r="LK6" s="165" t="s">
        <v>373</v>
      </c>
      <c r="LL6" s="162" t="s">
        <v>376</v>
      </c>
      <c r="LM6" s="162" t="s">
        <v>374</v>
      </c>
      <c r="LN6" s="163" t="s">
        <v>375</v>
      </c>
      <c r="LO6" s="11"/>
      <c r="LP6" s="11"/>
      <c r="LQ6" s="231" t="s">
        <v>675</v>
      </c>
      <c r="LR6" s="255" t="s">
        <v>29</v>
      </c>
      <c r="LS6" s="232" t="s">
        <v>117</v>
      </c>
      <c r="LT6" s="232" t="s">
        <v>166</v>
      </c>
      <c r="LU6" s="232" t="s">
        <v>125</v>
      </c>
      <c r="LV6" s="232" t="s">
        <v>742</v>
      </c>
      <c r="LW6" s="232" t="s">
        <v>122</v>
      </c>
      <c r="LX6" s="232" t="s">
        <v>745</v>
      </c>
      <c r="LY6" s="253" t="s">
        <v>672</v>
      </c>
      <c r="LZ6" s="209" t="s">
        <v>342</v>
      </c>
      <c r="MA6" s="209" t="s">
        <v>673</v>
      </c>
      <c r="MB6" s="254" t="s">
        <v>342</v>
      </c>
      <c r="MC6" s="253" t="s">
        <v>672</v>
      </c>
      <c r="MD6" s="209" t="s">
        <v>342</v>
      </c>
      <c r="ME6" s="209" t="s">
        <v>673</v>
      </c>
      <c r="MF6" s="254" t="s">
        <v>342</v>
      </c>
      <c r="MG6" s="253" t="s">
        <v>359</v>
      </c>
      <c r="MH6" s="254" t="s">
        <v>360</v>
      </c>
      <c r="MI6" s="253" t="s">
        <v>359</v>
      </c>
      <c r="MJ6" s="254" t="s">
        <v>360</v>
      </c>
      <c r="MK6" s="233" t="s">
        <v>674</v>
      </c>
      <c r="ML6" s="233" t="s">
        <v>367</v>
      </c>
      <c r="MM6" s="233" t="s">
        <v>374</v>
      </c>
      <c r="MN6" s="234" t="s">
        <v>375</v>
      </c>
      <c r="MO6" s="120" t="s">
        <v>314</v>
      </c>
      <c r="MP6" s="103" t="s">
        <v>315</v>
      </c>
      <c r="MQ6" s="103" t="s">
        <v>754</v>
      </c>
      <c r="MR6" s="103" t="s">
        <v>755</v>
      </c>
      <c r="MS6" s="103" t="s">
        <v>756</v>
      </c>
      <c r="MT6" s="103" t="s">
        <v>757</v>
      </c>
      <c r="MU6" s="103" t="s">
        <v>677</v>
      </c>
      <c r="MV6" s="104" t="s">
        <v>678</v>
      </c>
      <c r="MW6" s="120" t="s">
        <v>679</v>
      </c>
      <c r="MX6" s="103" t="s">
        <v>680</v>
      </c>
      <c r="MY6" s="103" t="s">
        <v>758</v>
      </c>
      <c r="MZ6" s="103" t="s">
        <v>759</v>
      </c>
      <c r="NA6" s="103" t="s">
        <v>761</v>
      </c>
      <c r="NB6" s="103" t="s">
        <v>760</v>
      </c>
      <c r="NC6" s="103" t="s">
        <v>681</v>
      </c>
      <c r="ND6" s="104" t="s">
        <v>682</v>
      </c>
    </row>
    <row r="7" spans="2:368">
      <c r="B7" s="245" t="s">
        <v>932</v>
      </c>
      <c r="C7" s="5">
        <f>9.1/1000</f>
        <v>9.1000000000000004E-3</v>
      </c>
      <c r="D7" s="66">
        <f>C7*0.5%</f>
        <v>4.5500000000000001E-5</v>
      </c>
      <c r="E7" s="67">
        <v>44727</v>
      </c>
      <c r="F7" s="5" t="s">
        <v>210</v>
      </c>
      <c r="G7" s="5" t="s">
        <v>893</v>
      </c>
      <c r="H7" s="5">
        <v>1</v>
      </c>
      <c r="J7" s="327">
        <v>44644</v>
      </c>
      <c r="K7" s="67" t="s">
        <v>823</v>
      </c>
      <c r="L7" s="5">
        <v>0.5</v>
      </c>
      <c r="M7" s="5">
        <v>0.31</v>
      </c>
      <c r="N7" s="5">
        <v>30</v>
      </c>
      <c r="O7" s="6">
        <v>319.24349599999999</v>
      </c>
      <c r="P7" s="6">
        <v>0.10508199999999999</v>
      </c>
      <c r="Q7" s="6">
        <v>0.35747699999999999</v>
      </c>
      <c r="R7" s="6">
        <v>5.143E-3</v>
      </c>
      <c r="S7" s="6">
        <v>235.37074999999999</v>
      </c>
      <c r="T7" s="6">
        <v>0.24144699999999999</v>
      </c>
      <c r="U7" s="6">
        <v>0.59128899999999995</v>
      </c>
      <c r="V7" s="6">
        <v>0.21076500000000001</v>
      </c>
      <c r="W7" s="6">
        <v>1.164552</v>
      </c>
      <c r="X7" s="6">
        <v>6.5209999999999999E-3</v>
      </c>
      <c r="Y7" s="6">
        <v>6.3067744999999995</v>
      </c>
      <c r="Z7" s="6">
        <v>0.93511705857555649</v>
      </c>
      <c r="AA7" s="6">
        <v>4.3458000000000004E-2</v>
      </c>
      <c r="AB7" s="6">
        <v>2.986365296923112E-2</v>
      </c>
      <c r="AC7" s="6">
        <v>2.21285175</v>
      </c>
      <c r="AD7" s="6">
        <v>2.0188658876193135</v>
      </c>
      <c r="AE7" s="6">
        <v>1.3901317499999999</v>
      </c>
      <c r="AF7" s="6">
        <v>1.1954009646957722</v>
      </c>
      <c r="AG7" s="6">
        <v>0.25606525000000002</v>
      </c>
      <c r="AH7" s="6">
        <v>0.21678044365882418</v>
      </c>
      <c r="AI7" s="133">
        <f t="shared" ref="AI7:AI18" si="0">Ar40Raw-Ar40Blank</f>
        <v>312.93672149999998</v>
      </c>
      <c r="AJ7" s="133">
        <f t="shared" ref="AJ7:AJ18" si="1">SQRT(Ar40Blankerr^2+Ar40Rawerr^2)</f>
        <v>0.94100273111346533</v>
      </c>
      <c r="AK7" s="133">
        <f t="shared" ref="AK7:AK18" si="2">Ar39Raw-Ar39Blank</f>
        <v>0.31401899999999999</v>
      </c>
      <c r="AL7" s="133">
        <f t="shared" ref="AL7:AL18" si="3">SQRT(Ar39Blankerr^2+Ar39Rawerr^2)</f>
        <v>3.030327074206127E-2</v>
      </c>
      <c r="AM7" s="133">
        <f t="shared" ref="AM7:AM18" si="4">Ar38Raw-Ar38Blank</f>
        <v>233.15789824999999</v>
      </c>
      <c r="AN7" s="133">
        <f t="shared" ref="AN7:AN18" si="5">SQRT(Ar38Blankerr^2+Ar38Rawerr^2)</f>
        <v>2.0332525976872424</v>
      </c>
      <c r="AO7" s="133">
        <f t="shared" ref="AO7:AO18" si="6">Ar37Raw-Ar37Blank</f>
        <v>-0.79884274999999993</v>
      </c>
      <c r="AP7" s="133">
        <f t="shared" ref="AP7:AP18" si="7">SQRT(Ar37Blankerr^2+Ar37Rawerr^2)</f>
        <v>1.2138390962646501</v>
      </c>
      <c r="AQ7" s="133">
        <f t="shared" ref="AQ7:AQ18" si="8">Ar36Raw-Ar36Blank</f>
        <v>0.90848675000000001</v>
      </c>
      <c r="AR7" s="133">
        <f t="shared" ref="AR7:AR18" si="9">SQRT(Ar36Blankerr^2+Ar36Rawerr^2)</f>
        <v>0.2168785009951808</v>
      </c>
      <c r="AS7" s="5">
        <v>300.7</v>
      </c>
      <c r="AT7" s="5">
        <v>0.28000000000000003</v>
      </c>
      <c r="AU7" s="133">
        <f t="shared" ref="AU7:AU19" si="10">Ar39BC*(1+(Ar4036_Aircal/Ar4036_Air-1)/4)</f>
        <v>0.31540047106598984</v>
      </c>
      <c r="AV7" s="133">
        <f t="shared" ref="AV7:AV19" si="11">SQRT(Ar39BCerr^2+(Ar39BC*(Ar4036_Aircal/Ar4036_Air-1)/4)^2*((Ar4036_Aircalerr/Ar4036_Aircal)^2+(Ar39BCerr/Ar39BC)^2+(Ar4036_airerr/Ar4036_Air)^2))</f>
        <v>3.0303564048025006E-2</v>
      </c>
      <c r="AW7" s="133">
        <f t="shared" ref="AW7:AW19" si="12">Ar38BC*(1+2*(Ar4036_Aircal/Ar4036_Air-1)/4)</f>
        <v>235.2093721432318</v>
      </c>
      <c r="AX7" s="133">
        <f t="shared" ref="AX7:AX19" si="13">SQRT(Ar38BCerr^2+(Ar38BC*(Ar4036_Aircal/Ar4036_Air-1)/4)^2*((Ar4036_Aircalerr/Ar4036_Aircal)^2+(Ar38BCerr/Ar38BC)^2+(Ar4036_airerr/Ar4036_Air)^2))</f>
        <v>2.0332727825010468</v>
      </c>
      <c r="AY7" s="133">
        <f t="shared" ref="AY7:AY19" si="14">Ar37BC*(1+3*(Ar4036_Aircal/Ar4036_Air-1)/4)</f>
        <v>-0.80938585228426396</v>
      </c>
      <c r="AZ7" s="133">
        <f t="shared" ref="AZ7:AZ19" si="15">SQRT(Ar37BCerr^2+(Ar37BC*(Ar4036_Aircal/Ar4036_Air-1)/3)^2*((Ar4036_Aircalerr/Ar4036_Aircal)^2+(Ar37BCerr/Ar37BC)^2+(Ar4036_airerr/Ar4036_Air)^2))</f>
        <v>1.2138599784991122</v>
      </c>
      <c r="BA7" s="133">
        <f t="shared" ref="BA7:BA19" si="16">Ar36BC*(1+4*(Ar4036_Aircal/Ar4036_Air-1)/4)</f>
        <v>0.92447365727580377</v>
      </c>
      <c r="BB7" s="133">
        <f t="shared" ref="BB7:BB19" si="17">SQRT(Ar36BCerr^2+(Ar36BC*(Ar4036_Aircal/Ar4036_Air-1)/4)^2*((Ar4036_Aircalerr/Ar4036_Aircal)^2+(Ar36BCerr/Ar36BC)^2+(Ar4036_airerr/Ar4036_Air)^2))</f>
        <v>0.21688059979556021</v>
      </c>
      <c r="BC7" s="6"/>
      <c r="BD7" s="8"/>
      <c r="BE7" s="133">
        <f>IF(Rad_Type="Continuous", Ar37_DC*EXP(lambda_37Ar*(Run_Date-Rad_Date)),Ar37_DC*Ar37_DecayFactor)</f>
        <v>-4.1686258809950711</v>
      </c>
      <c r="BF7" s="133">
        <f t="shared" ref="BF7:BF19" si="18">IF(Rad_Type="Continuous", (Ar37_DCerr*EXP(lambda_37Ar*(Run_Date-Rad_Date))), Ar37_DCerr*Ar37_DecayFactor)</f>
        <v>6.2518119238120251</v>
      </c>
      <c r="BG7" s="133">
        <f t="shared" ref="BG7:BG19" si="19">IF(Rad_Type="Continuous", Ar39_DC*EXP(lambda_39Ar*(Run_Date-Rad_Date)), Ar39_DC*Ar39_DecayFactor)</f>
        <v>0.31558533321169269</v>
      </c>
      <c r="BH7" s="133">
        <f t="shared" ref="BH7:BH19" si="20">IF(Rad_Type="Continuous", (Ar39_DCerr*EXP(lambda_39Ar*(Run_Date-Rad_Date))), Ar39_DCerr*Ar39_DecayFactor)</f>
        <v>3.0321325536628457E-2</v>
      </c>
      <c r="BI7" s="143">
        <f t="shared" ref="BI7:BI19" si="21">Ar40BC-(Salt_40Ar39Ar_K*Ar39_IC)</f>
        <v>312.89513124193758</v>
      </c>
      <c r="BJ7" s="133">
        <f t="shared" ref="BJ7:BJ19" si="22">SQRT(Ar40BCerr^2+(Ar39_ICerr*Salt_40Ar39Ar_K)^2)</f>
        <v>0.94101130845531233</v>
      </c>
      <c r="BK7" s="143">
        <f t="shared" ref="BK7:BK19" si="23">Ar39_DecayCor-(Salt_39Ar37Ar_Ca*Ar37_DecayCor)</f>
        <v>0.31939490685534172</v>
      </c>
      <c r="BL7" s="133">
        <f t="shared" ref="BL7:BL19" si="24">SQRT(Ar39_DecayCorerr^2+(Ar37_DecayCorerr*Salt_39Ar37Ar_Ca)^2)</f>
        <v>3.0854901218176668E-2</v>
      </c>
      <c r="BM7" s="143">
        <f t="shared" ref="BM7:BM19" si="25">Ar38_DC-(Salt_38Ar39Ar_K*Ar39_DecayCor)</f>
        <v>235.20449884332962</v>
      </c>
      <c r="BN7" s="133">
        <f t="shared" ref="BN7:BN19" si="26">SQRT(Ar38_DCerr^2+(Ar39_DecayCorerr*Salt_38Ar39Ar_K)^2)</f>
        <v>2.0332728364127899</v>
      </c>
      <c r="BO7" s="147">
        <f t="shared" ref="BO7:BO19" si="27">Ar36_DC-(Salt_36Ar37Ar_Ca*Ar37_DecayCor)</f>
        <v>0.92592779548696713</v>
      </c>
      <c r="BP7" s="147">
        <f t="shared" ref="BP7:BP19" si="28">SQRT(Ar36_DCerr^2+(Ar37_DecayCorerr*Salt_36Ar37Ar_Ca)^2)</f>
        <v>0.21689156396308451</v>
      </c>
      <c r="BR7" s="147">
        <f t="shared" ref="BR7:BR19" si="29">IF(Rad_Type="Continuous", BO7-((EXP(lambda_36Ar*(Run_Date-Rad_Date))-1)*Cl3638_PR*BT7),BO7*Ar36_DecayFactor)</f>
        <v>0.88816533595302094</v>
      </c>
      <c r="BS7" s="147">
        <f t="shared" ref="BS7:BS19" si="30">IF(K:K="Continuous", SQRT(BP7^2+(((EXP(lambda_36Ar*(Run_Date-Rad_Date))-1)*Cl3638_PR)*BU7^2)), Ar36_ICerr*Ar36_DecayFactor)</f>
        <v>0.21695004807808904</v>
      </c>
      <c r="BT7" s="143">
        <f t="shared" ref="BT7:BT18" si="31">IF(Rad_Type="Continuous", BM7-(Ar3836_Air*BO7)/(1-lambda_36Ar*(Run_Date-Rad_Date)),Ar38_IC-(Ar3836_Air*Ar36_IC)/Ar36_DecayFactor)</f>
        <v>235.03042432926972</v>
      </c>
      <c r="BU7" s="147">
        <f t="shared" ref="BU7:BU19" si="32">IF(Rad_Type ="Continuous", SQRT(BN7^2*(((EXP(lambda_36Ar*(Run_Date-Rad_Date))-1*Ar3836_Air)*BP7^2))),SQRT(Ar38_ICerr^2*(((EXP(lambda_36Ar*(Ar36_DecayFactor))-1*Ar3836_Air)*Ar36_ICerr^2))))</f>
        <v>0.39738957492363941</v>
      </c>
      <c r="BV7" s="143">
        <f t="shared" ref="BV7:BV19" si="33">Ar40_IC-(Ar36_ClCor*Ar4036_Air)</f>
        <v>50.442274467819914</v>
      </c>
      <c r="BW7" s="143">
        <f t="shared" ref="BW7:BW19" si="34">SQRT(Ar40_ICerr^2+(Ar36_ClCorerr*Ar4036_Air)^2)</f>
        <v>64.115645087633936</v>
      </c>
      <c r="BX7" s="3">
        <v>1.6986774770655257E-12</v>
      </c>
      <c r="BY7" s="3">
        <v>9.4454002365720605E-16</v>
      </c>
      <c r="BZ7" s="157">
        <f t="shared" ref="BZ7:BZ19" si="35">Ar_Sensitivity*Ar36_ClCor</f>
        <v>1.5087064520937326E-12</v>
      </c>
      <c r="CA7" s="157">
        <f t="shared" ref="CA7:CA19" si="36">Ar36CC*SQRT((Ar36_ClCorerr/Ar36_ClCor)^2+(Ar_sensitivityerr/Ar_Sensitivity)^2)</f>
        <v>3.6852911515089792E-13</v>
      </c>
      <c r="CB7" s="157">
        <f t="shared" ref="CB7:CB19" si="37">Ar37_DecayCor*Ar_Sensitivity</f>
        <v>-7.0811508943587616E-12</v>
      </c>
      <c r="CC7" s="158">
        <f t="shared" ref="CC7:CC19" si="38">Ar37CC*SQRT((Ar37_DecayCorerr/Ar37_DecayCor)^2+(Ar_sensitivityerr/Ar_Sensitivity)^2)</f>
        <v>-1.0619812835756685E-11</v>
      </c>
      <c r="CD7" s="157">
        <f t="shared" ref="CD7:CD19" si="39">Ar_Sensitivity*Ar38_Cl</f>
        <v>3.9924088823328381E-10</v>
      </c>
      <c r="CE7" s="477">
        <f t="shared" ref="CE7:CE19" si="40">Ar38CC*SQRT((Ar38_Clerr/Ar38_Cl)^2+(Ar_sensitivityerr/Ar_Sensitivity)^2)</f>
        <v>7.106030111081277E-13</v>
      </c>
      <c r="CF7" s="157">
        <f t="shared" ref="CF7:CF19" si="41">Ar_Sensitivity*Ar39_IC</f>
        <v>5.4254893456461049E-13</v>
      </c>
      <c r="CG7" s="157">
        <f t="shared" ref="CG7:CG19" si="42">Ar39CC*SQRT((Ar39_ICerr/Ar39_IC)^2+(Ar_sensitivityerr/Ar_Sensitivity)^2)</f>
        <v>5.2413393972872306E-14</v>
      </c>
      <c r="CH7" s="157">
        <f t="shared" ref="CH7:CH19" si="43">Ar_Sensitivity*Ar40_IC</f>
        <v>5.3150791212414104E-10</v>
      </c>
      <c r="CI7" s="157">
        <f t="shared" ref="CI7:CI19" si="44">Ar40CC*SQRT((Ar40_ICerr/Ar40_IC)^2+(Ar_sensitivityerr/Ar_Sensitivity)^2)</f>
        <v>1.6255665087472963E-12</v>
      </c>
      <c r="CJ7" s="157">
        <f t="shared" ref="CJ7:CJ19" si="45">Ar38CC/MV</f>
        <v>1.7812151561302898E-14</v>
      </c>
      <c r="CK7" s="157">
        <f t="shared" ref="CK7:CK19" si="46">Ar38_mole*SQRT((Ar38CCerr/Ar38CC)^2+(MVerr/MV)^2)</f>
        <v>3.1703589433943407E-17</v>
      </c>
      <c r="CL7" s="157">
        <f t="shared" ref="CL7:CL19" si="47">Ar40CC/MV</f>
        <v>2.3713251237070047E-14</v>
      </c>
      <c r="CM7" s="157">
        <f t="shared" ref="CM7:CM19" si="48">Ar40_mole*SQRT((Ar40CCerrr/Ar40CC)^2+(MVerr/MV)^2)</f>
        <v>7.2524729808039134E-17</v>
      </c>
      <c r="CN7" s="66">
        <v>5.1340830000000002E-3</v>
      </c>
      <c r="CO7" s="66">
        <v>8.40144E-6</v>
      </c>
      <c r="CP7" s="3">
        <v>1.1139738540500025E+19</v>
      </c>
      <c r="CQ7" s="60">
        <v>1.0453256904066513E+18</v>
      </c>
      <c r="CR7" s="3">
        <v>8.0438364680336474E+17</v>
      </c>
      <c r="CS7" s="3">
        <v>8.527140119058072E+16</v>
      </c>
      <c r="CT7" s="6">
        <v>0.49881143094597263</v>
      </c>
      <c r="CU7" s="6">
        <v>4.5926073391395927E-2</v>
      </c>
      <c r="CV7" s="4">
        <v>24.581879797320056</v>
      </c>
      <c r="CW7" s="4">
        <v>0.55629982285426871</v>
      </c>
      <c r="CX7" s="157">
        <f t="shared" ref="CX7:CX19" si="49">K_constant*Ar39CC/J</f>
        <v>3.8855865410482535E-10</v>
      </c>
      <c r="CY7" s="157">
        <f t="shared" ref="CY7:CY19" si="50">K_mole*SQRT((Ar39ccerr/Ar39CC)^2+(Jerr/J)^2+(K_Constanterr/K_constant)^2)</f>
        <v>3.7710123031453593E-11</v>
      </c>
      <c r="CZ7" s="147">
        <f t="shared" ref="CZ7:CZ19" si="51">K_mole*MW_K/Sample_Mass*10^6</f>
        <v>1.6694486621743616</v>
      </c>
      <c r="DA7" s="147">
        <f t="shared" ref="DA7:DA19" si="52">K_ppm*SQRT((Sample_Masserr/Sample_Mass)^2+(MW_Kerr/MW_K)^2+(K_moleerr/K_mole)^2)</f>
        <v>0.16223704412739273</v>
      </c>
      <c r="DB7" s="159">
        <f t="shared" ref="DB7:DB19" si="53">K_ppm/10^4</f>
        <v>1.6694486621743616E-4</v>
      </c>
      <c r="DC7" s="167">
        <f t="shared" ref="DC7:DC19" si="54">K_ppmerr/10^4</f>
        <v>1.6223704412739273E-5</v>
      </c>
      <c r="DD7" s="157">
        <f t="shared" ref="DD7:DD19" si="55">Cl_Constant*Ar38CC/(J*Beta)</f>
        <v>1.2827513416936901E-8</v>
      </c>
      <c r="DE7" s="157">
        <f t="shared" ref="DE7:DE19" si="56">Cl_mole*SQRT((Ar38CCerr/Ar38CC)^2+(Jerr/J)^2+(Betaerr/Beta)^2+(Cl_Constanterr/Cl_Constant)^2)</f>
        <v>3.1462052941498094E-10</v>
      </c>
      <c r="DF7" s="147">
        <f t="shared" ref="DF7:DF19" si="57">Cl_mole*MW_Cl/Sample_Mass*10^6</f>
        <v>49.975146502270768</v>
      </c>
      <c r="DG7" s="133">
        <f t="shared" ref="DG7:DG19" si="58">Cl_ppm*SQRT((Sample_Masserr/Sample_Mass)^2+(MW_Clerr/MW_Cl)^2+(Cl_moleerr/Cl_mole)^2)</f>
        <v>1.2509510638214347</v>
      </c>
      <c r="DH7" s="159">
        <f t="shared" ref="DH7:DH19" si="59">Cl_ppm/10^4</f>
        <v>4.9975146502270768E-3</v>
      </c>
      <c r="DI7" s="167">
        <f t="shared" ref="DI7:DI19" si="60">Cl_ppmerr/10^4</f>
        <v>1.2509510638214347E-4</v>
      </c>
      <c r="DJ7" s="157">
        <f t="shared" ref="DJ7:DJ19" si="61">Ca_Constant*Ar37CC/(J*alpha)</f>
        <v>-9.9177985932819801E-9</v>
      </c>
      <c r="DK7" s="157">
        <f t="shared" ref="DK7:DK19" si="62">Ca_mole*SQRT((Ar37CCerr/Ar37CC)^2+(Jerr/J)^2+(alphaerr/alpha)^2+(Ca_Constanterr/Ca_Constant)^2)</f>
        <v>-1.490230590709488E-8</v>
      </c>
      <c r="DL7" s="143">
        <f t="shared" ref="DL7:DL19" si="63">Ca_mole*MW_Ca/Sample_Mass*10^6</f>
        <v>-43.681908529532052</v>
      </c>
      <c r="DM7" s="143">
        <f t="shared" ref="DM7:DM19" si="64">Ca_ppm*SQRT((Sample_Masserr/Sample_Mass)^2+(MW_Caerr/MW_Ca)^2+(Ca_moleerr/Ca_mole)^2)</f>
        <v>-65.636014166719093</v>
      </c>
      <c r="DN7" s="147">
        <f t="shared" ref="DN7:DN19" si="65">Ca_ppm/10^4</f>
        <v>-4.3681908529532056E-3</v>
      </c>
      <c r="DO7" s="147">
        <f t="shared" ref="DO7:DO19" si="66">Ca_ppmerr/10^4</f>
        <v>-6.5636014166719093E-3</v>
      </c>
      <c r="DP7" s="133">
        <f t="shared" ref="DP7:DP19" si="67">K_mole/Cl_mole</f>
        <v>3.0291034706055275E-2</v>
      </c>
      <c r="DQ7" s="133">
        <f t="shared" ref="DQ7:DQ19" si="68">KCl_mol*SQRT(K_moleerr/K_mole)^2+(Cl_moleerr/Cl_mole)^2</f>
        <v>3.5413584788282562E-3</v>
      </c>
      <c r="DR7" s="133">
        <f t="shared" ref="DR7:DR19" si="69">K_mole/Ca_mole</f>
        <v>-3.9177913369608387E-2</v>
      </c>
      <c r="DS7" s="133">
        <f t="shared" ref="DS7:DS19" si="70">KCa_mol*SQRT(K_moleerr/K_mole)^2+(Ca_moleerr/Ca_mole)^2</f>
        <v>2.2539504783940245</v>
      </c>
      <c r="DT7" s="133">
        <f t="shared" ref="DT7:DT19" si="71">K_ppm/Cl_ppm</f>
        <v>3.3405578152702467E-2</v>
      </c>
      <c r="DU7" s="133">
        <f t="shared" ref="DU7:DU19" si="72">KCl_wt*SQRT(K_ppmerr/K_ppm)^2+(Cl_ppmerr/Cl_ppm)^2</f>
        <v>3.8729287210645239E-3</v>
      </c>
      <c r="DV7" s="133">
        <f t="shared" ref="DV7:DV19" si="73">K_ppm/Ca_ppm</f>
        <v>-3.8218308640193606E-2</v>
      </c>
      <c r="DW7" s="133">
        <f t="shared" ref="DW7:DW19" si="74">KCa_wt*SQRT(K_ppmerr/K_ppm)^2+(Ca_ppmerr/Ca_ppm)^2</f>
        <v>2.2540637000674884</v>
      </c>
      <c r="DX7" s="157">
        <f t="shared" ref="DX7:DX19" si="75">Ar40_mole/Cl_mole</f>
        <v>1.8486241616991866E-6</v>
      </c>
      <c r="DY7" s="157">
        <f t="shared" ref="DY7:DY19" si="76">Ar40Cl_mol*SQRT((Ar40_moleerr/Ar40_mole)^2+(Cl_moleerr/Cl_mole)^2)</f>
        <v>4.5692364666766952E-8</v>
      </c>
      <c r="DZ7" s="147">
        <f t="shared" ref="DZ7:DZ19" si="77">Ar40AC/Ar39_IC</f>
        <v>157.93074149008237</v>
      </c>
      <c r="EA7" s="147">
        <f t="shared" ref="EA7:EA19" si="78">Ar40Ar39*SQRT((Ar40ACerr/Ar40AC)^2+(Ar39_ICerr/Ar39_IC)^2)</f>
        <v>201.31991564832845</v>
      </c>
      <c r="EB7" s="157">
        <f t="shared" ref="EB7:EB19" si="79">(Ar40CC/MV)/K_mole</f>
        <v>6.1028755855924616E-5</v>
      </c>
      <c r="EC7" s="157">
        <f t="shared" ref="EC7:EC19" si="80">Ar40K*SQRT((Ar40CCerrr/Ar40CC)^2+(K_moleerr/K_mole)^2+(MVerr/MV)^2)</f>
        <v>5.9258604333385839E-6</v>
      </c>
      <c r="ED7" s="143">
        <f>IF(Ar40Ar39&gt;0,(1/lambda/10^6)*LN(1+(J*Ar40Ar39)),"")</f>
        <v>1070.0372070770466</v>
      </c>
      <c r="EE7" s="143">
        <f t="shared" ref="EE7:EE19" si="81">IF(Age="","",SQRT((J^2*Ar40Ar39^2*((Ar40Ar39err/Ar40Ar39*100)^2))/(Age^2*0.00055305^2*((1+Ar40Ar39*J)^2)))*Age/100)</f>
        <v>1032.0664470525562</v>
      </c>
      <c r="EF7" s="143">
        <f t="shared" ref="EF7:EF19" si="82">IF(Age="","",SQRT((J^2*Ar40Ar39^2*((Ar40Ar39err/Ar40Ar39*100)^2+(Jerr/J*100)^2))/(Age^2*0.00055305^2*((1+Ar40Ar39*J)^2)))*Age/100)</f>
        <v>1032.0672974443164</v>
      </c>
      <c r="EG7" s="143">
        <f t="shared" ref="EG7:EG18" si="83">IF(Ar40Ar39&gt;0,(1/lambda/10^6)*LN(1+(J*Ar40Ar39)),"")</f>
        <v>1070.0372070770466</v>
      </c>
      <c r="EH7" s="147">
        <f t="shared" ref="EH7:EH19" si="84">IF(Age="","",SQRT((J^2*Ar40Ar39^2*((Ar40Ar39err/Ar40Ar39*100)^2))/(Age^2*0.00055305^2*((1+Ar40Ar39*J)^2)))*Age/100)</f>
        <v>1032.0664470525562</v>
      </c>
      <c r="EI7" s="147">
        <f t="shared" ref="EI7:EI19" si="85">IF(Age="","",SQRT((J^2*Ar40Ar39^2*((Ar40Ar39err/Ar40Ar39*100)^2+(Jerr/J*100)^2))/(Age^2*0.00055305^2*((1+Ar40Ar39*J)^2)))*Age/100)</f>
        <v>1032.0672974443164</v>
      </c>
      <c r="EJ7" s="501">
        <f t="shared" ref="EJ7:EJ18" si="86">CF7/$CF$19</f>
        <v>2.7346625482639704E-3</v>
      </c>
      <c r="EK7" s="143">
        <f t="shared" ref="EK7:EL19" si="87">EG7</f>
        <v>1070.0372070770466</v>
      </c>
      <c r="EL7" s="143">
        <f t="shared" si="87"/>
        <v>1032.0664470525562</v>
      </c>
      <c r="EM7" s="147">
        <f t="shared" ref="EM7:EM19" si="88">Ar39_IC/Ar36_ClCor</f>
        <v>0.35961199331498789</v>
      </c>
      <c r="EN7" s="147">
        <f t="shared" ref="EN7:EN19" si="89">EM7*SQRT((Ar40_ICerr/Ar40_IC)^2+(Ar36_ClCorerr/Ar36_ClCor)^2)</f>
        <v>8.7848229465813304E-2</v>
      </c>
      <c r="EO7" s="143">
        <f t="shared" ref="EO7:EO19" si="90">Ar40_IC/Ar36_ClCor</f>
        <v>352.29378875296254</v>
      </c>
      <c r="EP7" s="143">
        <f t="shared" ref="EP7:EP19" si="91">EO7*SQRT((Ar40_ICerr/Ar40_IC)^2+(Ar36_ClCorerr/Ar36_ClCor)^2)</f>
        <v>86.060493445898501</v>
      </c>
      <c r="EQ7" s="157">
        <f t="shared" ref="EQ7:EQ19" si="92">Ar39_IC/Ar40_IC</f>
        <v>1.0207730161463533E-3</v>
      </c>
      <c r="ER7" s="157">
        <f t="shared" ref="ER7:ER19" si="93">EQ7*SQRT((Ar40_ICerr/Ar40_IC)^2+(Ar39_ICerr/Ar39_IC)^2)</f>
        <v>9.8658771994558072E-5</v>
      </c>
      <c r="ES7" s="157">
        <f t="shared" ref="ES7:ES19" si="94">Ar36_ClCor/Ar40_IC</f>
        <v>2.8385399684160359E-3</v>
      </c>
      <c r="ET7" s="157">
        <f t="shared" ref="ET7:ET19" si="95">ES7*SQRT((Ar40_ICerr/Ar40_IC)^2+(Ar36_ClCorerr/Ar36_ClCor)^2)</f>
        <v>6.9341600149268865E-4</v>
      </c>
      <c r="EU7" s="473">
        <v>7.6254239999999998</v>
      </c>
      <c r="EV7" s="473">
        <v>0.135937</v>
      </c>
      <c r="EW7" s="473">
        <v>2.2740999999999998</v>
      </c>
      <c r="EX7" s="473">
        <v>2.5662000000000001E-2</v>
      </c>
      <c r="EY7" s="473">
        <v>4.7418000000000002E-2</v>
      </c>
      <c r="EZ7" s="473">
        <v>1.8569999999999999E-3</v>
      </c>
      <c r="FA7" s="473">
        <v>4.7257E-2</v>
      </c>
      <c r="FB7" s="473">
        <v>6.6861000000000004E-2</v>
      </c>
      <c r="FC7" s="471"/>
      <c r="FD7" s="471"/>
      <c r="FE7" s="471"/>
      <c r="FF7" s="471"/>
      <c r="FG7" s="471"/>
      <c r="FH7" s="471"/>
      <c r="FI7" s="471"/>
      <c r="FJ7" s="471"/>
      <c r="FK7" s="473">
        <f>Kr80Raw-Kr80Blank</f>
        <v>7.6254239999999998</v>
      </c>
      <c r="FL7" s="473">
        <f>SQRT(Kr80Rawerr^2+Kr80Blankerr^2)</f>
        <v>0.135937</v>
      </c>
      <c r="FM7" s="473">
        <f>Kr82Raw-Kr82Blank</f>
        <v>2.2740999999999998</v>
      </c>
      <c r="FN7" s="473">
        <f>SQRT(Kr82Rawerr^2+Kr82Blankerr^2)</f>
        <v>3.6291548437618365E-2</v>
      </c>
      <c r="FO7" s="473">
        <f>Kr84Raw-Kr84Blank</f>
        <v>4.7418000000000002E-2</v>
      </c>
      <c r="FP7" s="473">
        <f>SQRT(Kr84Rawerr^2+Kr84Blankerr^2)</f>
        <v>1.8569999999999999E-3</v>
      </c>
      <c r="FQ7" s="473">
        <f>Kr86Raw-Kr86Blank</f>
        <v>4.7257E-2</v>
      </c>
      <c r="FR7" s="473">
        <f>SQRT(Kr86Rawerr^2+Kr86Blankerr^2)</f>
        <v>6.6861000000000004E-2</v>
      </c>
      <c r="FS7" s="473">
        <f>Kr84BC-((Y86Kr*Kr8684_nf)/(Y134Xe*Xe134136_nf)*Xe134BC)</f>
        <v>4.6707559666667495E-2</v>
      </c>
      <c r="FT7" s="473">
        <f>Kr84U*SQRT((Kr84BCerr/Kr84BC)^2+(Y86Kr_err/Y86Kr)^2+(Kr8684_nferr/Kr8684_nf)^2+(Y134Xeerr/Y134Xe)^2+(Xe134136_nferr/Xe134136_nf)^2+(Xe134BCerr/Xe134BC)^2)</f>
        <v>4.8669159390508426E-3</v>
      </c>
      <c r="FU7" s="476">
        <f>Kr80BC-(Kr84U*Kr8084_Air)</f>
        <v>7.6235743806371996</v>
      </c>
      <c r="FV7" s="476">
        <f>SQRT(Kr80BCerr^2+(Kr84Uerr*Kr8084_Air)^2)</f>
        <v>0.13593713662499754</v>
      </c>
      <c r="FW7" s="476">
        <f>Kr82BC-(Kr84U*Kr8284_Air)</f>
        <v>2.2646557314353997</v>
      </c>
      <c r="FX7" s="476">
        <f>SQRT(Kr82BCerr^2+(Kr84Uerr*Kr8284_Air)^2)</f>
        <v>3.6304888402542056E-2</v>
      </c>
      <c r="FY7" s="473">
        <f>Kr86BC-(Kr84U*Kr8684_Air)</f>
        <v>3.3001852789733083E-2</v>
      </c>
      <c r="FZ7" s="473">
        <f>SQRT(Kr86BCerr^2+(Kr84Uerr*Kr8684_Air)^2)</f>
        <v>6.6877497582504913E-2</v>
      </c>
      <c r="GA7" s="477">
        <v>7.8999999999999997E-13</v>
      </c>
      <c r="GB7" s="477">
        <v>2E-14</v>
      </c>
      <c r="GC7" s="473">
        <v>1</v>
      </c>
      <c r="GD7" s="473">
        <v>5.0000000000000001E-3</v>
      </c>
      <c r="GE7" s="477">
        <f>(Kr80AC*Kr_sensitivity)/YKr</f>
        <v>6.0226237607033873E-12</v>
      </c>
      <c r="GF7" s="477">
        <f>Kr80cc*SQRT((Kr_sensitivityerr/Kr_sensitivity)^2+(YKrerr/YKr)^2+(Kr80ACerr/Kr80AC)^2)</f>
        <v>1.889101350919068E-13</v>
      </c>
      <c r="GG7" s="477">
        <f>(Kr82AC*Kr_sensitivity)/YKr</f>
        <v>1.7890780278339656E-12</v>
      </c>
      <c r="GH7" s="477">
        <f>Kr82cc*SQRT((Kr_sensitivityerr/Kr_sensitivity)^2+(YKrerr/YKr)^2+(Kr82ACerr/Kr82AC)^2)</f>
        <v>5.435143119810328E-14</v>
      </c>
      <c r="GI7" s="477">
        <f>(Kr84U*Kr_sensitivity)/YKr</f>
        <v>3.689897213666732E-14</v>
      </c>
      <c r="GJ7" s="477">
        <f>Kr84cc*SQRT((Kr_sensitivityerr/Kr_sensitivity)^2+(YKrerr/YKr)^2+(Kr84Uerr/Kr84U)^2)</f>
        <v>3.9610166429288887E-15</v>
      </c>
      <c r="GK7" s="477">
        <f>(Kr86AC*Kr_sensitivity)/YKr</f>
        <v>2.6071463703889133E-14</v>
      </c>
      <c r="GL7" s="477">
        <f>Kr86cc*SQRT((Kr_sensitivityerr/Kr_sensitivity)^2+(YKrerr/YKr)^2+(Kr86ACerr/Kr86AC)^2)</f>
        <v>5.2837506603189787E-14</v>
      </c>
      <c r="GM7" s="477">
        <f>Kr80cc/MV</f>
        <v>2.6869965072232154E-16</v>
      </c>
      <c r="GN7" s="477">
        <f>Kr80_mole*SQRT((MVerr/MV)^2+(Kr80ccerr/Kr80cc)^2)</f>
        <v>8.4282348263194984E-18</v>
      </c>
      <c r="GO7" s="477">
        <f>Kr82cc/MV</f>
        <v>7.9819802845831796E-17</v>
      </c>
      <c r="GP7" s="477">
        <f>Kr82_mole*SQRT((MVerr/MV)^2+(Kr82ccerr/Kr82cc)^2)</f>
        <v>2.4248917352500451E-18</v>
      </c>
      <c r="GQ7" s="477">
        <f>Kr84cc/MV</f>
        <v>1.6462494286671549E-18</v>
      </c>
      <c r="GR7" s="477">
        <f>Kr84_mole*SQRT((MVerr/MV)^2+(Kr84ccerr/Kr84cc)^2)</f>
        <v>1.7672094933446858E-19</v>
      </c>
      <c r="GS7" s="473">
        <f>Kr80_mole/Kr82_mole</f>
        <v>3.3663281684784705</v>
      </c>
      <c r="GT7" s="473">
        <f>Kr8082_mole*SQRT(Kr80_moleerr/Kr80_mole)^2+(Kr82_moleerr/Kr82_mole)^2</f>
        <v>0.10651369340692345</v>
      </c>
      <c r="GU7" s="474">
        <v>28.467321517297663</v>
      </c>
      <c r="GV7" s="474">
        <v>0.39873308773255578</v>
      </c>
      <c r="GW7" s="478">
        <f>Pi*(Ar38_mole/Kr80_mole)</f>
        <v>1887.1042223067618</v>
      </c>
      <c r="GX7" s="478">
        <f>Cl_79Br*SQRT((Pi_err/Pi)^2+(Ar38_moleerr/Ar38_mole)^2+(Kr80_moleerr/Kr80_mole)^2)</f>
        <v>64.912778631245743</v>
      </c>
      <c r="GY7" s="479">
        <f>(Cl_mole/Cl_79Br)/(MW_Br/MW_Cl)</f>
        <v>3.0159980835279916E-12</v>
      </c>
      <c r="GZ7" s="480">
        <f>(Br79mole_SC*SQRT((Cl_moleerr/Cl_mole)^2+(Cl_79Brerr/Cl_79Br)^2))</f>
        <v>1.2741664423383006E-13</v>
      </c>
      <c r="HA7" s="478">
        <f>(Cl_ppm/Cl_79Br)*10^3</f>
        <v>26.482451743540725</v>
      </c>
      <c r="HB7" s="478">
        <f>Br79ppb_SC*SQRT((Cl_ppmerr/Cl_ppm)^2+(Cl_79Brerr/Cl_79Br)^2)</f>
        <v>1.1266105243101157</v>
      </c>
      <c r="HC7" s="474">
        <v>8.570444300063329</v>
      </c>
      <c r="HD7" s="474">
        <v>0.11694150036145151</v>
      </c>
      <c r="HE7" s="478">
        <f>Pi_prime*(Ar38_mole/Kr82_mole)</f>
        <v>1912.5335740966991</v>
      </c>
      <c r="HF7" s="478">
        <f>Cl_81Br*SQRT((Pi_primeerr/Pi_prime)^2+(Ar38_moleerr/Ar38_mole)^2+(Kr82_moleerr/Kr82_mole)^2)</f>
        <v>63.784230156750979</v>
      </c>
      <c r="HG7" s="479">
        <f>(Cl_mole/Cl_81Br)/(MW_Br/MW_Cl)</f>
        <v>2.9758968914221044E-12</v>
      </c>
      <c r="HH7" s="480">
        <f>(Br81mole_SC*SQRT((Cl_moleerr/Cl_mole)^2+(Cl_79Brerr/Cl_79Br)^2))</f>
        <v>1.2572249218651464E-13</v>
      </c>
      <c r="HI7" s="478">
        <f>(Cl_ppm/Cl_81Br)*10^3</f>
        <v>26.130336836504597</v>
      </c>
      <c r="HJ7" s="478">
        <f>(Br81ppb_SC*SQRT((Cl_ppmerr/Cl_ppm)^2+(Cl_81Brerr/Cl_81Br)^2))</f>
        <v>1.089619305281915</v>
      </c>
      <c r="HK7" s="6">
        <v>1.250207836570332</v>
      </c>
      <c r="HL7" s="6">
        <v>3.0773458477915613E-2</v>
      </c>
      <c r="HM7" s="467">
        <f>(Kr80_mole/Br79_FactorSW)/(Y_79Br*Br79_Abun*(Therm_CS_79Br*Therm_Flux))*(MW_Br/Sample_Mass*10^9)</f>
        <v>33.467055898636708</v>
      </c>
      <c r="HN7" s="467">
        <f>Br79ppb_SW*SQRT((Kr80_moleerr/Kr80_mole)^2+(Sample_Masserr/Sample_Mass)^2+(Br79Factor_SWerr/Br79_FactorSW)^2+(Therm_CS_79Brerr/Therm_CS_79Br)^2+(Br79_Abunerr/Br79_Abun)^2+(Therm_Fluxerr/Therm_Flux)^2)</f>
        <v>3.4200690464658967</v>
      </c>
      <c r="HO7" s="6">
        <v>1.4124703868932349</v>
      </c>
      <c r="HP7" s="6">
        <v>2.3743935274246231E-2</v>
      </c>
      <c r="HQ7" s="467">
        <f>(Kr82_mole/Br81_FactorSW)/(Y_81Br*Br81_Abun*(Therm_CS_81Br*Therm_Flux))*(MW_Br/Sample_Mass*10^9)</f>
        <v>38.276870648280806</v>
      </c>
      <c r="HR7" s="467">
        <f>Br81ppb_SW*SQRT((Kr82_moleerr/Kr82_mole)^2+(Sample_Masserr/Sample_Mass)^2+(Br81_FactorSWerr/Br81_FactorSW)^2+(Therm_CS_81Brerr/Therm_CS_81Br)^2+(Br81_Abunerr/Br81_Abun)^2+(Therm_Fluxerr/Therm_Flux)^2)</f>
        <v>3.8656973507689787</v>
      </c>
      <c r="HS7" s="475">
        <v>0.90703699999999998</v>
      </c>
      <c r="HT7" s="475">
        <v>3.3230999999999997E-2</v>
      </c>
      <c r="HU7" s="475">
        <v>1.6573000000000001E-2</v>
      </c>
      <c r="HV7" s="475">
        <v>2.0699999999999999E-4</v>
      </c>
      <c r="HW7" s="475">
        <v>2.6819999999999999E-3</v>
      </c>
      <c r="HX7" s="475">
        <v>1.4799999999999999E-4</v>
      </c>
      <c r="HY7" s="475">
        <v>2.1461000000000001E-2</v>
      </c>
      <c r="HZ7" s="475">
        <v>5.0600000000000005E-4</v>
      </c>
      <c r="IA7" s="475">
        <v>1.6577999999999999E-2</v>
      </c>
      <c r="IB7" s="475">
        <v>3.8699999999999997E-4</v>
      </c>
      <c r="IC7" s="475">
        <v>6.4689999999999999E-3</v>
      </c>
      <c r="ID7" s="475">
        <v>2.0100000000000001E-4</v>
      </c>
      <c r="IE7" s="475">
        <v>6.0759999999999998E-3</v>
      </c>
      <c r="IF7" s="475">
        <v>4.2200000000000001E-4</v>
      </c>
      <c r="IG7" s="475">
        <v>1.6410000000000001E-3</v>
      </c>
      <c r="IH7" s="475">
        <v>1.17E-4</v>
      </c>
      <c r="II7" s="475">
        <v>1.47E-3</v>
      </c>
      <c r="IJ7" s="475">
        <v>1.84E-4</v>
      </c>
      <c r="IK7" s="475">
        <v>2.5700000000000001E-4</v>
      </c>
      <c r="IL7" s="475">
        <v>6.7000000000000002E-5</v>
      </c>
      <c r="IM7" s="475">
        <v>1.6689999999999999E-3</v>
      </c>
      <c r="IN7" s="475">
        <v>1.8799999999999999E-4</v>
      </c>
      <c r="IO7" s="475">
        <v>1.1490000000000001E-3</v>
      </c>
      <c r="IP7" s="475">
        <v>1.35E-4</v>
      </c>
      <c r="IQ7" s="475">
        <v>8.5400000000000005E-4</v>
      </c>
      <c r="IR7" s="475">
        <v>8.6000000000000003E-5</v>
      </c>
      <c r="IS7" s="475">
        <v>1.34E-4</v>
      </c>
      <c r="IT7" s="475">
        <v>1.4300000000000001E-4</v>
      </c>
      <c r="IU7" s="475">
        <f>Xe128Raw-Xe128Blank</f>
        <v>0.90539599999999998</v>
      </c>
      <c r="IV7" s="475">
        <f>SQRT(Xe128Rawerr^2+Xe128Blankerr^2)</f>
        <v>3.3231205966681374E-2</v>
      </c>
      <c r="IW7" s="475">
        <f>Xe129Raw-Xe129Blank</f>
        <v>1.5103000000000002E-2</v>
      </c>
      <c r="IX7" s="475">
        <f>SQRT(Xe129Rawerr^2+Xe129Blankerr^2)</f>
        <v>2.7695667531222278E-4</v>
      </c>
      <c r="IY7" s="475">
        <f>Xe130Raw-Xe130Blank</f>
        <v>2.4250000000000001E-3</v>
      </c>
      <c r="IZ7" s="475">
        <f>SQRT(Xe130Rawerr^2+Xe130Blankerr^2)</f>
        <v>1.6245922565370056E-4</v>
      </c>
      <c r="JA7" s="475">
        <f>Xe131Raw-Xe131Blank</f>
        <v>1.9792000000000001E-2</v>
      </c>
      <c r="JB7" s="475">
        <f>SQRT(Xe131Rawerr^2+Xe131Blankerr^2)</f>
        <v>5.397962578603154E-4</v>
      </c>
      <c r="JC7" s="475">
        <f>Xe132Raw-Xe132Blank</f>
        <v>1.5428999999999998E-2</v>
      </c>
      <c r="JD7" s="475">
        <f>SQRT(Xe132Rawerr^2+Xe132Blankerr^2)</f>
        <v>4.0987071132248513E-4</v>
      </c>
      <c r="JE7" s="475">
        <f>Xe134Raw-Xe134Blank</f>
        <v>5.6150000000000002E-3</v>
      </c>
      <c r="JF7" s="475">
        <f>SQRT(Xe134Rawerr^2+Xe134Blankerr^2)</f>
        <v>2.1862525014279573E-4</v>
      </c>
      <c r="JG7" s="475">
        <f>Xe136Raw-Xe136Blank</f>
        <v>5.9419999999999994E-3</v>
      </c>
      <c r="JH7" s="475">
        <f>SQRT(Xe136Rawerr^2+Xe136Blankerr^2)</f>
        <v>4.4557042092131745E-4</v>
      </c>
      <c r="JI7" s="475">
        <f>Xe128BC-(Xe130BC*Xe128130_Q)</f>
        <v>0.90416404012432494</v>
      </c>
      <c r="JJ7" s="475">
        <f>SQRT(Xe128BCerr^2+(Xe130BCerr*Xe128130_Q)^2)</f>
        <v>3.323130845671389E-2</v>
      </c>
      <c r="JK7" s="475">
        <f>Xe129BC-(Xe130BC*Xe129130_Q)</f>
        <v>-4.7987037054999723E-4</v>
      </c>
      <c r="JL7" s="475">
        <f>SQRT(Xe129BCerr^2+(Xe130BCerr*Xe129130_Q)^2)</f>
        <v>1.0800641583266907E-3</v>
      </c>
      <c r="JM7" s="475">
        <f>Xe131BC-(Xe130BC*Xe131130_Q)</f>
        <v>7.5382654315000013E-3</v>
      </c>
      <c r="JN7" s="475">
        <f>SQRT(Xe131BCerr^2+(Xe130BCerr*Xe131130_Q)^2)</f>
        <v>9.8249197387984704E-4</v>
      </c>
      <c r="JO7" s="475">
        <f>Xe132BC-(Xe130BC*Xe132130_Q)</f>
        <v>4.5986419794999747E-4</v>
      </c>
      <c r="JP7" s="475">
        <f>SQRT((Xe132BCerr^2+(Xe130BCerr*Xe132130_Q)^2))</f>
        <v>1.0833611992920266E-3</v>
      </c>
      <c r="JQ7" s="475">
        <f>Xe134BC-(Xe130BC*Xe134130_Q)</f>
        <v>-4.4830246225000502E-5</v>
      </c>
      <c r="JR7" s="475">
        <f>SQRT(Xe134BCerr^2+(Xe130BCerr*Xe134130_Q)^2)</f>
        <v>4.3768511679302213E-4</v>
      </c>
      <c r="JS7" s="475">
        <f>Xe136BC-(Xe130BC*Xe136130_Q)</f>
        <v>1.2012746903999998E-3</v>
      </c>
      <c r="JT7" s="475">
        <f>SQRT(Xe136BCerr^2+(Xe130BCerr*Xe136130_Q)^2)</f>
        <v>5.4717578144869482E-4</v>
      </c>
      <c r="JU7" s="477">
        <v>6.6999999999999997E-13</v>
      </c>
      <c r="JV7" s="477">
        <v>4E-14</v>
      </c>
      <c r="JW7" s="471">
        <v>1</v>
      </c>
      <c r="JX7" s="471">
        <v>0</v>
      </c>
      <c r="JY7" s="477">
        <f>(Xe128AC*Xe_Sensitivity)/YXe</f>
        <v>6.0578990688329767E-13</v>
      </c>
      <c r="JZ7" s="477">
        <f>Xe128CC*SQRT((Xe_Sensitivityerr/Xe_Sensitivity)^2+(YXeerr/YXe)^2+(Xe128ACerr/Xe128AC)^2)</f>
        <v>4.2470570566731924E-14</v>
      </c>
      <c r="KA7" s="477">
        <f>Xe128CC/MV</f>
        <v>2.7027346030268886E-17</v>
      </c>
      <c r="KB7" s="477">
        <f>Xe128mole*SQRT((Xe128CCerr/Xe128CC)^2+(MVerr/MV)^2)</f>
        <v>1.894826562487493E-18</v>
      </c>
      <c r="KC7" s="473">
        <v>1.5235623802440201</v>
      </c>
      <c r="KD7" s="473">
        <v>6.4506083358238542E-2</v>
      </c>
      <c r="KE7" s="477">
        <f>(Xe128mole/IFactor_SW)/((Therm_CS_127I*Therm_Flux)*I127_Abun*Y_127I)</f>
        <v>2.7501703651020159E-13</v>
      </c>
      <c r="KF7" s="477">
        <f>I_mole*SQRT((Xe128CCerr/Xe128CC)^2+(IFactor_SWerr/IFactor_SW)^2+(Therm_CS_127Ierr/Therm_CS_127I)^2+(Therm_Fluxerr/Therm_Flux)^2)</f>
        <v>3.4300409871004819E-14</v>
      </c>
      <c r="KG7" s="481">
        <f>I_mole*MW_I/Sample_Mass*10^9</f>
        <v>3.8352636823965796</v>
      </c>
      <c r="KH7" s="481">
        <f>KG7*SQRT(I_moleerr/I_mole)^2+(MVerr/MV)^2+(Sample_Masserr/Sample_Mass)</f>
        <v>0.48333806203054852</v>
      </c>
      <c r="KI7" s="476">
        <v>22.400563309243701</v>
      </c>
      <c r="KJ7" s="476">
        <v>2.2525235998407074</v>
      </c>
      <c r="KK7" s="480">
        <f>Omega*(Ar38_mole/Xe128mole)</f>
        <v>14762.90821436751</v>
      </c>
      <c r="KL7" s="480">
        <f>Cl_I*SQRT((Omegaerr/Omega)^2+(Ar38_moleerr/Ar38_mole)^2+(Xe128moleerr/Xe128mole)^2)</f>
        <v>1809.8799977031263</v>
      </c>
      <c r="KM7" s="478">
        <f>(Cl_ppm/Cl_I)*10^3</f>
        <v>3.3851830395879667</v>
      </c>
      <c r="KN7" s="478">
        <f>(Ippb_SC*SQRT((Cl_ppmerr/Cl_ppm)^2+(Cl_Ierr/Cl_I)^2))</f>
        <v>0.42357367587988271</v>
      </c>
      <c r="KO7" s="473">
        <f>Xe131AC-Xe131136_nf/Xe134136_nf*Xe134AC</f>
        <v>7.5545640683699249E-3</v>
      </c>
      <c r="KP7" s="473">
        <f>SQRT(Xe131ACerr^2+(Xe131136_nf/Xe134136_nf*Xe134AC)^2*((Xe131136_nferr/Xe131136_nf)^2+(Xe134136_nferr/Xe134136_nf)^2+(Xe134ACerr/Xe134AC)^2))</f>
        <v>9.9529497917901074E-4</v>
      </c>
      <c r="KQ7" s="477">
        <f>(Xe131Ba*Xe_Sensitivity)/YXe</f>
        <v>5.0615579258078493E-15</v>
      </c>
      <c r="KR7" s="477">
        <f>Xe131Bacc*SQRT((Xe_Sensitivityerr/Xe_Sensitivity)^2+(YXeerr/YXe)^2+(Xe131Baerr/Xe131Ba)^2)</f>
        <v>7.3212025714793533E-16</v>
      </c>
      <c r="KS7" s="477">
        <f>Xe131Bacc/MV</f>
        <v>2.2582165195996361E-19</v>
      </c>
      <c r="KT7" s="477">
        <f>Xe131mole*SQRT((Xe131CCerr/Xe131CC)^2+(MVerr/MV)^2)</f>
        <v>3.2663580724988349E-20</v>
      </c>
      <c r="KU7" s="473">
        <v>1.5355171436865713</v>
      </c>
      <c r="KV7" s="473">
        <v>5.9163108295531078E-2</v>
      </c>
      <c r="KW7" s="477">
        <f>(Xe131mole/Ba_FactorSW)/((Therm_CS_130Ba*Therm_Flux)*Ba130_Abun*Y_130Ba)</f>
        <v>1.6078760079119484E-12</v>
      </c>
      <c r="KX7" s="477">
        <f>Ba_mole*SQRT((Xe131BaCCerr/Xe131Bacc)^2+(Ba_FactorSWerr/Ba_FactorSW)^2+(Therm_CS_130Baerr/Therm_CS_130Ba)^2+(Therm_Fluxerr/Therm_Flux)^2)</f>
        <v>2.9279719578293597E-13</v>
      </c>
      <c r="KY7" s="474">
        <f>Ba_mole*MW_Ba/Sample_Mass*10^6</f>
        <v>2.4264262476760889E-2</v>
      </c>
      <c r="KZ7" s="476">
        <f>Ba_ppm*SQRT(Ba_moleerr/Ba_mole)^2+(MVerr/MV)^2+(Sample_Masserr/Sample_Mass)</f>
        <v>9.4185670888290579E-3</v>
      </c>
      <c r="LA7" s="471"/>
      <c r="LB7" s="471"/>
      <c r="LC7" s="471"/>
      <c r="LD7" s="471"/>
      <c r="LE7" s="471"/>
      <c r="LF7" s="471"/>
      <c r="LG7" s="477">
        <f>(Xe134AC*Xe_Sensitivity)/YXe</f>
        <v>-3.0036264970750336E-17</v>
      </c>
      <c r="LH7" s="477">
        <f>Xe134CC*SQRT((Xe_Sensitivityerr/Xe_Sensitivity)^2+(YXeerr/YXe)^2+(Xe134ACerr/Xe134AC)^2)</f>
        <v>-2.9325451091485171E-16</v>
      </c>
      <c r="LI7" s="477">
        <f>Xe134CC/MV</f>
        <v>-1.3400694161411685E-21</v>
      </c>
      <c r="LJ7" s="477">
        <f>Xe134mole*SQRT((Xe134CCerr/Xe134CC)^2+(MVerr/MV)^2)</f>
        <v>-1.3083564204974213E-20</v>
      </c>
      <c r="LK7" s="477">
        <f>Xe134_mole/((Therm_CS_235U*Therm_Flux)*U235_Abun*Y_235U)</f>
        <v>-3.5556270778026089E-16</v>
      </c>
      <c r="LL7" s="477">
        <f>U_mole*SQRT((Xe134moleerr/Xe134mole)^2+(Therm_CS_235Uerr/Therm_CS_235U)^2+(Therm_Fluxerr/Therm_Flux)^2)</f>
        <v>-3.4716428278116143E-15</v>
      </c>
      <c r="LM7" s="476">
        <f>U_mole*MW_U/Sample_Mass*10^9</f>
        <v>-9.3004619527015386E-3</v>
      </c>
      <c r="LN7" s="476">
        <f>U_ppb*SQRT((U_moleerr/U_mole)^2+(MVerr/MV)^2+(Sample_Masserr/Sample_Mass)^2)</f>
        <v>-9.0807853468719849E-2</v>
      </c>
      <c r="LO7" s="471"/>
      <c r="LP7" s="471"/>
      <c r="LQ7" s="214" t="str">
        <f t="shared" ref="LQ7:LQ48" si="96">Name</f>
        <v>B1x Bulk</v>
      </c>
      <c r="LR7" s="214" t="str">
        <f t="shared" ref="LR7:LR48" si="97">Irradiation</f>
        <v>MN2022a</v>
      </c>
      <c r="LS7" s="211">
        <f t="shared" ref="LS7:LS48" si="98">IF(ISNUMBER(K_ppm), K_ppm, "")</f>
        <v>1.6694486621743616</v>
      </c>
      <c r="LT7" s="211">
        <f t="shared" ref="LT7:LT48" si="99">IF(ISNUMBER(K_ppmerr), K_ppmerr, "")</f>
        <v>0.16223704412739273</v>
      </c>
      <c r="LU7" s="211">
        <f t="shared" ref="LU7:LU48" si="100">Cl_ppm</f>
        <v>49.975146502270768</v>
      </c>
      <c r="LV7" s="211">
        <f t="shared" ref="LV7:LV48" si="101">Cl_ppmerr</f>
        <v>1.2509510638214347</v>
      </c>
      <c r="LW7" s="211">
        <f t="shared" ref="LW7:LW48" si="102">Ca_ppm</f>
        <v>-43.681908529532052</v>
      </c>
      <c r="LX7" s="211">
        <f t="shared" ref="LX7:LX48" si="103">Ca_ppmerr</f>
        <v>-65.636014166719093</v>
      </c>
      <c r="LY7" s="211"/>
      <c r="LZ7" s="211"/>
      <c r="MA7" s="211"/>
      <c r="MB7" s="211"/>
      <c r="MC7" s="211"/>
      <c r="MD7" s="211"/>
      <c r="ME7" s="211"/>
      <c r="MF7" s="211"/>
      <c r="MG7" s="211"/>
      <c r="MH7" s="211"/>
      <c r="MI7" s="211"/>
      <c r="MJ7" s="211"/>
      <c r="MK7" s="211"/>
      <c r="ML7" s="211"/>
      <c r="MM7" s="211"/>
      <c r="MN7" s="211"/>
      <c r="MO7" s="506">
        <f>DT7</f>
        <v>3.3405578152702467E-2</v>
      </c>
      <c r="MP7" s="506">
        <f>DU7</f>
        <v>3.8729287210645239E-3</v>
      </c>
      <c r="MQ7" s="109"/>
      <c r="MR7" s="109"/>
      <c r="MS7" s="109"/>
      <c r="MT7" s="109"/>
      <c r="MU7" s="109"/>
      <c r="MV7" s="109"/>
      <c r="MW7" s="506">
        <f>DP7</f>
        <v>3.0291034706055275E-2</v>
      </c>
      <c r="MX7" s="506">
        <f>DQ7</f>
        <v>3.5413584788282562E-3</v>
      </c>
      <c r="MY7" s="109"/>
      <c r="MZ7" s="109"/>
      <c r="NA7" s="109"/>
      <c r="NB7" s="109"/>
      <c r="NC7" s="109"/>
      <c r="ND7" s="109"/>
    </row>
    <row r="8" spans="2:368">
      <c r="B8" s="245" t="s">
        <v>932</v>
      </c>
      <c r="C8" s="5">
        <f>9.1/1000</f>
        <v>9.1000000000000004E-3</v>
      </c>
      <c r="D8" s="66">
        <f t="shared" ref="D8:D19" si="104">C8*0.5%</f>
        <v>4.5500000000000001E-5</v>
      </c>
      <c r="E8" s="67">
        <v>44727</v>
      </c>
      <c r="F8" s="5" t="s">
        <v>210</v>
      </c>
      <c r="G8" s="5" t="s">
        <v>893</v>
      </c>
      <c r="H8" s="5">
        <v>1</v>
      </c>
      <c r="J8" s="327">
        <v>44644</v>
      </c>
      <c r="K8" s="67" t="s">
        <v>823</v>
      </c>
      <c r="L8" s="5">
        <v>1</v>
      </c>
      <c r="M8" s="5">
        <v>0.8</v>
      </c>
      <c r="N8" s="5">
        <v>30</v>
      </c>
      <c r="O8" s="6">
        <v>395.20633400000003</v>
      </c>
      <c r="P8" s="6">
        <v>0.17661199999999999</v>
      </c>
      <c r="Q8" s="6">
        <v>1.9012800000000001</v>
      </c>
      <c r="R8" s="6">
        <v>1.0994E-2</v>
      </c>
      <c r="S8" s="6">
        <v>766.89402600000005</v>
      </c>
      <c r="T8" s="6">
        <v>0.69046099999999999</v>
      </c>
      <c r="U8" s="6">
        <v>2.6578020000000002</v>
      </c>
      <c r="V8" s="6">
        <v>7.0272000000000001E-2</v>
      </c>
      <c r="W8" s="6">
        <v>1.4481790000000001</v>
      </c>
      <c r="X8" s="6">
        <v>5.2100000000000002E-3</v>
      </c>
      <c r="Y8" s="6">
        <v>6.3067744999999995</v>
      </c>
      <c r="Z8" s="6">
        <v>0.93511705857555649</v>
      </c>
      <c r="AA8" s="6">
        <v>4.3458000000000004E-2</v>
      </c>
      <c r="AB8" s="6">
        <v>2.986365296923112E-2</v>
      </c>
      <c r="AC8" s="6">
        <v>2.21285175</v>
      </c>
      <c r="AD8" s="6">
        <v>2.0188658876193135</v>
      </c>
      <c r="AE8" s="6">
        <v>1.3901317499999999</v>
      </c>
      <c r="AF8" s="6">
        <v>1.1954009646957722</v>
      </c>
      <c r="AG8" s="6">
        <v>0.25606525000000002</v>
      </c>
      <c r="AH8" s="6">
        <v>0.21678044365882418</v>
      </c>
      <c r="AI8" s="133">
        <f t="shared" si="0"/>
        <v>388.89955950000001</v>
      </c>
      <c r="AJ8" s="133">
        <f t="shared" si="1"/>
        <v>0.95164894356217344</v>
      </c>
      <c r="AK8" s="133">
        <f t="shared" si="2"/>
        <v>1.8578220000000001</v>
      </c>
      <c r="AL8" s="133">
        <f t="shared" si="3"/>
        <v>3.182303889741938E-2</v>
      </c>
      <c r="AM8" s="133">
        <f t="shared" si="4"/>
        <v>764.68117425000003</v>
      </c>
      <c r="AN8" s="133">
        <f t="shared" si="5"/>
        <v>2.1336719205899293</v>
      </c>
      <c r="AO8" s="133">
        <f t="shared" si="6"/>
        <v>1.2676702500000003</v>
      </c>
      <c r="AP8" s="133">
        <f t="shared" si="7"/>
        <v>1.1974646635202155</v>
      </c>
      <c r="AQ8" s="133">
        <f t="shared" si="8"/>
        <v>1.1921137500000001</v>
      </c>
      <c r="AR8" s="133">
        <f t="shared" si="9"/>
        <v>0.21684304197487325</v>
      </c>
      <c r="AS8" s="5">
        <v>300.7</v>
      </c>
      <c r="AT8" s="5">
        <v>0.28000000000000003</v>
      </c>
      <c r="AU8" s="133">
        <f t="shared" si="10"/>
        <v>1.865995159390863</v>
      </c>
      <c r="AV8" s="133">
        <f t="shared" si="11"/>
        <v>3.1823348913290112E-2</v>
      </c>
      <c r="AW8" s="133">
        <f t="shared" si="12"/>
        <v>771.40933348197973</v>
      </c>
      <c r="AX8" s="133">
        <f t="shared" si="13"/>
        <v>2.1336977861331197</v>
      </c>
      <c r="AY8" s="133">
        <f t="shared" si="14"/>
        <v>1.2844009233502542</v>
      </c>
      <c r="AZ8" s="133">
        <f t="shared" si="15"/>
        <v>1.1974852640856204</v>
      </c>
      <c r="BA8" s="133">
        <f t="shared" si="16"/>
        <v>1.2130917246192894</v>
      </c>
      <c r="BB8" s="133">
        <f t="shared" si="17"/>
        <v>0.21684514048444287</v>
      </c>
      <c r="BC8" s="6"/>
      <c r="BD8" s="8"/>
      <c r="BE8" s="133">
        <f t="shared" ref="BE8:BE19" si="105">IF(Rad_Type="Continuous", Ar37_DC*EXP(lambda_37Ar*(Run_Date-Rad_Date)),Ar37_DC*Ar37_DecayFactor)</f>
        <v>6.6151229546960204</v>
      </c>
      <c r="BF8" s="133">
        <f t="shared" si="18"/>
        <v>6.1674763030381508</v>
      </c>
      <c r="BG8" s="133">
        <f t="shared" si="19"/>
        <v>1.8670888542349775</v>
      </c>
      <c r="BH8" s="133">
        <f t="shared" si="20"/>
        <v>3.1842001176375451E-2</v>
      </c>
      <c r="BI8" s="143">
        <f t="shared" si="21"/>
        <v>388.65722226171232</v>
      </c>
      <c r="BJ8" s="133">
        <f t="shared" si="22"/>
        <v>0.95165825930212045</v>
      </c>
      <c r="BK8" s="143">
        <f t="shared" si="23"/>
        <v>1.8610435052933516</v>
      </c>
      <c r="BL8" s="133">
        <f t="shared" si="24"/>
        <v>3.2336982767711041E-2</v>
      </c>
      <c r="BM8" s="143">
        <f t="shared" si="25"/>
        <v>771.38050171138343</v>
      </c>
      <c r="BN8" s="133">
        <f t="shared" si="26"/>
        <v>2.1336978427897129</v>
      </c>
      <c r="BO8" s="147">
        <f t="shared" si="27"/>
        <v>1.210784176920221</v>
      </c>
      <c r="BP8" s="147">
        <f t="shared" si="28"/>
        <v>0.21685581259056033</v>
      </c>
      <c r="BR8" s="147">
        <f t="shared" si="29"/>
        <v>1.0868826467738582</v>
      </c>
      <c r="BS8" s="147">
        <f t="shared" si="30"/>
        <v>0.21692020503668266</v>
      </c>
      <c r="BT8" s="143">
        <f t="shared" si="31"/>
        <v>771.15287417038496</v>
      </c>
      <c r="BU8" s="147">
        <f t="shared" si="32"/>
        <v>0.41694823156628991</v>
      </c>
      <c r="BV8" s="143">
        <f t="shared" si="33"/>
        <v>67.483400140037247</v>
      </c>
      <c r="BW8" s="143">
        <f t="shared" si="34"/>
        <v>64.106984587281573</v>
      </c>
      <c r="BX8" s="3">
        <v>1.6986774770655257E-12</v>
      </c>
      <c r="BY8" s="3">
        <v>9.4454002365720605E-16</v>
      </c>
      <c r="BZ8" s="157">
        <f t="shared" si="35"/>
        <v>1.8462630722881183E-12</v>
      </c>
      <c r="CA8" s="157">
        <f t="shared" si="36"/>
        <v>3.6847889670920338E-13</v>
      </c>
      <c r="CB8" s="157">
        <f t="shared" si="37"/>
        <v>1.1236960371161281E-11</v>
      </c>
      <c r="CC8" s="158">
        <f t="shared" si="38"/>
        <v>1.0476554949543348E-11</v>
      </c>
      <c r="CD8" s="157">
        <f t="shared" si="39"/>
        <v>1.3099400187275783E-9</v>
      </c>
      <c r="CE8" s="477">
        <f t="shared" si="40"/>
        <v>1.0159613107716071E-12</v>
      </c>
      <c r="CF8" s="157">
        <f t="shared" si="41"/>
        <v>3.1613126862808928E-12</v>
      </c>
      <c r="CG8" s="157">
        <f t="shared" si="42"/>
        <v>5.4958223455644965E-14</v>
      </c>
      <c r="CH8" s="157">
        <f t="shared" si="43"/>
        <v>6.6020326975482071E-10</v>
      </c>
      <c r="CI8" s="157">
        <f t="shared" si="44"/>
        <v>1.6577188517991652E-12</v>
      </c>
      <c r="CJ8" s="157">
        <f t="shared" si="45"/>
        <v>5.8443037367850375E-14</v>
      </c>
      <c r="CK8" s="157">
        <f t="shared" si="46"/>
        <v>4.5327175751188925E-17</v>
      </c>
      <c r="CL8" s="157">
        <f t="shared" si="47"/>
        <v>2.9455000849685602E-14</v>
      </c>
      <c r="CM8" s="157">
        <f t="shared" si="48"/>
        <v>7.3959208819206735E-17</v>
      </c>
      <c r="CN8" s="66">
        <v>5.1340830000000002E-3</v>
      </c>
      <c r="CO8" s="66">
        <v>8.40144E-6</v>
      </c>
      <c r="CP8" s="3">
        <v>1.1139738540500025E+19</v>
      </c>
      <c r="CQ8" s="60">
        <v>1.0453256904066513E+18</v>
      </c>
      <c r="CR8" s="3">
        <v>8.0438364680336474E+17</v>
      </c>
      <c r="CS8" s="3">
        <v>8.527140119058072E+16</v>
      </c>
      <c r="CT8" s="6">
        <v>0.49881143094597263</v>
      </c>
      <c r="CU8" s="6">
        <v>4.5926073391395927E-2</v>
      </c>
      <c r="CV8" s="4">
        <v>24.581879797320056</v>
      </c>
      <c r="CW8" s="4">
        <v>0.55629982285426871</v>
      </c>
      <c r="CX8" s="157">
        <f t="shared" si="49"/>
        <v>2.26404536868468E-9</v>
      </c>
      <c r="CY8" s="157">
        <f t="shared" si="50"/>
        <v>4.4624810437594178E-11</v>
      </c>
      <c r="CZ8" s="147">
        <f t="shared" si="51"/>
        <v>9.7275082459828806</v>
      </c>
      <c r="DA8" s="147">
        <f t="shared" si="52"/>
        <v>0.19780413637766814</v>
      </c>
      <c r="DB8" s="159">
        <f t="shared" si="53"/>
        <v>9.7275082459828807E-4</v>
      </c>
      <c r="DC8" s="167">
        <f t="shared" si="54"/>
        <v>1.9780413637766814E-5</v>
      </c>
      <c r="DD8" s="157">
        <f t="shared" si="55"/>
        <v>4.2088056761841792E-8</v>
      </c>
      <c r="DE8" s="157">
        <f t="shared" si="56"/>
        <v>1.0300897524038564E-9</v>
      </c>
      <c r="DF8" s="147">
        <f t="shared" si="57"/>
        <v>163.97229410742605</v>
      </c>
      <c r="DG8" s="133">
        <f t="shared" si="58"/>
        <v>4.0960518767776746</v>
      </c>
      <c r="DH8" s="159">
        <f t="shared" si="59"/>
        <v>1.6397229410742606E-2</v>
      </c>
      <c r="DI8" s="167">
        <f t="shared" si="60"/>
        <v>4.0960518767776743E-4</v>
      </c>
      <c r="DJ8" s="157">
        <f t="shared" si="61"/>
        <v>1.57383893415762E-8</v>
      </c>
      <c r="DK8" s="157">
        <f t="shared" si="62"/>
        <v>1.4745472646311539E-8</v>
      </c>
      <c r="DL8" s="143">
        <f t="shared" si="63"/>
        <v>69.318092836304842</v>
      </c>
      <c r="DM8" s="143">
        <f t="shared" si="64"/>
        <v>64.945820092126681</v>
      </c>
      <c r="DN8" s="147">
        <f t="shared" si="65"/>
        <v>6.9318092836304843E-3</v>
      </c>
      <c r="DO8" s="147">
        <f t="shared" si="66"/>
        <v>6.4945820092126684E-3</v>
      </c>
      <c r="DP8" s="133">
        <f t="shared" si="67"/>
        <v>5.3793060142831937E-2</v>
      </c>
      <c r="DQ8" s="133">
        <f t="shared" si="68"/>
        <v>1.659280201787368E-3</v>
      </c>
      <c r="DR8" s="133">
        <f t="shared" si="69"/>
        <v>0.14385495996745595</v>
      </c>
      <c r="DS8" s="133">
        <f t="shared" si="70"/>
        <v>0.88063793703386384</v>
      </c>
      <c r="DT8" s="133">
        <f t="shared" si="71"/>
        <v>5.9324096786801846E-2</v>
      </c>
      <c r="DU8" s="133">
        <f t="shared" si="72"/>
        <v>1.8303342809633909E-3</v>
      </c>
      <c r="DV8" s="133">
        <f t="shared" si="73"/>
        <v>0.14033144663911137</v>
      </c>
      <c r="DW8" s="133">
        <f t="shared" si="74"/>
        <v>0.88068110700658409</v>
      </c>
      <c r="DX8" s="157">
        <f t="shared" si="75"/>
        <v>6.9984226205450112E-7</v>
      </c>
      <c r="DY8" s="157">
        <f t="shared" si="76"/>
        <v>1.721828732344923E-8</v>
      </c>
      <c r="DZ8" s="147">
        <f t="shared" si="77"/>
        <v>36.261054590123628</v>
      </c>
      <c r="EA8" s="147">
        <f t="shared" si="78"/>
        <v>34.452556968419792</v>
      </c>
      <c r="EB8" s="157">
        <f t="shared" si="79"/>
        <v>1.3009898678310401E-5</v>
      </c>
      <c r="EC8" s="157">
        <f t="shared" si="80"/>
        <v>2.5850021144080353E-7</v>
      </c>
      <c r="ED8" s="143">
        <f t="shared" ref="ED8:ED18" si="106">IF(Ar40Ar39&gt;0,(1/lambda/10^6)*LN(1+(J*Ar40Ar39)),"")</f>
        <v>307.66114505807764</v>
      </c>
      <c r="EE8" s="143">
        <f t="shared" si="81"/>
        <v>269.63360243110873</v>
      </c>
      <c r="EF8" s="143">
        <f t="shared" si="82"/>
        <v>269.63400234208865</v>
      </c>
      <c r="EG8" s="147">
        <f t="shared" si="83"/>
        <v>307.66114505807764</v>
      </c>
      <c r="EH8" s="147">
        <f t="shared" si="84"/>
        <v>269.63360243110873</v>
      </c>
      <c r="EI8" s="147">
        <f t="shared" si="85"/>
        <v>269.63400234208865</v>
      </c>
      <c r="EJ8" s="501">
        <f t="shared" si="86"/>
        <v>1.5934274045642981E-2</v>
      </c>
      <c r="EK8" s="143">
        <f t="shared" si="87"/>
        <v>307.66114505807764</v>
      </c>
      <c r="EL8" s="143">
        <f t="shared" si="87"/>
        <v>269.63360243110873</v>
      </c>
      <c r="EM8" s="147">
        <f t="shared" si="88"/>
        <v>1.7122763996806813</v>
      </c>
      <c r="EN8" s="147">
        <f t="shared" si="89"/>
        <v>0.34176210407654983</v>
      </c>
      <c r="EO8" s="143">
        <f t="shared" si="90"/>
        <v>357.58894800220151</v>
      </c>
      <c r="EP8" s="143">
        <f t="shared" si="91"/>
        <v>71.373027909829915</v>
      </c>
      <c r="EQ8" s="157">
        <f t="shared" si="92"/>
        <v>4.7883929557860378E-3</v>
      </c>
      <c r="ER8" s="157">
        <f t="shared" si="93"/>
        <v>8.4023869021318209E-5</v>
      </c>
      <c r="ES8" s="157">
        <f t="shared" si="94"/>
        <v>2.7965070105965451E-3</v>
      </c>
      <c r="ET8" s="157">
        <f t="shared" si="95"/>
        <v>5.5816930034457729E-4</v>
      </c>
      <c r="LQ8" s="214" t="str">
        <f t="shared" si="96"/>
        <v>B1x Bulk</v>
      </c>
      <c r="LR8" s="214" t="str">
        <f t="shared" si="97"/>
        <v>MN2022a</v>
      </c>
      <c r="LS8" s="211">
        <f t="shared" si="98"/>
        <v>9.7275082459828806</v>
      </c>
      <c r="LT8" s="211">
        <f t="shared" si="99"/>
        <v>0.19780413637766814</v>
      </c>
      <c r="LU8" s="211">
        <f t="shared" si="100"/>
        <v>163.97229410742605</v>
      </c>
      <c r="LV8" s="211">
        <f t="shared" si="101"/>
        <v>4.0960518767776746</v>
      </c>
      <c r="LW8" s="211">
        <f t="shared" si="102"/>
        <v>69.318092836304842</v>
      </c>
      <c r="LX8" s="211">
        <f t="shared" si="103"/>
        <v>64.945820092126681</v>
      </c>
      <c r="LY8" s="211"/>
      <c r="LZ8" s="211"/>
      <c r="MA8" s="211"/>
      <c r="MB8" s="211"/>
      <c r="MC8" s="211"/>
      <c r="MD8" s="211"/>
      <c r="ME8" s="211"/>
      <c r="MF8" s="211"/>
      <c r="MG8" s="211"/>
      <c r="MH8" s="211"/>
      <c r="MI8" s="211"/>
      <c r="MJ8" s="211"/>
      <c r="MK8" s="211"/>
      <c r="ML8" s="211"/>
      <c r="MM8" s="211"/>
      <c r="MN8" s="211"/>
      <c r="MO8" s="506">
        <f t="shared" ref="MO8:MP53" si="107">DT8</f>
        <v>5.9324096786801846E-2</v>
      </c>
      <c r="MP8" s="506">
        <f t="shared" si="107"/>
        <v>1.8303342809633909E-3</v>
      </c>
      <c r="MQ8" s="109"/>
      <c r="MR8" s="109"/>
      <c r="MS8" s="109"/>
      <c r="MT8" s="109"/>
      <c r="MU8" s="109"/>
      <c r="MV8" s="109"/>
      <c r="MW8" s="506">
        <f t="shared" ref="MW8:MX53" si="108">DP8</f>
        <v>5.3793060142831937E-2</v>
      </c>
      <c r="MX8" s="506">
        <f t="shared" si="108"/>
        <v>1.659280201787368E-3</v>
      </c>
      <c r="MY8" s="109"/>
      <c r="MZ8" s="109"/>
      <c r="NA8" s="109"/>
      <c r="NB8" s="109"/>
      <c r="NC8" s="109"/>
      <c r="ND8" s="109"/>
    </row>
    <row r="9" spans="2:368">
      <c r="B9" s="245" t="s">
        <v>932</v>
      </c>
      <c r="C9" s="5">
        <f t="shared" ref="C9:C19" si="109">9.1/1000</f>
        <v>9.1000000000000004E-3</v>
      </c>
      <c r="D9" s="66">
        <f t="shared" si="104"/>
        <v>4.5500000000000001E-5</v>
      </c>
      <c r="E9" s="67">
        <v>44727</v>
      </c>
      <c r="F9" s="5" t="s">
        <v>210</v>
      </c>
      <c r="G9" s="5" t="s">
        <v>893</v>
      </c>
      <c r="H9" s="5">
        <v>1</v>
      </c>
      <c r="J9" s="327">
        <v>44644</v>
      </c>
      <c r="K9" s="67" t="s">
        <v>823</v>
      </c>
      <c r="L9" s="5">
        <v>1.5</v>
      </c>
      <c r="M9" s="5">
        <v>1.35</v>
      </c>
      <c r="N9" s="5">
        <v>30</v>
      </c>
      <c r="O9" s="6">
        <v>248.600933</v>
      </c>
      <c r="P9" s="6">
        <v>0.21096999999999999</v>
      </c>
      <c r="Q9" s="6">
        <v>6.3527969999999998</v>
      </c>
      <c r="R9" s="6">
        <v>1.9137999999999999E-2</v>
      </c>
      <c r="S9" s="6">
        <v>566.52846699999998</v>
      </c>
      <c r="T9" s="6">
        <v>0.48148000000000002</v>
      </c>
      <c r="U9" s="6">
        <v>6.6515639999999996</v>
      </c>
      <c r="V9" s="6">
        <v>5.4005999999999998E-2</v>
      </c>
      <c r="W9" s="6">
        <v>0.92549899999999996</v>
      </c>
      <c r="X9" s="6">
        <v>4.9420000000000002E-3</v>
      </c>
      <c r="Y9" s="6">
        <v>6.3067744999999995</v>
      </c>
      <c r="Z9" s="6">
        <v>0.93511705857555649</v>
      </c>
      <c r="AA9" s="6">
        <v>4.3458000000000004E-2</v>
      </c>
      <c r="AB9" s="6">
        <v>2.986365296923112E-2</v>
      </c>
      <c r="AC9" s="6">
        <v>2.21285175</v>
      </c>
      <c r="AD9" s="6">
        <v>2.0188658876193135</v>
      </c>
      <c r="AE9" s="6">
        <v>1.3901317499999999</v>
      </c>
      <c r="AF9" s="6">
        <v>1.1954009646957722</v>
      </c>
      <c r="AG9" s="6">
        <v>0.25606525000000002</v>
      </c>
      <c r="AH9" s="6">
        <v>0.21678044365882418</v>
      </c>
      <c r="AI9" s="133">
        <f t="shared" si="0"/>
        <v>242.29415850000001</v>
      </c>
      <c r="AJ9" s="133">
        <f t="shared" si="1"/>
        <v>0.95861997378471142</v>
      </c>
      <c r="AK9" s="133">
        <f t="shared" si="2"/>
        <v>6.3093389999999996</v>
      </c>
      <c r="AL9" s="133">
        <f t="shared" si="3"/>
        <v>3.5469716839392255E-2</v>
      </c>
      <c r="AM9" s="133">
        <f t="shared" si="4"/>
        <v>564.31561524999995</v>
      </c>
      <c r="AN9" s="133">
        <f t="shared" si="5"/>
        <v>2.0754860786314415</v>
      </c>
      <c r="AO9" s="133">
        <f t="shared" si="6"/>
        <v>5.2614322499999995</v>
      </c>
      <c r="AP9" s="133">
        <f t="shared" si="7"/>
        <v>1.1966202883252408</v>
      </c>
      <c r="AQ9" s="133">
        <f t="shared" si="8"/>
        <v>0.66943374999999994</v>
      </c>
      <c r="AR9" s="133">
        <f t="shared" si="9"/>
        <v>0.21683676836947335</v>
      </c>
      <c r="AS9" s="5">
        <v>300.7</v>
      </c>
      <c r="AT9" s="5">
        <v>0.28000000000000003</v>
      </c>
      <c r="AU9" s="133">
        <f t="shared" si="10"/>
        <v>6.3370958213197968</v>
      </c>
      <c r="AV9" s="133">
        <f t="shared" si="11"/>
        <v>3.5470081448043193E-2</v>
      </c>
      <c r="AW9" s="133">
        <f t="shared" si="12"/>
        <v>569.28082878519456</v>
      </c>
      <c r="AX9" s="133">
        <f t="shared" si="13"/>
        <v>2.0755090845183748</v>
      </c>
      <c r="AY9" s="133">
        <f t="shared" si="14"/>
        <v>5.3308724725888323</v>
      </c>
      <c r="AZ9" s="133">
        <f t="shared" si="15"/>
        <v>1.1966408751021278</v>
      </c>
      <c r="BA9" s="133">
        <f t="shared" si="16"/>
        <v>0.68121397165820641</v>
      </c>
      <c r="BB9" s="133">
        <f t="shared" si="17"/>
        <v>0.21683886673289871</v>
      </c>
      <c r="BC9" s="6"/>
      <c r="BD9" s="8"/>
      <c r="BE9" s="133">
        <f t="shared" si="105"/>
        <v>27.455894978645208</v>
      </c>
      <c r="BF9" s="133">
        <f t="shared" si="18"/>
        <v>6.1631273985443542</v>
      </c>
      <c r="BG9" s="133">
        <f t="shared" si="19"/>
        <v>6.3408101123197262</v>
      </c>
      <c r="BH9" s="133">
        <f t="shared" si="20"/>
        <v>3.5490871129626671E-2</v>
      </c>
      <c r="BI9" s="143">
        <f t="shared" si="21"/>
        <v>241.47175219520264</v>
      </c>
      <c r="BJ9" s="133">
        <f t="shared" si="22"/>
        <v>0.95863139424514199</v>
      </c>
      <c r="BK9" s="143">
        <f t="shared" si="23"/>
        <v>6.3157190494948523</v>
      </c>
      <c r="BL9" s="133">
        <f t="shared" si="24"/>
        <v>3.5935004720933715E-2</v>
      </c>
      <c r="BM9" s="143">
        <f t="shared" si="25"/>
        <v>569.1829133688293</v>
      </c>
      <c r="BN9" s="133">
        <f t="shared" si="26"/>
        <v>2.0755091568771711</v>
      </c>
      <c r="BO9" s="147">
        <f t="shared" si="27"/>
        <v>0.67163655522653409</v>
      </c>
      <c r="BP9" s="147">
        <f t="shared" si="28"/>
        <v>0.21684952410246061</v>
      </c>
      <c r="BR9" s="147">
        <f t="shared" si="29"/>
        <v>0.58020593038493695</v>
      </c>
      <c r="BS9" s="147">
        <f t="shared" si="30"/>
        <v>0.21691045102867754</v>
      </c>
      <c r="BT9" s="143">
        <f t="shared" si="31"/>
        <v>569.05664563224582</v>
      </c>
      <c r="BU9" s="147">
        <f t="shared" si="32"/>
        <v>0.40556575561355462</v>
      </c>
      <c r="BV9" s="143">
        <f t="shared" si="33"/>
        <v>70.020899766453766</v>
      </c>
      <c r="BW9" s="143">
        <f t="shared" si="34"/>
        <v>64.104206494475207</v>
      </c>
      <c r="BX9" s="3">
        <v>1.6986774770655257E-12</v>
      </c>
      <c r="BY9" s="3">
        <v>9.4454002365720605E-16</v>
      </c>
      <c r="BZ9" s="157">
        <f t="shared" si="35"/>
        <v>9.8558274600474076E-13</v>
      </c>
      <c r="CA9" s="157">
        <f t="shared" si="36"/>
        <v>3.6846130525490261E-13</v>
      </c>
      <c r="CB9" s="157">
        <f t="shared" si="37"/>
        <v>4.6638710412901076E-11</v>
      </c>
      <c r="CC9" s="158">
        <f t="shared" si="38"/>
        <v>1.0469197819724465E-11</v>
      </c>
      <c r="CD9" s="157">
        <f t="shared" si="39"/>
        <v>9.6664370710995426E-10</v>
      </c>
      <c r="CE9" s="477">
        <f t="shared" si="40"/>
        <v>8.7379689438553441E-13</v>
      </c>
      <c r="CF9" s="157">
        <f t="shared" si="41"/>
        <v>1.0728369700850596E-11</v>
      </c>
      <c r="CG9" s="157">
        <f t="shared" si="42"/>
        <v>6.1332783196360366E-14</v>
      </c>
      <c r="CH9" s="157">
        <f t="shared" si="43"/>
        <v>4.1018262680153861E-10</v>
      </c>
      <c r="CI9" s="157">
        <f t="shared" si="44"/>
        <v>1.6443007715500044E-12</v>
      </c>
      <c r="CJ9" s="157">
        <f t="shared" si="45"/>
        <v>4.3126855801306088E-14</v>
      </c>
      <c r="CK9" s="157">
        <f t="shared" si="46"/>
        <v>3.8984498780202468E-17</v>
      </c>
      <c r="CL9" s="157">
        <f t="shared" si="47"/>
        <v>1.8300317757366531E-14</v>
      </c>
      <c r="CM9" s="157">
        <f t="shared" si="48"/>
        <v>7.3360559313898799E-17</v>
      </c>
      <c r="CN9" s="66">
        <v>5.1340830000000002E-3</v>
      </c>
      <c r="CO9" s="66">
        <v>8.40144E-6</v>
      </c>
      <c r="CP9" s="3">
        <v>1.1139738540500025E+19</v>
      </c>
      <c r="CQ9" s="60">
        <v>1.0453256904066513E+18</v>
      </c>
      <c r="CR9" s="3">
        <v>8.0438364680336474E+17</v>
      </c>
      <c r="CS9" s="3">
        <v>8.527140119058072E+16</v>
      </c>
      <c r="CT9" s="6">
        <v>0.49881143094597263</v>
      </c>
      <c r="CU9" s="6">
        <v>4.5926073391395927E-2</v>
      </c>
      <c r="CV9" s="4">
        <v>24.581879797320056</v>
      </c>
      <c r="CW9" s="4">
        <v>0.55629982285426871</v>
      </c>
      <c r="CX9" s="157">
        <f t="shared" si="49"/>
        <v>7.6833638887278479E-9</v>
      </c>
      <c r="CY9" s="157">
        <f t="shared" si="50"/>
        <v>8.3798006928993631E-11</v>
      </c>
      <c r="CZ9" s="147">
        <f t="shared" si="51"/>
        <v>33.011699596774505</v>
      </c>
      <c r="DA9" s="147">
        <f t="shared" si="52"/>
        <v>0.39607166320018039</v>
      </c>
      <c r="DB9" s="159">
        <f t="shared" si="53"/>
        <v>3.3011699596774504E-3</v>
      </c>
      <c r="DC9" s="167">
        <f t="shared" si="54"/>
        <v>3.9607166320018036E-5</v>
      </c>
      <c r="DD9" s="157">
        <f t="shared" si="55"/>
        <v>3.1058029094217492E-8</v>
      </c>
      <c r="DE9" s="157">
        <f t="shared" si="56"/>
        <v>7.6027065690341778E-10</v>
      </c>
      <c r="DF9" s="147">
        <f t="shared" si="57"/>
        <v>121.00003356893326</v>
      </c>
      <c r="DG9" s="133">
        <f t="shared" si="58"/>
        <v>3.0231206540493094</v>
      </c>
      <c r="DH9" s="159">
        <f t="shared" si="59"/>
        <v>1.2100003356893325E-2</v>
      </c>
      <c r="DI9" s="167">
        <f t="shared" si="60"/>
        <v>3.0231206540493093E-4</v>
      </c>
      <c r="DJ9" s="157">
        <f t="shared" si="61"/>
        <v>6.5321773737945855E-8</v>
      </c>
      <c r="DK9" s="157">
        <f t="shared" si="62"/>
        <v>1.5860163953081565E-8</v>
      </c>
      <c r="DL9" s="143">
        <f t="shared" si="63"/>
        <v>287.70293312273293</v>
      </c>
      <c r="DM9" s="143">
        <f t="shared" si="64"/>
        <v>69.869252419258487</v>
      </c>
      <c r="DN9" s="147">
        <f t="shared" si="65"/>
        <v>2.8770293312273293E-2</v>
      </c>
      <c r="DO9" s="147">
        <f t="shared" si="66"/>
        <v>6.9869252419258489E-3</v>
      </c>
      <c r="DP9" s="133">
        <f t="shared" si="67"/>
        <v>0.24738736207051745</v>
      </c>
      <c r="DQ9" s="133">
        <f t="shared" si="68"/>
        <v>3.29733417695602E-3</v>
      </c>
      <c r="DR9" s="133">
        <f t="shared" si="69"/>
        <v>0.11762331989868381</v>
      </c>
      <c r="DS9" s="133">
        <f t="shared" si="70"/>
        <v>6.0234966742267672E-2</v>
      </c>
      <c r="DT9" s="133">
        <f t="shared" si="71"/>
        <v>0.27282388792039353</v>
      </c>
      <c r="DU9" s="133">
        <f t="shared" si="72"/>
        <v>3.8975419281107558E-3</v>
      </c>
      <c r="DV9" s="133">
        <f t="shared" si="73"/>
        <v>0.11474231158669435</v>
      </c>
      <c r="DW9" s="133">
        <f t="shared" si="74"/>
        <v>6.0353796009448402E-2</v>
      </c>
      <c r="DX9" s="157">
        <f t="shared" si="75"/>
        <v>5.892298478390491E-7</v>
      </c>
      <c r="DY9" s="157">
        <f t="shared" si="76"/>
        <v>1.4615905258088503E-8</v>
      </c>
      <c r="DZ9" s="147">
        <f t="shared" si="77"/>
        <v>11.086766085969929</v>
      </c>
      <c r="EA9" s="147">
        <f t="shared" si="78"/>
        <v>10.150141892472156</v>
      </c>
      <c r="EB9" s="157">
        <f t="shared" si="79"/>
        <v>2.3818106264906523E-6</v>
      </c>
      <c r="EC9" s="157">
        <f t="shared" si="80"/>
        <v>2.7676162281369063E-8</v>
      </c>
      <c r="ED9" s="143">
        <f t="shared" si="106"/>
        <v>99.761001745354051</v>
      </c>
      <c r="EE9" s="143">
        <f t="shared" si="81"/>
        <v>89.151433564034463</v>
      </c>
      <c r="EF9" s="143">
        <f t="shared" si="82"/>
        <v>89.151575975586837</v>
      </c>
      <c r="EG9" s="143">
        <f t="shared" si="83"/>
        <v>99.761001745354051</v>
      </c>
      <c r="EH9" s="147">
        <f t="shared" si="84"/>
        <v>89.151433564034463</v>
      </c>
      <c r="EI9" s="147">
        <f t="shared" si="85"/>
        <v>89.151575975586837</v>
      </c>
      <c r="EJ9" s="501">
        <f t="shared" si="86"/>
        <v>5.4075252858785651E-2</v>
      </c>
      <c r="EK9" s="143">
        <f t="shared" si="87"/>
        <v>99.761001745354051</v>
      </c>
      <c r="EL9" s="143">
        <f t="shared" si="87"/>
        <v>89.151433564034463</v>
      </c>
      <c r="EM9" s="147">
        <f t="shared" si="88"/>
        <v>10.88530592113165</v>
      </c>
      <c r="EN9" s="147">
        <f t="shared" si="89"/>
        <v>4.0697097637462321</v>
      </c>
      <c r="EO9" s="143">
        <f t="shared" si="90"/>
        <v>416.18284052181008</v>
      </c>
      <c r="EP9" s="143">
        <f t="shared" si="91"/>
        <v>155.59906003993757</v>
      </c>
      <c r="EQ9" s="157">
        <f t="shared" si="92"/>
        <v>2.6155105067483451E-2</v>
      </c>
      <c r="ER9" s="157">
        <f t="shared" si="93"/>
        <v>1.8146070815986754E-4</v>
      </c>
      <c r="ES9" s="157">
        <f t="shared" si="94"/>
        <v>2.4027900783852598E-3</v>
      </c>
      <c r="ET9" s="157">
        <f t="shared" si="95"/>
        <v>8.9833563825282602E-4</v>
      </c>
      <c r="LQ9" s="214" t="str">
        <f t="shared" si="96"/>
        <v>B1x Bulk</v>
      </c>
      <c r="LR9" s="214" t="str">
        <f t="shared" si="97"/>
        <v>MN2022a</v>
      </c>
      <c r="LS9" s="211">
        <f t="shared" si="98"/>
        <v>33.011699596774505</v>
      </c>
      <c r="LT9" s="211">
        <f t="shared" si="99"/>
        <v>0.39607166320018039</v>
      </c>
      <c r="LU9" s="211">
        <f t="shared" si="100"/>
        <v>121.00003356893326</v>
      </c>
      <c r="LV9" s="211">
        <f t="shared" si="101"/>
        <v>3.0231206540493094</v>
      </c>
      <c r="LW9" s="211">
        <f t="shared" si="102"/>
        <v>287.70293312273293</v>
      </c>
      <c r="LX9" s="211">
        <f t="shared" si="103"/>
        <v>69.869252419258487</v>
      </c>
      <c r="LY9" s="211"/>
      <c r="LZ9" s="211"/>
      <c r="MA9" s="211"/>
      <c r="MB9" s="211"/>
      <c r="MC9" s="211"/>
      <c r="MD9" s="211"/>
      <c r="ME9" s="211"/>
      <c r="MF9" s="211"/>
      <c r="MG9" s="211"/>
      <c r="MH9" s="211"/>
      <c r="MI9" s="211"/>
      <c r="MJ9" s="211"/>
      <c r="MK9" s="211"/>
      <c r="ML9" s="211"/>
      <c r="MM9" s="211"/>
      <c r="MN9" s="211"/>
      <c r="MO9" s="506">
        <f t="shared" si="107"/>
        <v>0.27282388792039353</v>
      </c>
      <c r="MP9" s="506">
        <f t="shared" si="107"/>
        <v>3.8975419281107558E-3</v>
      </c>
      <c r="MQ9" s="109"/>
      <c r="MR9" s="109"/>
      <c r="MS9" s="109"/>
      <c r="MT9" s="109"/>
      <c r="MU9" s="109"/>
      <c r="MV9" s="109"/>
      <c r="MW9" s="506">
        <f t="shared" si="108"/>
        <v>0.24738736207051745</v>
      </c>
      <c r="MX9" s="506">
        <f t="shared" si="108"/>
        <v>3.29733417695602E-3</v>
      </c>
      <c r="MY9" s="109"/>
      <c r="MZ9" s="109"/>
      <c r="NA9" s="109"/>
      <c r="NB9" s="109"/>
      <c r="NC9" s="109"/>
      <c r="ND9" s="109"/>
    </row>
    <row r="10" spans="2:368">
      <c r="B10" s="245" t="s">
        <v>932</v>
      </c>
      <c r="C10" s="5">
        <f t="shared" si="109"/>
        <v>9.1000000000000004E-3</v>
      </c>
      <c r="D10" s="66">
        <f t="shared" si="104"/>
        <v>4.5500000000000001E-5</v>
      </c>
      <c r="E10" s="67">
        <v>44727</v>
      </c>
      <c r="F10" s="5" t="s">
        <v>210</v>
      </c>
      <c r="G10" s="5" t="s">
        <v>893</v>
      </c>
      <c r="H10" s="5">
        <v>1</v>
      </c>
      <c r="J10" s="327">
        <v>44644</v>
      </c>
      <c r="K10" s="67" t="s">
        <v>823</v>
      </c>
      <c r="L10" s="5">
        <v>2</v>
      </c>
      <c r="M10" s="5">
        <v>1.87</v>
      </c>
      <c r="N10" s="5">
        <v>30</v>
      </c>
      <c r="O10" s="6">
        <v>305.74854299999998</v>
      </c>
      <c r="P10" s="6">
        <v>0.324353</v>
      </c>
      <c r="Q10" s="6">
        <v>8.3450539999999993</v>
      </c>
      <c r="R10" s="6">
        <v>1.9712E-2</v>
      </c>
      <c r="S10" s="6">
        <v>385.49741999999998</v>
      </c>
      <c r="T10" s="6">
        <v>0.32961499999999999</v>
      </c>
      <c r="U10" s="6">
        <v>10.001274</v>
      </c>
      <c r="V10" s="6">
        <v>0.12008099999999999</v>
      </c>
      <c r="W10" s="6">
        <v>1.206577</v>
      </c>
      <c r="X10" s="6">
        <v>6.9049999999999997E-3</v>
      </c>
      <c r="Y10" s="6">
        <v>6.3067744999999995</v>
      </c>
      <c r="Z10" s="6">
        <v>0.93511705857555649</v>
      </c>
      <c r="AA10" s="6">
        <v>4.3458000000000004E-2</v>
      </c>
      <c r="AB10" s="6">
        <v>2.986365296923112E-2</v>
      </c>
      <c r="AC10" s="6">
        <v>2.21285175</v>
      </c>
      <c r="AD10" s="6">
        <v>2.0188658876193135</v>
      </c>
      <c r="AE10" s="6">
        <v>1.3901317499999999</v>
      </c>
      <c r="AF10" s="6">
        <v>1.1954009646957722</v>
      </c>
      <c r="AG10" s="6">
        <v>0.25606525000000002</v>
      </c>
      <c r="AH10" s="6">
        <v>0.21678044365882418</v>
      </c>
      <c r="AI10" s="133">
        <f t="shared" si="0"/>
        <v>299.44176849999997</v>
      </c>
      <c r="AJ10" s="133">
        <f t="shared" si="1"/>
        <v>0.98977208580965792</v>
      </c>
      <c r="AK10" s="133">
        <f t="shared" si="2"/>
        <v>8.301596</v>
      </c>
      <c r="AL10" s="133">
        <f t="shared" si="3"/>
        <v>3.578268733153879E-2</v>
      </c>
      <c r="AM10" s="133">
        <f t="shared" si="4"/>
        <v>383.28456824999995</v>
      </c>
      <c r="AN10" s="133">
        <f t="shared" si="5"/>
        <v>2.045596617228802</v>
      </c>
      <c r="AO10" s="133">
        <f t="shared" si="6"/>
        <v>8.6111422500000003</v>
      </c>
      <c r="AP10" s="133">
        <f t="shared" si="7"/>
        <v>1.2014170437265248</v>
      </c>
      <c r="AQ10" s="133">
        <f t="shared" si="8"/>
        <v>0.95051174999999999</v>
      </c>
      <c r="AR10" s="133">
        <f t="shared" si="9"/>
        <v>0.21689038655024948</v>
      </c>
      <c r="AS10" s="5">
        <v>300.7</v>
      </c>
      <c r="AT10" s="5">
        <v>0.28000000000000003</v>
      </c>
      <c r="AU10" s="133">
        <f t="shared" si="10"/>
        <v>8.3381174037225048</v>
      </c>
      <c r="AV10" s="133">
        <f t="shared" si="11"/>
        <v>3.5783070270984027E-2</v>
      </c>
      <c r="AW10" s="133">
        <f t="shared" si="12"/>
        <v>386.65695362208118</v>
      </c>
      <c r="AX10" s="133">
        <f t="shared" si="13"/>
        <v>2.0456177798256769</v>
      </c>
      <c r="AY10" s="133">
        <f t="shared" si="14"/>
        <v>8.7247918431472087</v>
      </c>
      <c r="AZ10" s="133">
        <f t="shared" si="15"/>
        <v>1.201437714330257</v>
      </c>
      <c r="BA10" s="133">
        <f t="shared" si="16"/>
        <v>0.9672381835025381</v>
      </c>
      <c r="BB10" s="133">
        <f t="shared" si="17"/>
        <v>0.21689248547249954</v>
      </c>
      <c r="BC10" s="6"/>
      <c r="BD10" s="8"/>
      <c r="BE10" s="133">
        <f t="shared" si="105"/>
        <v>44.935790489780537</v>
      </c>
      <c r="BF10" s="133">
        <f t="shared" si="18"/>
        <v>6.1878328318020746</v>
      </c>
      <c r="BG10" s="133">
        <f t="shared" si="19"/>
        <v>8.3430045310916068</v>
      </c>
      <c r="BH10" s="133">
        <f t="shared" si="20"/>
        <v>3.58040434012009E-2</v>
      </c>
      <c r="BI10" s="143">
        <f t="shared" si="21"/>
        <v>298.36072498825678</v>
      </c>
      <c r="BJ10" s="133">
        <f t="shared" si="22"/>
        <v>0.98978334025805514</v>
      </c>
      <c r="BK10" s="143">
        <f t="shared" si="23"/>
        <v>8.301939151757173</v>
      </c>
      <c r="BL10" s="133">
        <f t="shared" si="24"/>
        <v>3.6247854974221054E-2</v>
      </c>
      <c r="BM10" s="143">
        <f t="shared" si="25"/>
        <v>386.52812012164065</v>
      </c>
      <c r="BN10" s="133">
        <f t="shared" si="26"/>
        <v>2.0456178545431736</v>
      </c>
      <c r="BO10" s="147">
        <f t="shared" si="27"/>
        <v>0.95156327002615182</v>
      </c>
      <c r="BP10" s="147">
        <f t="shared" si="28"/>
        <v>0.21690322579750301</v>
      </c>
      <c r="BR10" s="147">
        <f t="shared" si="29"/>
        <v>0.88948834053749293</v>
      </c>
      <c r="BS10" s="147">
        <f t="shared" si="30"/>
        <v>0.21696242532683413</v>
      </c>
      <c r="BT10" s="143">
        <f t="shared" si="31"/>
        <v>386.34922613591692</v>
      </c>
      <c r="BU10" s="147">
        <f t="shared" si="32"/>
        <v>0.3998238227267279</v>
      </c>
      <c r="BV10" s="143">
        <f t="shared" si="33"/>
        <v>35.516920359427615</v>
      </c>
      <c r="BW10" s="143">
        <f t="shared" si="34"/>
        <v>64.120036491235865</v>
      </c>
      <c r="BX10" s="3">
        <v>1.6986774770655257E-12</v>
      </c>
      <c r="BY10" s="3">
        <v>9.4454002365720605E-16</v>
      </c>
      <c r="BZ10" s="157">
        <f t="shared" si="35"/>
        <v>1.5109538101834297E-12</v>
      </c>
      <c r="CA10" s="157">
        <f t="shared" si="36"/>
        <v>3.6855014289667339E-13</v>
      </c>
      <c r="CB10" s="157">
        <f t="shared" si="37"/>
        <v>7.6331415219125449E-11</v>
      </c>
      <c r="CC10" s="158">
        <f t="shared" si="38"/>
        <v>1.0511217956009472E-11</v>
      </c>
      <c r="CD10" s="157">
        <f t="shared" si="39"/>
        <v>6.5628272871877756E-10</v>
      </c>
      <c r="CE10" s="477">
        <f t="shared" si="40"/>
        <v>7.7100098500424696E-13</v>
      </c>
      <c r="CF10" s="157">
        <f t="shared" si="41"/>
        <v>1.4102317053058386E-11</v>
      </c>
      <c r="CG10" s="157">
        <f t="shared" si="42"/>
        <v>6.2070723802492684E-14</v>
      </c>
      <c r="CH10" s="157">
        <f t="shared" si="43"/>
        <v>5.0681864357849319E-10</v>
      </c>
      <c r="CI10" s="157">
        <f t="shared" si="44"/>
        <v>1.7047770653917809E-12</v>
      </c>
      <c r="CJ10" s="157">
        <f t="shared" si="45"/>
        <v>2.9280085721514903E-14</v>
      </c>
      <c r="CK10" s="157">
        <f t="shared" si="46"/>
        <v>3.4398250472852098E-17</v>
      </c>
      <c r="CL10" s="157">
        <f t="shared" si="47"/>
        <v>2.2611738325356899E-14</v>
      </c>
      <c r="CM10" s="157">
        <f t="shared" si="48"/>
        <v>7.6058712454974354E-17</v>
      </c>
      <c r="CN10" s="66">
        <v>5.1340830000000002E-3</v>
      </c>
      <c r="CO10" s="66">
        <v>8.40144E-6</v>
      </c>
      <c r="CP10" s="3">
        <v>1.1139738540500025E+19</v>
      </c>
      <c r="CQ10" s="60">
        <v>1.0453256904066513E+18</v>
      </c>
      <c r="CR10" s="3">
        <v>8.0438364680336474E+17</v>
      </c>
      <c r="CS10" s="3">
        <v>8.527140119058072E+16</v>
      </c>
      <c r="CT10" s="6">
        <v>0.49881143094597263</v>
      </c>
      <c r="CU10" s="6">
        <v>4.5926073391395927E-2</v>
      </c>
      <c r="CV10" s="4">
        <v>24.581879797320056</v>
      </c>
      <c r="CW10" s="4">
        <v>0.55629982285426871</v>
      </c>
      <c r="CX10" s="157">
        <f t="shared" si="49"/>
        <v>1.0099692368381837E-8</v>
      </c>
      <c r="CY10" s="157">
        <f t="shared" si="50"/>
        <v>1.0380604663244882E-10</v>
      </c>
      <c r="CZ10" s="147">
        <f t="shared" si="51"/>
        <v>43.393494739198196</v>
      </c>
      <c r="DA10" s="147">
        <f t="shared" si="52"/>
        <v>0.49597862964185474</v>
      </c>
      <c r="DB10" s="159">
        <f t="shared" si="53"/>
        <v>4.3393494739198193E-3</v>
      </c>
      <c r="DC10" s="167">
        <f t="shared" si="54"/>
        <v>4.9597862964185475E-5</v>
      </c>
      <c r="DD10" s="157">
        <f t="shared" si="55"/>
        <v>2.1086205737086251E-8</v>
      </c>
      <c r="DE10" s="157">
        <f t="shared" si="56"/>
        <v>5.1641245965538681E-10</v>
      </c>
      <c r="DF10" s="147">
        <f t="shared" si="57"/>
        <v>82.150467252408674</v>
      </c>
      <c r="DG10" s="133">
        <f t="shared" si="58"/>
        <v>2.0534106001576209</v>
      </c>
      <c r="DH10" s="159">
        <f t="shared" si="59"/>
        <v>8.2150467252408675E-3</v>
      </c>
      <c r="DI10" s="167">
        <f t="shared" si="60"/>
        <v>2.0534106001576208E-4</v>
      </c>
      <c r="DJ10" s="157">
        <f t="shared" si="61"/>
        <v>1.0690911883922216E-7</v>
      </c>
      <c r="DK10" s="157">
        <f t="shared" si="62"/>
        <v>1.7737256161430988E-8</v>
      </c>
      <c r="DL10" s="143">
        <f t="shared" si="63"/>
        <v>470.87005308527733</v>
      </c>
      <c r="DM10" s="143">
        <f t="shared" si="64"/>
        <v>78.157375535406359</v>
      </c>
      <c r="DN10" s="147">
        <f t="shared" si="65"/>
        <v>4.7087005308527732E-2</v>
      </c>
      <c r="DO10" s="147">
        <f t="shared" si="66"/>
        <v>7.8157375535406366E-3</v>
      </c>
      <c r="DP10" s="133">
        <f t="shared" si="67"/>
        <v>0.47897153685731991</v>
      </c>
      <c r="DQ10" s="133">
        <f t="shared" si="68"/>
        <v>5.522722556296252E-3</v>
      </c>
      <c r="DR10" s="133">
        <f t="shared" si="69"/>
        <v>9.4469886928639835E-2</v>
      </c>
      <c r="DS10" s="133">
        <f t="shared" si="70"/>
        <v>2.8496991828036319E-2</v>
      </c>
      <c r="DT10" s="133">
        <f t="shared" si="71"/>
        <v>0.52821969479334752</v>
      </c>
      <c r="DU10" s="133">
        <f t="shared" si="72"/>
        <v>6.6622277075524018E-3</v>
      </c>
      <c r="DV10" s="133">
        <f t="shared" si="73"/>
        <v>9.2155987527496E-2</v>
      </c>
      <c r="DW10" s="133">
        <f t="shared" si="74"/>
        <v>2.8604350907387832E-2</v>
      </c>
      <c r="DX10" s="157">
        <f t="shared" si="75"/>
        <v>1.0723474202657311E-6</v>
      </c>
      <c r="DY10" s="157">
        <f t="shared" si="76"/>
        <v>2.6508911167053222E-8</v>
      </c>
      <c r="DZ10" s="147">
        <f t="shared" si="77"/>
        <v>4.2781475159222495</v>
      </c>
      <c r="EA10" s="147">
        <f t="shared" si="78"/>
        <v>7.7235237263158529</v>
      </c>
      <c r="EB10" s="157">
        <f t="shared" si="79"/>
        <v>2.2388541651174796E-6</v>
      </c>
      <c r="EC10" s="157">
        <f t="shared" si="80"/>
        <v>2.4212202394781834E-8</v>
      </c>
      <c r="ED10" s="143">
        <f t="shared" si="106"/>
        <v>39.152711584951916</v>
      </c>
      <c r="EE10" s="143">
        <f t="shared" si="81"/>
        <v>70.158164991918369</v>
      </c>
      <c r="EF10" s="143">
        <f t="shared" si="82"/>
        <v>70.158193813006079</v>
      </c>
      <c r="EG10" s="143">
        <f t="shared" si="83"/>
        <v>39.152711584951916</v>
      </c>
      <c r="EH10" s="147">
        <f t="shared" si="84"/>
        <v>70.158164991918369</v>
      </c>
      <c r="EI10" s="147">
        <f t="shared" si="85"/>
        <v>70.158193813006079</v>
      </c>
      <c r="EJ10" s="501">
        <f t="shared" si="86"/>
        <v>7.108129024286286E-2</v>
      </c>
      <c r="EK10" s="143">
        <f t="shared" si="87"/>
        <v>39.152711584951916</v>
      </c>
      <c r="EL10" s="143">
        <f t="shared" si="87"/>
        <v>70.158164991918369</v>
      </c>
      <c r="EM10" s="147">
        <f t="shared" si="88"/>
        <v>9.3333872670444933</v>
      </c>
      <c r="EN10" s="147">
        <f t="shared" si="89"/>
        <v>2.2767938844139857</v>
      </c>
      <c r="EO10" s="143">
        <f t="shared" si="90"/>
        <v>335.42960755164677</v>
      </c>
      <c r="EP10" s="143">
        <f t="shared" si="91"/>
        <v>81.824964214391471</v>
      </c>
      <c r="EQ10" s="157">
        <f t="shared" si="92"/>
        <v>2.7825174215151575E-2</v>
      </c>
      <c r="ER10" s="157">
        <f t="shared" si="93"/>
        <v>1.5257941941882892E-4</v>
      </c>
      <c r="ES10" s="157">
        <f t="shared" si="94"/>
        <v>2.9812514384140285E-3</v>
      </c>
      <c r="ET10" s="157">
        <f t="shared" si="95"/>
        <v>7.2724883781993192E-4</v>
      </c>
      <c r="LQ10" s="214" t="str">
        <f t="shared" si="96"/>
        <v>B1x Bulk</v>
      </c>
      <c r="LR10" s="214" t="str">
        <f t="shared" si="97"/>
        <v>MN2022a</v>
      </c>
      <c r="LS10" s="211">
        <f t="shared" si="98"/>
        <v>43.393494739198196</v>
      </c>
      <c r="LT10" s="211">
        <f t="shared" si="99"/>
        <v>0.49597862964185474</v>
      </c>
      <c r="LU10" s="211">
        <f t="shared" si="100"/>
        <v>82.150467252408674</v>
      </c>
      <c r="LV10" s="211">
        <f t="shared" si="101"/>
        <v>2.0534106001576209</v>
      </c>
      <c r="LW10" s="211">
        <f t="shared" si="102"/>
        <v>470.87005308527733</v>
      </c>
      <c r="LX10" s="211">
        <f t="shared" si="103"/>
        <v>78.157375535406359</v>
      </c>
      <c r="LY10" s="211"/>
      <c r="LZ10" s="211"/>
      <c r="MA10" s="211"/>
      <c r="MB10" s="211"/>
      <c r="MC10" s="211"/>
      <c r="MD10" s="211"/>
      <c r="ME10" s="211"/>
      <c r="MF10" s="211"/>
      <c r="MG10" s="211"/>
      <c r="MH10" s="211"/>
      <c r="MI10" s="211"/>
      <c r="MJ10" s="211"/>
      <c r="MK10" s="211"/>
      <c r="ML10" s="211"/>
      <c r="MM10" s="211"/>
      <c r="MN10" s="211"/>
      <c r="MO10" s="506">
        <f t="shared" si="107"/>
        <v>0.52821969479334752</v>
      </c>
      <c r="MP10" s="506">
        <f t="shared" si="107"/>
        <v>6.6622277075524018E-3</v>
      </c>
      <c r="MQ10" s="109"/>
      <c r="MR10" s="109"/>
      <c r="MS10" s="109"/>
      <c r="MT10" s="109"/>
      <c r="MU10" s="109"/>
      <c r="MV10" s="109"/>
      <c r="MW10" s="506">
        <f t="shared" si="108"/>
        <v>0.47897153685731991</v>
      </c>
      <c r="MX10" s="506">
        <f t="shared" si="108"/>
        <v>5.522722556296252E-3</v>
      </c>
      <c r="MY10" s="109"/>
      <c r="MZ10" s="109"/>
      <c r="NA10" s="109"/>
      <c r="NB10" s="109"/>
      <c r="NC10" s="109"/>
      <c r="ND10" s="109"/>
    </row>
    <row r="11" spans="2:368">
      <c r="B11" s="245" t="s">
        <v>932</v>
      </c>
      <c r="C11" s="5">
        <f t="shared" si="109"/>
        <v>9.1000000000000004E-3</v>
      </c>
      <c r="D11" s="66">
        <f t="shared" si="104"/>
        <v>4.5500000000000001E-5</v>
      </c>
      <c r="E11" s="67">
        <v>44727</v>
      </c>
      <c r="F11" s="5" t="s">
        <v>210</v>
      </c>
      <c r="G11" s="5" t="s">
        <v>893</v>
      </c>
      <c r="H11" s="5">
        <v>1</v>
      </c>
      <c r="J11" s="327">
        <v>44644</v>
      </c>
      <c r="K11" s="67" t="s">
        <v>823</v>
      </c>
      <c r="L11" s="5">
        <v>3</v>
      </c>
      <c r="M11" s="5">
        <v>2.64</v>
      </c>
      <c r="N11" s="5">
        <v>30</v>
      </c>
      <c r="O11" s="6">
        <v>1168.792344</v>
      </c>
      <c r="P11" s="6">
        <v>0.31747599999999998</v>
      </c>
      <c r="Q11" s="6">
        <v>14.032264</v>
      </c>
      <c r="R11" s="6">
        <v>3.9994000000000002E-2</v>
      </c>
      <c r="S11" s="6">
        <v>562.346947</v>
      </c>
      <c r="T11" s="6">
        <v>0.454953</v>
      </c>
      <c r="U11" s="6">
        <v>20.839876</v>
      </c>
      <c r="V11" s="6">
        <v>0.101244</v>
      </c>
      <c r="W11" s="6">
        <v>3.6786949999999998</v>
      </c>
      <c r="X11" s="6">
        <v>6.1180000000000002E-3</v>
      </c>
      <c r="Y11" s="6">
        <v>6.3067744999999995</v>
      </c>
      <c r="Z11" s="6">
        <v>0.93511705857555649</v>
      </c>
      <c r="AA11" s="6">
        <v>4.3458000000000004E-2</v>
      </c>
      <c r="AB11" s="6">
        <v>2.986365296923112E-2</v>
      </c>
      <c r="AC11" s="6">
        <v>2.21285175</v>
      </c>
      <c r="AD11" s="6">
        <v>2.0188658876193135</v>
      </c>
      <c r="AE11" s="6">
        <v>1.3901317499999999</v>
      </c>
      <c r="AF11" s="6">
        <v>1.1954009646957722</v>
      </c>
      <c r="AG11" s="6">
        <v>0.25606525000000002</v>
      </c>
      <c r="AH11" s="6">
        <v>0.21678044365882418</v>
      </c>
      <c r="AI11" s="133">
        <f t="shared" si="0"/>
        <v>1162.4855694999999</v>
      </c>
      <c r="AJ11" s="133">
        <f t="shared" si="1"/>
        <v>0.9875398340396202</v>
      </c>
      <c r="AK11" s="133">
        <f t="shared" si="2"/>
        <v>13.988806</v>
      </c>
      <c r="AL11" s="133">
        <f t="shared" si="3"/>
        <v>4.991350322975404E-2</v>
      </c>
      <c r="AM11" s="133">
        <f t="shared" si="4"/>
        <v>560.13409524999997</v>
      </c>
      <c r="AN11" s="133">
        <f t="shared" si="5"/>
        <v>2.069493103250629</v>
      </c>
      <c r="AO11" s="133">
        <f t="shared" si="6"/>
        <v>19.449744250000002</v>
      </c>
      <c r="AP11" s="133">
        <f t="shared" si="7"/>
        <v>1.1996807133281684</v>
      </c>
      <c r="AQ11" s="133">
        <f t="shared" si="8"/>
        <v>3.4226297499999996</v>
      </c>
      <c r="AR11" s="133">
        <f t="shared" si="9"/>
        <v>0.21686675788814808</v>
      </c>
      <c r="AS11" s="5">
        <v>300.7</v>
      </c>
      <c r="AT11" s="5">
        <v>0.28000000000000003</v>
      </c>
      <c r="AU11" s="133">
        <f t="shared" si="10"/>
        <v>14.050347278511</v>
      </c>
      <c r="AV11" s="133">
        <f t="shared" si="11"/>
        <v>4.9914060889593569E-2</v>
      </c>
      <c r="AW11" s="133">
        <f t="shared" si="12"/>
        <v>565.06251706945852</v>
      </c>
      <c r="AX11" s="133">
        <f t="shared" si="13"/>
        <v>2.069516016343937</v>
      </c>
      <c r="AY11" s="133">
        <f t="shared" si="14"/>
        <v>19.706441382233503</v>
      </c>
      <c r="AZ11" s="133">
        <f t="shared" si="15"/>
        <v>1.1997013626454731</v>
      </c>
      <c r="BA11" s="133">
        <f t="shared" si="16"/>
        <v>3.4828587675972922</v>
      </c>
      <c r="BB11" s="133">
        <f t="shared" si="17"/>
        <v>0.21686885753092619</v>
      </c>
      <c r="BC11" s="6"/>
      <c r="BD11" s="8"/>
      <c r="BE11" s="133">
        <f t="shared" si="105"/>
        <v>101.49520322902734</v>
      </c>
      <c r="BF11" s="133">
        <f t="shared" si="18"/>
        <v>6.1788900011962866</v>
      </c>
      <c r="BG11" s="133">
        <f t="shared" si="19"/>
        <v>14.058582451201127</v>
      </c>
      <c r="BH11" s="133">
        <f t="shared" si="20"/>
        <v>4.9943316459078319E-2</v>
      </c>
      <c r="BI11" s="143">
        <f t="shared" si="21"/>
        <v>1160.6669981028485</v>
      </c>
      <c r="BJ11" s="133">
        <f t="shared" si="22"/>
        <v>0.98756152151668497</v>
      </c>
      <c r="BK11" s="143">
        <f t="shared" si="23"/>
        <v>13.965829236540904</v>
      </c>
      <c r="BL11" s="133">
        <f t="shared" si="24"/>
        <v>5.0261515721337371E-2</v>
      </c>
      <c r="BM11" s="143">
        <f t="shared" si="25"/>
        <v>564.84542304995148</v>
      </c>
      <c r="BN11" s="133">
        <f t="shared" si="26"/>
        <v>2.0695161600478547</v>
      </c>
      <c r="BO11" s="147">
        <f t="shared" si="27"/>
        <v>3.4474542824075844</v>
      </c>
      <c r="BP11" s="147">
        <f t="shared" si="28"/>
        <v>0.21687956800141212</v>
      </c>
      <c r="BR11" s="147">
        <f t="shared" si="29"/>
        <v>3.3568044109244219</v>
      </c>
      <c r="BS11" s="147">
        <f t="shared" si="30"/>
        <v>0.2169401520263618</v>
      </c>
      <c r="BT11" s="143">
        <f t="shared" si="31"/>
        <v>564.19730131532083</v>
      </c>
      <c r="BU11" s="147">
        <f t="shared" si="32"/>
        <v>0.404450719262404</v>
      </c>
      <c r="BV11" s="143">
        <f t="shared" si="33"/>
        <v>168.73129467468186</v>
      </c>
      <c r="BW11" s="143">
        <f t="shared" si="34"/>
        <v>64.113421253291307</v>
      </c>
      <c r="BX11" s="3">
        <v>1.6986774770655257E-12</v>
      </c>
      <c r="BY11" s="3">
        <v>9.4454002365720605E-16</v>
      </c>
      <c r="BZ11" s="157">
        <f t="shared" si="35"/>
        <v>5.7021280477515253E-12</v>
      </c>
      <c r="CA11" s="157">
        <f t="shared" si="36"/>
        <v>3.6852498978962254E-13</v>
      </c>
      <c r="CB11" s="157">
        <f t="shared" si="37"/>
        <v>1.7240761575533695E-10</v>
      </c>
      <c r="CC11" s="158">
        <f t="shared" si="38"/>
        <v>1.0496379073824874E-11</v>
      </c>
      <c r="CD11" s="157">
        <f t="shared" si="39"/>
        <v>9.5838924836548739E-10</v>
      </c>
      <c r="CE11" s="477">
        <f t="shared" si="40"/>
        <v>8.6948366479649677E-13</v>
      </c>
      <c r="CF11" s="157">
        <f t="shared" si="41"/>
        <v>2.3723439572655259E-11</v>
      </c>
      <c r="CG11" s="157">
        <f t="shared" si="42"/>
        <v>8.6391149759987157E-14</v>
      </c>
      <c r="CH11" s="157">
        <f t="shared" si="43"/>
        <v>1.9715988880505639E-9</v>
      </c>
      <c r="CI11" s="157">
        <f t="shared" si="44"/>
        <v>2.004004712338116E-12</v>
      </c>
      <c r="CJ11" s="157">
        <f t="shared" si="45"/>
        <v>4.2758582724709154E-14</v>
      </c>
      <c r="CK11" s="157">
        <f t="shared" si="46"/>
        <v>3.8792063735891268E-17</v>
      </c>
      <c r="CL11" s="157">
        <f t="shared" si="47"/>
        <v>8.796297986275536E-14</v>
      </c>
      <c r="CM11" s="157">
        <f t="shared" si="48"/>
        <v>8.9408781838462371E-17</v>
      </c>
      <c r="CN11" s="66">
        <v>5.1340830000000002E-3</v>
      </c>
      <c r="CO11" s="66">
        <v>8.40144E-6</v>
      </c>
      <c r="CP11" s="3">
        <v>1.1139738540500025E+19</v>
      </c>
      <c r="CQ11" s="60">
        <v>1.0453256904066513E+18</v>
      </c>
      <c r="CR11" s="3">
        <v>8.0438364680336474E+17</v>
      </c>
      <c r="CS11" s="3">
        <v>8.527140119058072E+16</v>
      </c>
      <c r="CT11" s="6">
        <v>0.49881143094597263</v>
      </c>
      <c r="CU11" s="6">
        <v>4.5926073391395927E-2</v>
      </c>
      <c r="CV11" s="4">
        <v>24.581879797320056</v>
      </c>
      <c r="CW11" s="4">
        <v>0.55629982285426871</v>
      </c>
      <c r="CX11" s="157">
        <f t="shared" si="49"/>
        <v>1.6990076219549454E-8</v>
      </c>
      <c r="CY11" s="157">
        <f t="shared" si="50"/>
        <v>1.694997902364843E-10</v>
      </c>
      <c r="CZ11" s="147">
        <f t="shared" si="51"/>
        <v>72.998142533495653</v>
      </c>
      <c r="DA11" s="147">
        <f t="shared" si="52"/>
        <v>0.81460350561156292</v>
      </c>
      <c r="DB11" s="159">
        <f t="shared" si="53"/>
        <v>7.2998142533495652E-3</v>
      </c>
      <c r="DC11" s="167">
        <f t="shared" si="54"/>
        <v>8.1460350561156285E-5</v>
      </c>
      <c r="DD11" s="157">
        <f t="shared" si="55"/>
        <v>3.0792815326252091E-8</v>
      </c>
      <c r="DE11" s="157">
        <f t="shared" si="56"/>
        <v>7.5378222139219225E-10</v>
      </c>
      <c r="DF11" s="147">
        <f t="shared" si="57"/>
        <v>119.96677821556213</v>
      </c>
      <c r="DG11" s="133">
        <f t="shared" si="58"/>
        <v>2.997319610274908</v>
      </c>
      <c r="DH11" s="159">
        <f t="shared" si="59"/>
        <v>1.1996677821556213E-2</v>
      </c>
      <c r="DI11" s="167">
        <f t="shared" si="60"/>
        <v>2.9973196102749079E-4</v>
      </c>
      <c r="DJ11" s="157">
        <f t="shared" si="61"/>
        <v>2.4147261292957133E-7</v>
      </c>
      <c r="DK11" s="157">
        <f t="shared" si="62"/>
        <v>2.6747783748337217E-8</v>
      </c>
      <c r="DL11" s="143">
        <f t="shared" si="63"/>
        <v>1063.5409149689251</v>
      </c>
      <c r="DM11" s="143">
        <f t="shared" si="64"/>
        <v>117.92782528520623</v>
      </c>
      <c r="DN11" s="147">
        <f t="shared" si="65"/>
        <v>0.10635409149689251</v>
      </c>
      <c r="DO11" s="147">
        <f t="shared" si="66"/>
        <v>1.1792782528520623E-2</v>
      </c>
      <c r="DP11" s="133">
        <f t="shared" si="67"/>
        <v>0.55175455831298226</v>
      </c>
      <c r="DQ11" s="133">
        <f t="shared" si="68"/>
        <v>6.1037531991984329E-3</v>
      </c>
      <c r="DR11" s="133">
        <f t="shared" si="69"/>
        <v>7.0360261619005354E-2</v>
      </c>
      <c r="DS11" s="133">
        <f t="shared" si="70"/>
        <v>1.2971808760129678E-2</v>
      </c>
      <c r="DT11" s="133">
        <f t="shared" si="71"/>
        <v>0.60848631278843757</v>
      </c>
      <c r="DU11" s="133">
        <f t="shared" si="72"/>
        <v>7.4144716687002902E-3</v>
      </c>
      <c r="DV11" s="133">
        <f t="shared" si="73"/>
        <v>6.8636891638182568E-2</v>
      </c>
      <c r="DW11" s="133">
        <f t="shared" si="74"/>
        <v>1.3060811909030443E-2</v>
      </c>
      <c r="DX11" s="157">
        <f t="shared" si="75"/>
        <v>2.8566072614920485E-6</v>
      </c>
      <c r="DY11" s="157">
        <f t="shared" si="76"/>
        <v>6.9987598865145267E-8</v>
      </c>
      <c r="DZ11" s="147">
        <f t="shared" si="77"/>
        <v>12.0817240291901</v>
      </c>
      <c r="EA11" s="147">
        <f t="shared" si="78"/>
        <v>4.5909409205589196</v>
      </c>
      <c r="EB11" s="157">
        <f t="shared" si="79"/>
        <v>5.177315200124981E-6</v>
      </c>
      <c r="EC11" s="157">
        <f t="shared" si="80"/>
        <v>5.191835143914681E-8</v>
      </c>
      <c r="ED11" s="143">
        <f t="shared" si="106"/>
        <v>108.44955713935438</v>
      </c>
      <c r="EE11" s="143">
        <f t="shared" si="81"/>
        <v>40.129522407970917</v>
      </c>
      <c r="EF11" s="143">
        <f t="shared" si="82"/>
        <v>40.129894515181853</v>
      </c>
      <c r="EG11" s="143">
        <f t="shared" si="83"/>
        <v>108.44955713935438</v>
      </c>
      <c r="EH11" s="147">
        <f t="shared" si="84"/>
        <v>40.129522407970917</v>
      </c>
      <c r="EI11" s="147">
        <f t="shared" si="85"/>
        <v>40.129894515181853</v>
      </c>
      <c r="EJ11" s="501">
        <f t="shared" si="86"/>
        <v>0.1195755766572571</v>
      </c>
      <c r="EK11" s="143">
        <f t="shared" si="87"/>
        <v>108.44955713935438</v>
      </c>
      <c r="EL11" s="143">
        <f t="shared" si="87"/>
        <v>40.129522407970917</v>
      </c>
      <c r="EM11" s="147">
        <f t="shared" si="88"/>
        <v>4.1604536716796341</v>
      </c>
      <c r="EN11" s="147">
        <f t="shared" si="89"/>
        <v>0.26890088351874403</v>
      </c>
      <c r="EO11" s="143">
        <f t="shared" si="90"/>
        <v>345.76545309746399</v>
      </c>
      <c r="EP11" s="143">
        <f t="shared" si="91"/>
        <v>22.347715697704412</v>
      </c>
      <c r="EQ11" s="157">
        <f t="shared" si="92"/>
        <v>1.2032589243399311E-2</v>
      </c>
      <c r="ER11" s="157">
        <f t="shared" si="93"/>
        <v>4.449778311721601E-5</v>
      </c>
      <c r="ES11" s="157">
        <f t="shared" si="94"/>
        <v>2.8921339336874727E-3</v>
      </c>
      <c r="ET11" s="157">
        <f t="shared" si="95"/>
        <v>1.8692609782363823E-4</v>
      </c>
      <c r="LQ11" s="214" t="str">
        <f t="shared" si="96"/>
        <v>B1x Bulk</v>
      </c>
      <c r="LR11" s="214" t="str">
        <f t="shared" si="97"/>
        <v>MN2022a</v>
      </c>
      <c r="LS11" s="211">
        <f t="shared" si="98"/>
        <v>72.998142533495653</v>
      </c>
      <c r="LT11" s="211">
        <f t="shared" si="99"/>
        <v>0.81460350561156292</v>
      </c>
      <c r="LU11" s="211">
        <f t="shared" si="100"/>
        <v>119.96677821556213</v>
      </c>
      <c r="LV11" s="211">
        <f t="shared" si="101"/>
        <v>2.997319610274908</v>
      </c>
      <c r="LW11" s="211">
        <f t="shared" si="102"/>
        <v>1063.5409149689251</v>
      </c>
      <c r="LX11" s="211">
        <f t="shared" si="103"/>
        <v>117.92782528520623</v>
      </c>
      <c r="LY11" s="211"/>
      <c r="LZ11" s="211"/>
      <c r="MA11" s="211"/>
      <c r="MB11" s="211"/>
      <c r="MC11" s="211"/>
      <c r="MD11" s="211"/>
      <c r="ME11" s="211"/>
      <c r="MF11" s="211"/>
      <c r="MG11" s="211"/>
      <c r="MH11" s="211"/>
      <c r="MI11" s="211"/>
      <c r="MJ11" s="211"/>
      <c r="MK11" s="211"/>
      <c r="ML11" s="211"/>
      <c r="MM11" s="211"/>
      <c r="MN11" s="211"/>
      <c r="MO11" s="506">
        <f t="shared" si="107"/>
        <v>0.60848631278843757</v>
      </c>
      <c r="MP11" s="506">
        <f t="shared" si="107"/>
        <v>7.4144716687002902E-3</v>
      </c>
      <c r="MQ11" s="109"/>
      <c r="MR11" s="109"/>
      <c r="MS11" s="109"/>
      <c r="MT11" s="109"/>
      <c r="MU11" s="109"/>
      <c r="MV11" s="109"/>
      <c r="MW11" s="506">
        <f t="shared" si="108"/>
        <v>0.55175455831298226</v>
      </c>
      <c r="MX11" s="506">
        <f t="shared" si="108"/>
        <v>6.1037531991984329E-3</v>
      </c>
      <c r="MY11" s="109"/>
      <c r="MZ11" s="109"/>
      <c r="NA11" s="109"/>
      <c r="NB11" s="109"/>
      <c r="NC11" s="109"/>
      <c r="ND11" s="109"/>
    </row>
    <row r="12" spans="2:368">
      <c r="B12" s="245" t="s">
        <v>932</v>
      </c>
      <c r="C12" s="5">
        <f t="shared" si="109"/>
        <v>9.1000000000000004E-3</v>
      </c>
      <c r="D12" s="66">
        <f t="shared" si="104"/>
        <v>4.5500000000000001E-5</v>
      </c>
      <c r="E12" s="67">
        <v>44727</v>
      </c>
      <c r="F12" s="5" t="s">
        <v>210</v>
      </c>
      <c r="G12" s="5" t="s">
        <v>893</v>
      </c>
      <c r="H12" s="5">
        <v>1</v>
      </c>
      <c r="J12" s="327">
        <v>44644</v>
      </c>
      <c r="K12" s="67" t="s">
        <v>823</v>
      </c>
      <c r="L12" s="5">
        <v>4</v>
      </c>
      <c r="M12" s="5">
        <v>2.95</v>
      </c>
      <c r="N12" s="5">
        <v>30</v>
      </c>
      <c r="O12" s="6">
        <v>1136.8984359999999</v>
      </c>
      <c r="P12" s="6">
        <v>0.22727700000000001</v>
      </c>
      <c r="Q12" s="6">
        <v>33.043097000000003</v>
      </c>
      <c r="R12" s="6">
        <v>3.9275999999999998E-2</v>
      </c>
      <c r="S12" s="6">
        <v>914.358474</v>
      </c>
      <c r="T12" s="6">
        <v>0.83917600000000003</v>
      </c>
      <c r="U12" s="6">
        <v>80.405579000000003</v>
      </c>
      <c r="V12" s="6">
        <v>8.4835999999999995E-2</v>
      </c>
      <c r="W12" s="6">
        <v>4.4019110000000001</v>
      </c>
      <c r="X12" s="6">
        <v>5.4939999999999998E-3</v>
      </c>
      <c r="Y12" s="6">
        <v>6.3067744999999995</v>
      </c>
      <c r="Z12" s="6">
        <v>0.93511705857555649</v>
      </c>
      <c r="AA12" s="6">
        <v>4.3458000000000004E-2</v>
      </c>
      <c r="AB12" s="6">
        <v>2.986365296923112E-2</v>
      </c>
      <c r="AC12" s="6">
        <v>2.21285175</v>
      </c>
      <c r="AD12" s="6">
        <v>2.0188658876193135</v>
      </c>
      <c r="AE12" s="6">
        <v>1.3901317499999999</v>
      </c>
      <c r="AF12" s="6">
        <v>1.1954009646957722</v>
      </c>
      <c r="AG12" s="6">
        <v>0.25606525000000002</v>
      </c>
      <c r="AH12" s="6">
        <v>0.21678044365882418</v>
      </c>
      <c r="AI12" s="133">
        <f t="shared" si="0"/>
        <v>1130.5916614999999</v>
      </c>
      <c r="AJ12" s="133">
        <f t="shared" si="1"/>
        <v>0.96234024542674135</v>
      </c>
      <c r="AK12" s="133">
        <f t="shared" si="2"/>
        <v>32.999639000000002</v>
      </c>
      <c r="AL12" s="133">
        <f t="shared" si="3"/>
        <v>4.9340064295323602E-2</v>
      </c>
      <c r="AM12" s="133">
        <f t="shared" si="4"/>
        <v>912.14562224999997</v>
      </c>
      <c r="AN12" s="133">
        <f t="shared" si="5"/>
        <v>2.1863293052897861</v>
      </c>
      <c r="AO12" s="133">
        <f t="shared" si="6"/>
        <v>79.015447250000008</v>
      </c>
      <c r="AP12" s="133">
        <f t="shared" si="7"/>
        <v>1.1984075322241523</v>
      </c>
      <c r="AQ12" s="133">
        <f t="shared" si="8"/>
        <v>4.1458457500000003</v>
      </c>
      <c r="AR12" s="133">
        <f t="shared" si="9"/>
        <v>0.21685005139246943</v>
      </c>
      <c r="AS12" s="5">
        <v>300.7</v>
      </c>
      <c r="AT12" s="5">
        <v>0.28000000000000003</v>
      </c>
      <c r="AU12" s="133">
        <f t="shared" si="10"/>
        <v>33.144815076818951</v>
      </c>
      <c r="AV12" s="133">
        <f t="shared" si="11"/>
        <v>4.9340961993315564E-2</v>
      </c>
      <c r="AW12" s="133">
        <f t="shared" si="12"/>
        <v>920.17126901091365</v>
      </c>
      <c r="AX12" s="133">
        <f t="shared" si="13"/>
        <v>2.1863577081703616</v>
      </c>
      <c r="AY12" s="133">
        <f t="shared" si="14"/>
        <v>80.058290716243661</v>
      </c>
      <c r="AZ12" s="133">
        <f t="shared" si="15"/>
        <v>1.1984283253122887</v>
      </c>
      <c r="BA12" s="133">
        <f t="shared" si="16"/>
        <v>4.2188014112521151</v>
      </c>
      <c r="BB12" s="133">
        <f t="shared" si="17"/>
        <v>0.21685215135426836</v>
      </c>
      <c r="BC12" s="6"/>
      <c r="BD12" s="8"/>
      <c r="BE12" s="133">
        <f t="shared" si="105"/>
        <v>412.32875732395502</v>
      </c>
      <c r="BF12" s="133">
        <f t="shared" si="18"/>
        <v>6.1723334047848111</v>
      </c>
      <c r="BG12" s="133">
        <f t="shared" si="19"/>
        <v>33.16424187606664</v>
      </c>
      <c r="BH12" s="133">
        <f t="shared" si="20"/>
        <v>4.9369881658762799E-2</v>
      </c>
      <c r="BI12" s="143">
        <f t="shared" si="21"/>
        <v>1126.3222208935094</v>
      </c>
      <c r="BJ12" s="133">
        <f t="shared" si="22"/>
        <v>0.96236199849113013</v>
      </c>
      <c r="BK12" s="143">
        <f t="shared" si="23"/>
        <v>32.787427834398564</v>
      </c>
      <c r="BL12" s="133">
        <f t="shared" si="24"/>
        <v>4.9691072499911199E-2</v>
      </c>
      <c r="BM12" s="143">
        <f t="shared" si="25"/>
        <v>919.6591435105106</v>
      </c>
      <c r="BN12" s="133">
        <f t="shared" si="26"/>
        <v>2.1863578410889133</v>
      </c>
      <c r="BO12" s="147">
        <f t="shared" si="27"/>
        <v>4.0749691224588709</v>
      </c>
      <c r="BP12" s="147">
        <f t="shared" si="28"/>
        <v>0.21686283993034089</v>
      </c>
      <c r="BR12" s="147">
        <f t="shared" si="29"/>
        <v>3.9273301022123763</v>
      </c>
      <c r="BS12" s="147">
        <f t="shared" si="30"/>
        <v>0.21693045171944342</v>
      </c>
      <c r="BT12" s="143">
        <f t="shared" si="31"/>
        <v>918.89304892596692</v>
      </c>
      <c r="BU12" s="147">
        <f t="shared" si="32"/>
        <v>0.42725242440613803</v>
      </c>
      <c r="BV12" s="143">
        <f t="shared" si="33"/>
        <v>-34.203824310247683</v>
      </c>
      <c r="BW12" s="143">
        <f t="shared" si="34"/>
        <v>64.110171929597399</v>
      </c>
      <c r="BX12" s="3">
        <v>1.6986774770655257E-12</v>
      </c>
      <c r="BY12" s="3">
        <v>9.4454002365720605E-16</v>
      </c>
      <c r="BZ12" s="157">
        <f t="shared" si="35"/>
        <v>6.6712671896296125E-12</v>
      </c>
      <c r="CA12" s="157">
        <f t="shared" si="36"/>
        <v>3.6851354323275906E-13</v>
      </c>
      <c r="CB12" s="157">
        <f t="shared" si="37"/>
        <v>7.0041357321261931E-10</v>
      </c>
      <c r="CC12" s="158">
        <f t="shared" si="38"/>
        <v>1.0492034562305805E-11</v>
      </c>
      <c r="CD12" s="157">
        <f t="shared" si="39"/>
        <v>1.56090292604261E-9</v>
      </c>
      <c r="CE12" s="477">
        <f t="shared" si="40"/>
        <v>1.131387715011844E-12</v>
      </c>
      <c r="CF12" s="157">
        <f t="shared" si="41"/>
        <v>5.5695265193204142E-11</v>
      </c>
      <c r="CG12" s="157">
        <f t="shared" si="42"/>
        <v>8.9910947195513109E-14</v>
      </c>
      <c r="CH12" s="157">
        <f t="shared" si="43"/>
        <v>1.9132581885502263E-9</v>
      </c>
      <c r="CI12" s="157">
        <f t="shared" si="44"/>
        <v>1.9504291869683666E-12</v>
      </c>
      <c r="CJ12" s="157">
        <f t="shared" si="45"/>
        <v>6.9639759630296954E-14</v>
      </c>
      <c r="CK12" s="157">
        <f t="shared" si="46"/>
        <v>5.0476933851375141E-17</v>
      </c>
      <c r="CL12" s="157">
        <f t="shared" si="47"/>
        <v>8.5360106729467386E-14</v>
      </c>
      <c r="CM12" s="157">
        <f t="shared" si="48"/>
        <v>8.701850670758708E-17</v>
      </c>
      <c r="CN12" s="66">
        <v>5.1340830000000002E-3</v>
      </c>
      <c r="CO12" s="66">
        <v>8.40144E-6</v>
      </c>
      <c r="CP12" s="3">
        <v>1.1139738540500025E+19</v>
      </c>
      <c r="CQ12" s="60">
        <v>1.0453256904066513E+18</v>
      </c>
      <c r="CR12" s="3">
        <v>8.0438364680336474E+17</v>
      </c>
      <c r="CS12" s="3">
        <v>8.527140119058072E+16</v>
      </c>
      <c r="CT12" s="6">
        <v>0.49881143094597263</v>
      </c>
      <c r="CU12" s="6">
        <v>4.5926073391395927E-2</v>
      </c>
      <c r="CV12" s="4">
        <v>24.581879797320056</v>
      </c>
      <c r="CW12" s="4">
        <v>0.55629982285426871</v>
      </c>
      <c r="CX12" s="157">
        <f t="shared" si="49"/>
        <v>3.9887420110499882E-8</v>
      </c>
      <c r="CY12" s="157">
        <f t="shared" si="50"/>
        <v>3.7602948712026478E-10</v>
      </c>
      <c r="CZ12" s="147">
        <f t="shared" si="51"/>
        <v>171.37695798970961</v>
      </c>
      <c r="DA12" s="147">
        <f t="shared" si="52"/>
        <v>1.8287890746206492</v>
      </c>
      <c r="DB12" s="159">
        <f t="shared" si="53"/>
        <v>1.713769579897096E-2</v>
      </c>
      <c r="DC12" s="167">
        <f t="shared" si="54"/>
        <v>1.8287890746206492E-4</v>
      </c>
      <c r="DD12" s="157">
        <f t="shared" si="55"/>
        <v>5.0151434425845003E-8</v>
      </c>
      <c r="DE12" s="157">
        <f t="shared" si="56"/>
        <v>1.2273599458095611E-9</v>
      </c>
      <c r="DF12" s="147">
        <f t="shared" si="57"/>
        <v>195.38668183510802</v>
      </c>
      <c r="DG12" s="133">
        <f t="shared" si="58"/>
        <v>4.8804900748327205</v>
      </c>
      <c r="DH12" s="159">
        <f t="shared" si="59"/>
        <v>1.9538668183510802E-2</v>
      </c>
      <c r="DI12" s="167">
        <f t="shared" si="60"/>
        <v>4.8804900748327203E-4</v>
      </c>
      <c r="DJ12" s="157">
        <f t="shared" si="61"/>
        <v>9.8099318242995461E-7</v>
      </c>
      <c r="DK12" s="157">
        <f t="shared" si="62"/>
        <v>9.1961202449618314E-8</v>
      </c>
      <c r="DL12" s="143">
        <f t="shared" si="63"/>
        <v>4320.6820606365472</v>
      </c>
      <c r="DM12" s="143">
        <f t="shared" si="64"/>
        <v>405.60947009672191</v>
      </c>
      <c r="DN12" s="147">
        <f t="shared" si="65"/>
        <v>0.4320682060636547</v>
      </c>
      <c r="DO12" s="147">
        <f t="shared" si="66"/>
        <v>4.0560947009672194E-2</v>
      </c>
      <c r="DP12" s="133">
        <f t="shared" si="67"/>
        <v>0.79533956639821113</v>
      </c>
      <c r="DQ12" s="133">
        <f t="shared" si="68"/>
        <v>8.0968125229163041E-3</v>
      </c>
      <c r="DR12" s="133">
        <f t="shared" si="69"/>
        <v>4.0660241910853386E-2</v>
      </c>
      <c r="DS12" s="133">
        <f t="shared" si="70"/>
        <v>9.1710572140148855E-3</v>
      </c>
      <c r="DT12" s="133">
        <f t="shared" si="71"/>
        <v>0.87711688626934736</v>
      </c>
      <c r="DU12" s="133">
        <f t="shared" si="72"/>
        <v>9.9837766483836313E-3</v>
      </c>
      <c r="DV12" s="133">
        <f t="shared" si="73"/>
        <v>3.966432974808181E-2</v>
      </c>
      <c r="DW12" s="133">
        <f t="shared" si="74"/>
        <v>9.2360160646112709E-3</v>
      </c>
      <c r="DX12" s="157">
        <f t="shared" si="75"/>
        <v>1.7020471638888553E-6</v>
      </c>
      <c r="DY12" s="157">
        <f t="shared" si="76"/>
        <v>4.1690454823156052E-8</v>
      </c>
      <c r="DZ12" s="147">
        <f t="shared" si="77"/>
        <v>-1.0431993776090944</v>
      </c>
      <c r="EA12" s="147">
        <f t="shared" si="78"/>
        <v>-1.9553285244166245</v>
      </c>
      <c r="EB12" s="157">
        <f t="shared" si="79"/>
        <v>2.140025764840012E-6</v>
      </c>
      <c r="EC12" s="157">
        <f t="shared" si="80"/>
        <v>2.0292213319356381E-8</v>
      </c>
      <c r="ED12" s="143" t="str">
        <f t="shared" si="106"/>
        <v/>
      </c>
      <c r="EE12" s="143" t="str">
        <f t="shared" si="81"/>
        <v/>
      </c>
      <c r="EF12" s="143" t="str">
        <f t="shared" si="82"/>
        <v/>
      </c>
      <c r="EG12" s="143" t="str">
        <f t="shared" si="83"/>
        <v/>
      </c>
      <c r="EH12" s="147" t="str">
        <f t="shared" si="84"/>
        <v/>
      </c>
      <c r="EI12" s="147" t="str">
        <f t="shared" si="85"/>
        <v/>
      </c>
      <c r="EJ12" s="501">
        <f t="shared" si="86"/>
        <v>0.28072630160394757</v>
      </c>
      <c r="EK12" s="143" t="str">
        <f t="shared" si="87"/>
        <v/>
      </c>
      <c r="EL12" s="143" t="str">
        <f t="shared" si="87"/>
        <v/>
      </c>
      <c r="EM12" s="147">
        <f t="shared" si="88"/>
        <v>8.3485286393238187</v>
      </c>
      <c r="EN12" s="147">
        <f t="shared" si="89"/>
        <v>0.461195443814016</v>
      </c>
      <c r="EO12" s="143">
        <f t="shared" si="90"/>
        <v>286.79082011950567</v>
      </c>
      <c r="EP12" s="143">
        <f t="shared" si="91"/>
        <v>15.843105447801861</v>
      </c>
      <c r="EQ12" s="157">
        <f t="shared" si="92"/>
        <v>2.9110166900896579E-2</v>
      </c>
      <c r="ER12" s="157">
        <f t="shared" si="93"/>
        <v>5.0646237225473805E-5</v>
      </c>
      <c r="ES12" s="157">
        <f t="shared" si="94"/>
        <v>3.4868619559834594E-3</v>
      </c>
      <c r="ET12" s="157">
        <f t="shared" si="95"/>
        <v>1.9262374446837234E-4</v>
      </c>
      <c r="LQ12" s="214" t="str">
        <f t="shared" si="96"/>
        <v>B1x Bulk</v>
      </c>
      <c r="LR12" s="214" t="str">
        <f t="shared" si="97"/>
        <v>MN2022a</v>
      </c>
      <c r="LS12" s="211">
        <f t="shared" si="98"/>
        <v>171.37695798970961</v>
      </c>
      <c r="LT12" s="211">
        <f t="shared" si="99"/>
        <v>1.8287890746206492</v>
      </c>
      <c r="LU12" s="211">
        <f t="shared" si="100"/>
        <v>195.38668183510802</v>
      </c>
      <c r="LV12" s="211">
        <f t="shared" si="101"/>
        <v>4.8804900748327205</v>
      </c>
      <c r="LW12" s="211">
        <f t="shared" si="102"/>
        <v>4320.6820606365472</v>
      </c>
      <c r="LX12" s="211">
        <f t="shared" si="103"/>
        <v>405.60947009672191</v>
      </c>
      <c r="LY12" s="211"/>
      <c r="LZ12" s="211"/>
      <c r="MA12" s="211"/>
      <c r="MB12" s="211"/>
      <c r="MC12" s="211"/>
      <c r="MD12" s="211"/>
      <c r="ME12" s="211"/>
      <c r="MF12" s="211"/>
      <c r="MG12" s="211"/>
      <c r="MH12" s="211"/>
      <c r="MI12" s="211"/>
      <c r="MJ12" s="211"/>
      <c r="MK12" s="211"/>
      <c r="ML12" s="211"/>
      <c r="MM12" s="211"/>
      <c r="MN12" s="211"/>
      <c r="MO12" s="506">
        <f t="shared" si="107"/>
        <v>0.87711688626934736</v>
      </c>
      <c r="MP12" s="506">
        <f t="shared" si="107"/>
        <v>9.9837766483836313E-3</v>
      </c>
      <c r="MQ12" s="109"/>
      <c r="MR12" s="109"/>
      <c r="MS12" s="109"/>
      <c r="MT12" s="109"/>
      <c r="MU12" s="109"/>
      <c r="MV12" s="109"/>
      <c r="MW12" s="506">
        <f t="shared" si="108"/>
        <v>0.79533956639821113</v>
      </c>
      <c r="MX12" s="506">
        <f t="shared" si="108"/>
        <v>8.0968125229163041E-3</v>
      </c>
      <c r="MY12" s="109"/>
      <c r="MZ12" s="109"/>
      <c r="NA12" s="109"/>
      <c r="NB12" s="109"/>
      <c r="NC12" s="109"/>
      <c r="ND12" s="109"/>
    </row>
    <row r="13" spans="2:368">
      <c r="B13" s="245" t="s">
        <v>932</v>
      </c>
      <c r="C13" s="5">
        <f t="shared" si="109"/>
        <v>9.1000000000000004E-3</v>
      </c>
      <c r="D13" s="66">
        <f t="shared" si="104"/>
        <v>4.5500000000000001E-5</v>
      </c>
      <c r="E13" s="67">
        <v>44727</v>
      </c>
      <c r="F13" s="5" t="s">
        <v>210</v>
      </c>
      <c r="G13" s="5" t="s">
        <v>893</v>
      </c>
      <c r="H13" s="5">
        <v>1</v>
      </c>
      <c r="J13" s="327">
        <v>44644</v>
      </c>
      <c r="K13" s="67" t="s">
        <v>823</v>
      </c>
      <c r="L13" s="5">
        <v>5</v>
      </c>
      <c r="M13" s="5">
        <v>4.2</v>
      </c>
      <c r="N13" s="5">
        <v>30</v>
      </c>
      <c r="O13" s="6">
        <v>444.11000300000001</v>
      </c>
      <c r="P13" s="6">
        <v>0.19197700000000001</v>
      </c>
      <c r="Q13" s="6">
        <v>41.554904000000001</v>
      </c>
      <c r="R13" s="6">
        <v>9.1825000000000004E-2</v>
      </c>
      <c r="S13" s="6">
        <v>934.37856199999999</v>
      </c>
      <c r="T13" s="6">
        <v>0.74296099999999998</v>
      </c>
      <c r="U13" s="6">
        <v>186.045433</v>
      </c>
      <c r="V13" s="6">
        <v>0.25134099999999998</v>
      </c>
      <c r="W13" s="6">
        <v>2.5646089999999999</v>
      </c>
      <c r="X13" s="6">
        <v>6.045E-3</v>
      </c>
      <c r="Y13" s="6">
        <v>6.3067744999999995</v>
      </c>
      <c r="Z13" s="6">
        <v>0.93511705857555649</v>
      </c>
      <c r="AA13" s="6">
        <v>4.3458000000000004E-2</v>
      </c>
      <c r="AB13" s="6">
        <v>2.986365296923112E-2</v>
      </c>
      <c r="AC13" s="6">
        <v>2.21285175</v>
      </c>
      <c r="AD13" s="6">
        <v>2.0188658876193135</v>
      </c>
      <c r="AE13" s="6">
        <v>1.3901317499999999</v>
      </c>
      <c r="AF13" s="6">
        <v>1.1954009646957722</v>
      </c>
      <c r="AG13" s="6">
        <v>0.25606525000000002</v>
      </c>
      <c r="AH13" s="6">
        <v>0.21678044365882418</v>
      </c>
      <c r="AI13" s="133">
        <f t="shared" si="0"/>
        <v>437.80322849999999</v>
      </c>
      <c r="AJ13" s="133">
        <f t="shared" si="1"/>
        <v>0.95461986244159025</v>
      </c>
      <c r="AK13" s="133">
        <f t="shared" si="2"/>
        <v>41.511445999999999</v>
      </c>
      <c r="AL13" s="133">
        <f t="shared" si="3"/>
        <v>9.6559144536738042E-2</v>
      </c>
      <c r="AM13" s="133">
        <f t="shared" si="4"/>
        <v>932.16571024999996</v>
      </c>
      <c r="AN13" s="133">
        <f t="shared" si="5"/>
        <v>2.1512346500821145</v>
      </c>
      <c r="AO13" s="133">
        <f t="shared" si="6"/>
        <v>184.65530125000001</v>
      </c>
      <c r="AP13" s="133">
        <f t="shared" si="7"/>
        <v>1.2215382780234856</v>
      </c>
      <c r="AQ13" s="133">
        <f t="shared" si="8"/>
        <v>2.3085437500000001</v>
      </c>
      <c r="AR13" s="133">
        <f t="shared" si="9"/>
        <v>0.21686471077129318</v>
      </c>
      <c r="AS13" s="5">
        <v>300.7</v>
      </c>
      <c r="AT13" s="5">
        <v>0.28000000000000003</v>
      </c>
      <c r="AU13" s="133">
        <f t="shared" si="10"/>
        <v>41.694068266666669</v>
      </c>
      <c r="AV13" s="133">
        <f t="shared" si="11"/>
        <v>9.6560418732506662E-2</v>
      </c>
      <c r="AW13" s="133">
        <f t="shared" si="12"/>
        <v>940.36750668536376</v>
      </c>
      <c r="AX13" s="133">
        <f t="shared" si="13"/>
        <v>2.1512631583621218</v>
      </c>
      <c r="AY13" s="133">
        <f t="shared" si="14"/>
        <v>187.0923762918782</v>
      </c>
      <c r="AZ13" s="133">
        <f t="shared" si="15"/>
        <v>1.221560237550166</v>
      </c>
      <c r="BA13" s="133">
        <f t="shared" si="16"/>
        <v>2.3491678701353638</v>
      </c>
      <c r="BB13" s="133">
        <f t="shared" si="17"/>
        <v>0.21686680983367615</v>
      </c>
      <c r="BC13" s="6"/>
      <c r="BD13" s="8"/>
      <c r="BE13" s="133">
        <f t="shared" si="105"/>
        <v>963.59248156623016</v>
      </c>
      <c r="BF13" s="133">
        <f t="shared" si="18"/>
        <v>6.291471004928896</v>
      </c>
      <c r="BG13" s="133">
        <f t="shared" si="19"/>
        <v>41.718505943937117</v>
      </c>
      <c r="BH13" s="133">
        <f t="shared" si="20"/>
        <v>9.661701460928683E-2</v>
      </c>
      <c r="BI13" s="143">
        <f t="shared" si="21"/>
        <v>432.48548809643216</v>
      </c>
      <c r="BJ13" s="133">
        <f t="shared" si="22"/>
        <v>0.95470305612528206</v>
      </c>
      <c r="BK13" s="143">
        <f t="shared" si="23"/>
        <v>40.83790964535136</v>
      </c>
      <c r="BL13" s="133">
        <f t="shared" si="24"/>
        <v>9.6787938870593421E-2</v>
      </c>
      <c r="BM13" s="143">
        <f t="shared" si="25"/>
        <v>939.72328539387615</v>
      </c>
      <c r="BN13" s="133">
        <f t="shared" si="26"/>
        <v>2.1512636757262285</v>
      </c>
      <c r="BO13" s="147">
        <f t="shared" si="27"/>
        <v>2.0130387265191629</v>
      </c>
      <c r="BP13" s="147">
        <f t="shared" si="28"/>
        <v>0.21687791424975178</v>
      </c>
      <c r="BR13" s="147">
        <f t="shared" si="29"/>
        <v>1.8621137074260472</v>
      </c>
      <c r="BS13" s="147">
        <f t="shared" si="30"/>
        <v>0.21694337780236067</v>
      </c>
      <c r="BT13" s="143">
        <f t="shared" si="31"/>
        <v>939.34483392086656</v>
      </c>
      <c r="BU13" s="147">
        <f t="shared" si="32"/>
        <v>0.42042363486981121</v>
      </c>
      <c r="BV13" s="143">
        <f t="shared" si="33"/>
        <v>-117.76911244796474</v>
      </c>
      <c r="BW13" s="143">
        <f t="shared" si="34"/>
        <v>64.11387665207674</v>
      </c>
      <c r="BX13" s="3">
        <v>1.6986774770655257E-12</v>
      </c>
      <c r="BY13" s="3">
        <v>9.4454002365720605E-16</v>
      </c>
      <c r="BZ13" s="157">
        <f t="shared" si="35"/>
        <v>3.1631306145396101E-12</v>
      </c>
      <c r="CA13" s="157">
        <f t="shared" si="36"/>
        <v>3.6852102690681107E-13</v>
      </c>
      <c r="CB13" s="157">
        <f t="shared" si="37"/>
        <v>1.6368328455062329E-9</v>
      </c>
      <c r="CC13" s="158">
        <f t="shared" si="38"/>
        <v>1.0725865671764517E-11</v>
      </c>
      <c r="CD13" s="157">
        <f t="shared" si="39"/>
        <v>1.5956439125792328E-9</v>
      </c>
      <c r="CE13" s="477">
        <f t="shared" si="40"/>
        <v>1.1389648215960524E-12</v>
      </c>
      <c r="CF13" s="157">
        <f t="shared" si="41"/>
        <v>6.9370437324995349E-11</v>
      </c>
      <c r="CG13" s="157">
        <f t="shared" si="42"/>
        <v>1.6887574741619799E-13</v>
      </c>
      <c r="CH13" s="157">
        <f t="shared" si="43"/>
        <v>7.3465335778709987E-10</v>
      </c>
      <c r="CI13" s="157">
        <f t="shared" si="44"/>
        <v>1.6723901120642359E-12</v>
      </c>
      <c r="CJ13" s="157">
        <f t="shared" si="45"/>
        <v>7.1189730426920183E-14</v>
      </c>
      <c r="CK13" s="157">
        <f t="shared" si="46"/>
        <v>5.081498744354731E-17</v>
      </c>
      <c r="CL13" s="157">
        <f t="shared" si="47"/>
        <v>3.2776595132404523E-14</v>
      </c>
      <c r="CM13" s="157">
        <f t="shared" si="48"/>
        <v>7.4613768255032472E-17</v>
      </c>
      <c r="CN13" s="66">
        <v>5.1340830000000002E-3</v>
      </c>
      <c r="CO13" s="66">
        <v>8.40144E-6</v>
      </c>
      <c r="CP13" s="3">
        <v>1.1139738540500025E+19</v>
      </c>
      <c r="CQ13" s="60">
        <v>1.0453256904066513E+18</v>
      </c>
      <c r="CR13" s="3">
        <v>8.0438364680336474E+17</v>
      </c>
      <c r="CS13" s="3">
        <v>8.527140119058072E+16</v>
      </c>
      <c r="CT13" s="6">
        <v>0.49881143094597263</v>
      </c>
      <c r="CU13" s="6">
        <v>4.5926073391395927E-2</v>
      </c>
      <c r="CV13" s="4">
        <v>24.581879797320056</v>
      </c>
      <c r="CW13" s="4">
        <v>0.55629982285426871</v>
      </c>
      <c r="CX13" s="157">
        <f t="shared" si="49"/>
        <v>4.9681203011289687E-8</v>
      </c>
      <c r="CY13" s="157">
        <f t="shared" si="50"/>
        <v>4.7702665554158993E-10</v>
      </c>
      <c r="CZ13" s="147">
        <f t="shared" si="51"/>
        <v>213.45610765893491</v>
      </c>
      <c r="DA13" s="147">
        <f t="shared" si="52"/>
        <v>2.3107909454594959</v>
      </c>
      <c r="DB13" s="159">
        <f t="shared" si="53"/>
        <v>2.1345610765893492E-2</v>
      </c>
      <c r="DC13" s="167">
        <f t="shared" si="54"/>
        <v>2.310790945459496E-4</v>
      </c>
      <c r="DD13" s="157">
        <f t="shared" si="55"/>
        <v>5.1267653941556925E-8</v>
      </c>
      <c r="DE13" s="157">
        <f t="shared" si="56"/>
        <v>1.2546606478772991E-9</v>
      </c>
      <c r="DF13" s="147">
        <f t="shared" si="57"/>
        <v>199.73539947143053</v>
      </c>
      <c r="DG13" s="133">
        <f t="shared" si="58"/>
        <v>4.9890515909478479</v>
      </c>
      <c r="DH13" s="159">
        <f t="shared" si="59"/>
        <v>1.9973539947143053E-2</v>
      </c>
      <c r="DI13" s="167">
        <f t="shared" si="60"/>
        <v>4.9890515909478477E-4</v>
      </c>
      <c r="DJ13" s="157">
        <f t="shared" si="61"/>
        <v>2.2925339022971798E-6</v>
      </c>
      <c r="DK13" s="157">
        <f t="shared" si="62"/>
        <v>2.1267855682523246E-7</v>
      </c>
      <c r="DL13" s="143">
        <f t="shared" si="63"/>
        <v>10097.226242205601</v>
      </c>
      <c r="DM13" s="143">
        <f t="shared" si="64"/>
        <v>938.08057308216382</v>
      </c>
      <c r="DN13" s="147">
        <f t="shared" si="65"/>
        <v>1.0097226242205601</v>
      </c>
      <c r="DO13" s="147">
        <f t="shared" si="66"/>
        <v>9.3808057308216383E-2</v>
      </c>
      <c r="DP13" s="133">
        <f t="shared" si="67"/>
        <v>0.96905551925438738</v>
      </c>
      <c r="DQ13" s="133">
        <f t="shared" si="68"/>
        <v>9.9035476959435514E-3</v>
      </c>
      <c r="DR13" s="133">
        <f t="shared" si="69"/>
        <v>2.1670869495760914E-2</v>
      </c>
      <c r="DS13" s="133">
        <f t="shared" si="70"/>
        <v>8.8143663537497852E-3</v>
      </c>
      <c r="DT13" s="133">
        <f t="shared" si="71"/>
        <v>1.0686944238418135</v>
      </c>
      <c r="DU13" s="133">
        <f t="shared" si="72"/>
        <v>1.2193176576601674E-2</v>
      </c>
      <c r="DV13" s="133">
        <f t="shared" si="73"/>
        <v>2.1140073772607511E-2</v>
      </c>
      <c r="DW13" s="133">
        <f t="shared" si="74"/>
        <v>8.8601520037055268E-3</v>
      </c>
      <c r="DX13" s="157">
        <f t="shared" si="75"/>
        <v>6.3932309385111573E-7</v>
      </c>
      <c r="DY13" s="157">
        <f t="shared" si="76"/>
        <v>1.5713539532448424E-8</v>
      </c>
      <c r="DZ13" s="147">
        <f t="shared" si="77"/>
        <v>-2.8838183313178121</v>
      </c>
      <c r="EA13" s="147">
        <f t="shared" si="78"/>
        <v>-1.5699746822470131</v>
      </c>
      <c r="EB13" s="157">
        <f t="shared" si="79"/>
        <v>6.597383546641631E-7</v>
      </c>
      <c r="EC13" s="157">
        <f t="shared" si="80"/>
        <v>6.510244470754937E-9</v>
      </c>
      <c r="ED13" s="143" t="str">
        <f t="shared" si="106"/>
        <v/>
      </c>
      <c r="EE13" s="143" t="str">
        <f t="shared" si="81"/>
        <v/>
      </c>
      <c r="EF13" s="143" t="str">
        <f t="shared" si="82"/>
        <v/>
      </c>
      <c r="EG13" s="143" t="str">
        <f t="shared" si="83"/>
        <v/>
      </c>
      <c r="EH13" s="147" t="str">
        <f t="shared" si="84"/>
        <v/>
      </c>
      <c r="EI13" s="147" t="str">
        <f t="shared" si="85"/>
        <v/>
      </c>
      <c r="EJ13" s="501">
        <f t="shared" si="86"/>
        <v>0.34965461145287069</v>
      </c>
      <c r="EK13" s="143" t="str">
        <f t="shared" si="87"/>
        <v/>
      </c>
      <c r="EL13" s="143" t="str">
        <f t="shared" si="87"/>
        <v/>
      </c>
      <c r="EM13" s="147">
        <f t="shared" si="88"/>
        <v>21.930943036663734</v>
      </c>
      <c r="EN13" s="147">
        <f t="shared" si="89"/>
        <v>2.5554974554678784</v>
      </c>
      <c r="EO13" s="143">
        <f t="shared" si="90"/>
        <v>232.25514444778238</v>
      </c>
      <c r="EP13" s="143">
        <f t="shared" si="91"/>
        <v>27.063470534002324</v>
      </c>
      <c r="EQ13" s="157">
        <f t="shared" si="92"/>
        <v>9.442608080353819E-2</v>
      </c>
      <c r="ER13" s="157">
        <f t="shared" si="93"/>
        <v>3.0583135015677001E-4</v>
      </c>
      <c r="ES13" s="157">
        <f t="shared" si="94"/>
        <v>4.3056096879043673E-3</v>
      </c>
      <c r="ET13" s="157">
        <f t="shared" si="95"/>
        <v>5.0171005338360932E-4</v>
      </c>
      <c r="LQ13" s="214" t="str">
        <f t="shared" si="96"/>
        <v>B1x Bulk</v>
      </c>
      <c r="LR13" s="214" t="str">
        <f t="shared" si="97"/>
        <v>MN2022a</v>
      </c>
      <c r="LS13" s="211">
        <f t="shared" si="98"/>
        <v>213.45610765893491</v>
      </c>
      <c r="LT13" s="211">
        <f t="shared" si="99"/>
        <v>2.3107909454594959</v>
      </c>
      <c r="LU13" s="211">
        <f t="shared" si="100"/>
        <v>199.73539947143053</v>
      </c>
      <c r="LV13" s="211">
        <f t="shared" si="101"/>
        <v>4.9890515909478479</v>
      </c>
      <c r="LW13" s="211">
        <f t="shared" si="102"/>
        <v>10097.226242205601</v>
      </c>
      <c r="LX13" s="211">
        <f t="shared" si="103"/>
        <v>938.08057308216382</v>
      </c>
      <c r="LY13" s="211"/>
      <c r="LZ13" s="211"/>
      <c r="MA13" s="211"/>
      <c r="MB13" s="211"/>
      <c r="MC13" s="211"/>
      <c r="MD13" s="211"/>
      <c r="ME13" s="211"/>
      <c r="MF13" s="211"/>
      <c r="MG13" s="211"/>
      <c r="MH13" s="211"/>
      <c r="MI13" s="211"/>
      <c r="MJ13" s="211"/>
      <c r="MK13" s="211"/>
      <c r="ML13" s="211"/>
      <c r="MM13" s="211"/>
      <c r="MN13" s="211"/>
      <c r="MO13" s="506">
        <f t="shared" si="107"/>
        <v>1.0686944238418135</v>
      </c>
      <c r="MP13" s="506">
        <f t="shared" si="107"/>
        <v>1.2193176576601674E-2</v>
      </c>
      <c r="MQ13" s="109"/>
      <c r="MR13" s="109"/>
      <c r="MS13" s="109"/>
      <c r="MT13" s="109"/>
      <c r="MU13" s="109"/>
      <c r="MV13" s="109"/>
      <c r="MW13" s="506">
        <f t="shared" si="108"/>
        <v>0.96905551925438738</v>
      </c>
      <c r="MX13" s="506">
        <f t="shared" si="108"/>
        <v>9.9035476959435514E-3</v>
      </c>
      <c r="MY13" s="109"/>
      <c r="MZ13" s="109"/>
      <c r="NA13" s="109"/>
      <c r="NB13" s="109"/>
      <c r="NC13" s="109"/>
      <c r="ND13" s="109"/>
    </row>
    <row r="14" spans="2:368">
      <c r="B14" s="245" t="s">
        <v>932</v>
      </c>
      <c r="C14" s="5">
        <f t="shared" si="109"/>
        <v>9.1000000000000004E-3</v>
      </c>
      <c r="D14" s="66">
        <f t="shared" si="104"/>
        <v>4.5500000000000001E-5</v>
      </c>
      <c r="E14" s="67">
        <v>44727</v>
      </c>
      <c r="F14" s="5" t="s">
        <v>210</v>
      </c>
      <c r="G14" s="5" t="s">
        <v>893</v>
      </c>
      <c r="H14" s="5">
        <v>1</v>
      </c>
      <c r="J14" s="327">
        <v>44644</v>
      </c>
      <c r="K14" s="67" t="s">
        <v>823</v>
      </c>
      <c r="L14" s="5">
        <v>6</v>
      </c>
      <c r="M14" s="5">
        <v>4.82</v>
      </c>
      <c r="N14" s="5">
        <v>30</v>
      </c>
      <c r="O14" s="6">
        <v>81.911314000000004</v>
      </c>
      <c r="P14" s="6">
        <v>0.14224899999999999</v>
      </c>
      <c r="Q14" s="6">
        <v>6.5427270000000002</v>
      </c>
      <c r="R14" s="6">
        <v>1.8540000000000001E-2</v>
      </c>
      <c r="S14" s="6">
        <v>163.00045399999999</v>
      </c>
      <c r="T14" s="6">
        <v>0.173987</v>
      </c>
      <c r="U14" s="6">
        <v>48.192776000000002</v>
      </c>
      <c r="V14" s="6">
        <v>8.4929000000000004E-2</v>
      </c>
      <c r="W14" s="6">
        <v>1.0010380000000001</v>
      </c>
      <c r="X14" s="6">
        <v>9.9340000000000001E-3</v>
      </c>
      <c r="Y14" s="6">
        <v>6.3067744999999995</v>
      </c>
      <c r="Z14" s="6">
        <v>0.93511705857555649</v>
      </c>
      <c r="AA14" s="6">
        <v>4.3458000000000004E-2</v>
      </c>
      <c r="AB14" s="6">
        <v>2.986365296923112E-2</v>
      </c>
      <c r="AC14" s="6">
        <v>2.21285175</v>
      </c>
      <c r="AD14" s="6">
        <v>2.0188658876193135</v>
      </c>
      <c r="AE14" s="6">
        <v>1.3901317499999999</v>
      </c>
      <c r="AF14" s="6">
        <v>1.1954009646957722</v>
      </c>
      <c r="AG14" s="6">
        <v>0.25606525000000002</v>
      </c>
      <c r="AH14" s="6">
        <v>0.21678044365882418</v>
      </c>
      <c r="AI14" s="133">
        <f t="shared" si="0"/>
        <v>75.604539500000001</v>
      </c>
      <c r="AJ14" s="133">
        <f t="shared" si="1"/>
        <v>0.94587456422085947</v>
      </c>
      <c r="AK14" s="133">
        <f t="shared" si="2"/>
        <v>6.499269</v>
      </c>
      <c r="AL14" s="133">
        <f t="shared" si="3"/>
        <v>3.5150666688793637E-2</v>
      </c>
      <c r="AM14" s="133">
        <f t="shared" si="4"/>
        <v>160.78760224999999</v>
      </c>
      <c r="AN14" s="133">
        <f t="shared" si="5"/>
        <v>2.0263491674343586</v>
      </c>
      <c r="AO14" s="133">
        <f t="shared" si="6"/>
        <v>46.80264425</v>
      </c>
      <c r="AP14" s="133">
        <f t="shared" si="7"/>
        <v>1.1984141193412996</v>
      </c>
      <c r="AQ14" s="133">
        <f t="shared" si="8"/>
        <v>0.74497275000000007</v>
      </c>
      <c r="AR14" s="133">
        <f t="shared" si="9"/>
        <v>0.21700793789379375</v>
      </c>
      <c r="AS14" s="5">
        <v>300.7</v>
      </c>
      <c r="AT14" s="5">
        <v>0.28000000000000003</v>
      </c>
      <c r="AU14" s="133">
        <f t="shared" si="10"/>
        <v>6.5278613847715734</v>
      </c>
      <c r="AV14" s="133">
        <f t="shared" si="11"/>
        <v>3.5151029721727033E-2</v>
      </c>
      <c r="AW14" s="133">
        <f t="shared" si="12"/>
        <v>162.20231550160744</v>
      </c>
      <c r="AX14" s="133">
        <f t="shared" si="13"/>
        <v>2.026369019287289</v>
      </c>
      <c r="AY14" s="133">
        <f t="shared" si="14"/>
        <v>47.420344123350255</v>
      </c>
      <c r="AZ14" s="133">
        <f t="shared" si="15"/>
        <v>1.1984347980657277</v>
      </c>
      <c r="BA14" s="133">
        <f t="shared" si="16"/>
        <v>0.75808225355329961</v>
      </c>
      <c r="BB14" s="133">
        <f t="shared" si="17"/>
        <v>0.21701003792296578</v>
      </c>
      <c r="BC14" s="6"/>
      <c r="BD14" s="8"/>
      <c r="BE14" s="133">
        <f t="shared" si="105"/>
        <v>244.23168905213845</v>
      </c>
      <c r="BF14" s="133">
        <f t="shared" si="18"/>
        <v>6.1723667417741241</v>
      </c>
      <c r="BG14" s="133">
        <f t="shared" si="19"/>
        <v>6.5316874870546844</v>
      </c>
      <c r="BH14" s="133">
        <f t="shared" si="20"/>
        <v>3.5171632401095457E-2</v>
      </c>
      <c r="BI14" s="143">
        <f t="shared" si="21"/>
        <v>74.783074274916999</v>
      </c>
      <c r="BJ14" s="133">
        <f t="shared" si="22"/>
        <v>0.94588593722868086</v>
      </c>
      <c r="BK14" s="143">
        <f t="shared" si="23"/>
        <v>6.3084919708058598</v>
      </c>
      <c r="BL14" s="133">
        <f t="shared" si="24"/>
        <v>3.5621082811229367E-2</v>
      </c>
      <c r="BM14" s="143">
        <f t="shared" si="25"/>
        <v>162.10145253795869</v>
      </c>
      <c r="BN14" s="133">
        <f t="shared" si="26"/>
        <v>2.0263690920735091</v>
      </c>
      <c r="BO14" s="147">
        <f t="shared" si="27"/>
        <v>0.67288712173616638</v>
      </c>
      <c r="BP14" s="147">
        <f t="shared" si="28"/>
        <v>0.21702071883827476</v>
      </c>
      <c r="BR14" s="147">
        <f t="shared" si="29"/>
        <v>0.64686252300254909</v>
      </c>
      <c r="BS14" s="147">
        <f t="shared" si="30"/>
        <v>0.21707884111854603</v>
      </c>
      <c r="BT14" s="143">
        <f t="shared" si="31"/>
        <v>161.97494969475181</v>
      </c>
      <c r="BU14" s="147">
        <f t="shared" si="32"/>
        <v>0.39627611886495567</v>
      </c>
      <c r="BV14" s="143">
        <f t="shared" si="33"/>
        <v>-116.36480127233625</v>
      </c>
      <c r="BW14" s="143">
        <f t="shared" si="34"/>
        <v>64.153771020844701</v>
      </c>
      <c r="BX14" s="3">
        <v>1.6986774770655257E-12</v>
      </c>
      <c r="BY14" s="3">
        <v>9.4454002365720605E-16</v>
      </c>
      <c r="BZ14" s="157">
        <f t="shared" si="35"/>
        <v>1.0988107985822107E-12</v>
      </c>
      <c r="CA14" s="157">
        <f t="shared" si="36"/>
        <v>3.6874744433674076E-13</v>
      </c>
      <c r="CB14" s="157">
        <f t="shared" si="37"/>
        <v>4.1487086937853852E-10</v>
      </c>
      <c r="CC14" s="158">
        <f t="shared" si="38"/>
        <v>1.0487397826519969E-11</v>
      </c>
      <c r="CD14" s="157">
        <f t="shared" si="39"/>
        <v>2.7514319889529645E-10</v>
      </c>
      <c r="CE14" s="477">
        <f t="shared" si="40"/>
        <v>6.9031233274857253E-13</v>
      </c>
      <c r="CF14" s="157">
        <f t="shared" si="41"/>
        <v>1.0716093225056624E-11</v>
      </c>
      <c r="CG14" s="157">
        <f t="shared" si="42"/>
        <v>6.0801412210851339E-14</v>
      </c>
      <c r="CH14" s="157">
        <f t="shared" si="43"/>
        <v>1.2703232393651983E-10</v>
      </c>
      <c r="CI14" s="157">
        <f t="shared" si="44"/>
        <v>1.6083070169096715E-12</v>
      </c>
      <c r="CJ14" s="157">
        <f t="shared" si="45"/>
        <v>1.2275527142202545E-14</v>
      </c>
      <c r="CK14" s="157">
        <f t="shared" si="46"/>
        <v>3.0798318976096795E-17</v>
      </c>
      <c r="CL14" s="157">
        <f t="shared" si="47"/>
        <v>5.66755328382014E-15</v>
      </c>
      <c r="CM14" s="157">
        <f t="shared" si="48"/>
        <v>7.1754695515112773E-17</v>
      </c>
      <c r="CN14" s="66">
        <v>5.1340830000000002E-3</v>
      </c>
      <c r="CO14" s="66">
        <v>8.40144E-6</v>
      </c>
      <c r="CP14" s="3">
        <v>1.1139738540500025E+19</v>
      </c>
      <c r="CQ14" s="60">
        <v>1.0453256904066513E+18</v>
      </c>
      <c r="CR14" s="3">
        <v>8.0438364680336474E+17</v>
      </c>
      <c r="CS14" s="3">
        <v>8.527140119058072E+16</v>
      </c>
      <c r="CT14" s="6">
        <v>0.49881143094597263</v>
      </c>
      <c r="CU14" s="6">
        <v>4.5926073391395927E-2</v>
      </c>
      <c r="CV14" s="4">
        <v>24.581879797320056</v>
      </c>
      <c r="CW14" s="4">
        <v>0.55629982285426871</v>
      </c>
      <c r="CX14" s="157">
        <f t="shared" si="49"/>
        <v>7.6745718137503441E-9</v>
      </c>
      <c r="CY14" s="157">
        <f t="shared" si="50"/>
        <v>8.3529460494794982E-11</v>
      </c>
      <c r="CZ14" s="147">
        <f t="shared" si="51"/>
        <v>32.973924301709346</v>
      </c>
      <c r="DA14" s="147">
        <f t="shared" si="52"/>
        <v>0.39494422468677937</v>
      </c>
      <c r="DB14" s="159">
        <f t="shared" si="53"/>
        <v>3.2973924301709346E-3</v>
      </c>
      <c r="DC14" s="167">
        <f t="shared" si="54"/>
        <v>3.9494422468677939E-5</v>
      </c>
      <c r="DD14" s="157">
        <f t="shared" si="55"/>
        <v>8.8402845986708116E-9</v>
      </c>
      <c r="DE14" s="157">
        <f t="shared" si="56"/>
        <v>2.1738848156143946E-10</v>
      </c>
      <c r="DF14" s="147">
        <f t="shared" si="57"/>
        <v>34.441165920513875</v>
      </c>
      <c r="DG14" s="133">
        <f t="shared" si="58"/>
        <v>0.86426114545590371</v>
      </c>
      <c r="DH14" s="159">
        <f t="shared" si="59"/>
        <v>3.4441165920513876E-3</v>
      </c>
      <c r="DI14" s="167">
        <f t="shared" si="60"/>
        <v>8.6426114545590368E-5</v>
      </c>
      <c r="DJ14" s="157">
        <f t="shared" si="61"/>
        <v>5.8106454531198665E-7</v>
      </c>
      <c r="DK14" s="157">
        <f t="shared" si="62"/>
        <v>5.5740905722756414E-8</v>
      </c>
      <c r="DL14" s="143">
        <f t="shared" si="63"/>
        <v>2559.2381292422442</v>
      </c>
      <c r="DM14" s="143">
        <f t="shared" si="64"/>
        <v>245.83838762419836</v>
      </c>
      <c r="DN14" s="147">
        <f t="shared" si="65"/>
        <v>0.25592381292422445</v>
      </c>
      <c r="DO14" s="147">
        <f t="shared" si="66"/>
        <v>2.4583838762419836E-2</v>
      </c>
      <c r="DP14" s="133">
        <f t="shared" si="67"/>
        <v>0.86813628318077685</v>
      </c>
      <c r="DQ14" s="133">
        <f t="shared" si="68"/>
        <v>1.0053430626376814E-2</v>
      </c>
      <c r="DR14" s="133">
        <f t="shared" si="69"/>
        <v>1.3207778508719188E-2</v>
      </c>
      <c r="DS14" s="133">
        <f t="shared" si="70"/>
        <v>9.3461139345159955E-3</v>
      </c>
      <c r="DT14" s="133">
        <f t="shared" si="71"/>
        <v>0.95739860775356012</v>
      </c>
      <c r="DU14" s="133">
        <f t="shared" si="72"/>
        <v>1.2096914997449184E-2</v>
      </c>
      <c r="DV14" s="133">
        <f t="shared" si="73"/>
        <v>1.2884273614457471E-2</v>
      </c>
      <c r="DW14" s="133">
        <f t="shared" si="74"/>
        <v>9.3816924446025289E-3</v>
      </c>
      <c r="DX14" s="157">
        <f t="shared" si="75"/>
        <v>6.4110529707067234E-7</v>
      </c>
      <c r="DY14" s="157">
        <f t="shared" si="76"/>
        <v>1.7732002917913733E-8</v>
      </c>
      <c r="DZ14" s="147">
        <f t="shared" si="77"/>
        <v>-18.445739775978755</v>
      </c>
      <c r="EA14" s="147">
        <f t="shared" si="78"/>
        <v>-10.169963913781004</v>
      </c>
      <c r="EB14" s="157">
        <f t="shared" si="79"/>
        <v>7.3848462446669951E-7</v>
      </c>
      <c r="EC14" s="157">
        <f t="shared" si="80"/>
        <v>1.2329617749118528E-8</v>
      </c>
      <c r="ED14" s="143" t="str">
        <f t="shared" si="106"/>
        <v/>
      </c>
      <c r="EE14" s="143" t="str">
        <f t="shared" si="81"/>
        <v/>
      </c>
      <c r="EF14" s="143" t="str">
        <f t="shared" si="82"/>
        <v/>
      </c>
      <c r="EG14" s="143" t="str">
        <f t="shared" si="83"/>
        <v/>
      </c>
      <c r="EH14" s="147" t="str">
        <f t="shared" si="84"/>
        <v/>
      </c>
      <c r="EI14" s="147" t="str">
        <f t="shared" si="85"/>
        <v/>
      </c>
      <c r="EJ14" s="501">
        <f t="shared" si="86"/>
        <v>5.4013374535118154E-2</v>
      </c>
      <c r="EK14" s="143" t="str">
        <f t="shared" si="87"/>
        <v/>
      </c>
      <c r="EL14" s="143" t="str">
        <f t="shared" si="87"/>
        <v/>
      </c>
      <c r="EM14" s="147">
        <f t="shared" si="88"/>
        <v>9.7524462253952535</v>
      </c>
      <c r="EN14" s="147">
        <f t="shared" si="89"/>
        <v>3.2751207789579211</v>
      </c>
      <c r="EO14" s="143">
        <f t="shared" si="90"/>
        <v>115.60891474713291</v>
      </c>
      <c r="EP14" s="143">
        <f t="shared" si="91"/>
        <v>38.824429293970738</v>
      </c>
      <c r="EQ14" s="157">
        <f t="shared" si="92"/>
        <v>8.4357216281516156E-2</v>
      </c>
      <c r="ER14" s="157">
        <f t="shared" si="93"/>
        <v>1.1684775095758561E-3</v>
      </c>
      <c r="ES14" s="157">
        <f t="shared" si="94"/>
        <v>8.6498519788656691E-3</v>
      </c>
      <c r="ET14" s="157">
        <f t="shared" si="95"/>
        <v>2.9048414414348744E-3</v>
      </c>
      <c r="LQ14" s="214" t="str">
        <f t="shared" si="96"/>
        <v>B1x Bulk</v>
      </c>
      <c r="LR14" s="214" t="str">
        <f t="shared" si="97"/>
        <v>MN2022a</v>
      </c>
      <c r="LS14" s="211">
        <f t="shared" si="98"/>
        <v>32.973924301709346</v>
      </c>
      <c r="LT14" s="211">
        <f t="shared" si="99"/>
        <v>0.39494422468677937</v>
      </c>
      <c r="LU14" s="211">
        <f t="shared" si="100"/>
        <v>34.441165920513875</v>
      </c>
      <c r="LV14" s="211">
        <f t="shared" si="101"/>
        <v>0.86426114545590371</v>
      </c>
      <c r="LW14" s="211">
        <f t="shared" si="102"/>
        <v>2559.2381292422442</v>
      </c>
      <c r="LX14" s="211">
        <f t="shared" si="103"/>
        <v>245.83838762419836</v>
      </c>
      <c r="LY14" s="211"/>
      <c r="LZ14" s="211"/>
      <c r="MA14" s="211"/>
      <c r="MB14" s="211"/>
      <c r="MC14" s="211"/>
      <c r="MD14" s="211"/>
      <c r="ME14" s="211"/>
      <c r="MF14" s="211"/>
      <c r="MG14" s="211"/>
      <c r="MH14" s="211"/>
      <c r="MI14" s="211"/>
      <c r="MJ14" s="211"/>
      <c r="MK14" s="211"/>
      <c r="ML14" s="211"/>
      <c r="MM14" s="211"/>
      <c r="MN14" s="211"/>
      <c r="MO14" s="506">
        <f t="shared" si="107"/>
        <v>0.95739860775356012</v>
      </c>
      <c r="MP14" s="506">
        <f t="shared" si="107"/>
        <v>1.2096914997449184E-2</v>
      </c>
      <c r="MQ14" s="109"/>
      <c r="MR14" s="109"/>
      <c r="MS14" s="109"/>
      <c r="MT14" s="109"/>
      <c r="MU14" s="109"/>
      <c r="MV14" s="109"/>
      <c r="MW14" s="506">
        <f t="shared" si="108"/>
        <v>0.86813628318077685</v>
      </c>
      <c r="MX14" s="506">
        <f t="shared" si="108"/>
        <v>1.0053430626376814E-2</v>
      </c>
      <c r="MY14" s="109"/>
      <c r="MZ14" s="109"/>
      <c r="NA14" s="109"/>
      <c r="NB14" s="109"/>
      <c r="NC14" s="109"/>
      <c r="ND14" s="109"/>
    </row>
    <row r="15" spans="2:368">
      <c r="B15" s="245" t="s">
        <v>932</v>
      </c>
      <c r="C15" s="5">
        <f t="shared" si="109"/>
        <v>9.1000000000000004E-3</v>
      </c>
      <c r="D15" s="66">
        <f t="shared" si="104"/>
        <v>4.5500000000000001E-5</v>
      </c>
      <c r="E15" s="67">
        <v>44727</v>
      </c>
      <c r="F15" s="5" t="s">
        <v>210</v>
      </c>
      <c r="G15" s="5" t="s">
        <v>893</v>
      </c>
      <c r="H15" s="5">
        <v>1</v>
      </c>
      <c r="J15" s="327">
        <v>44644</v>
      </c>
      <c r="K15" s="67" t="s">
        <v>823</v>
      </c>
      <c r="L15" s="5">
        <v>8</v>
      </c>
      <c r="M15" s="5">
        <v>6.06</v>
      </c>
      <c r="N15" s="5">
        <v>30</v>
      </c>
      <c r="O15" s="6">
        <v>77.358593999999997</v>
      </c>
      <c r="P15" s="6">
        <v>0.21287200000000001</v>
      </c>
      <c r="Q15" s="6">
        <v>3.7529180000000002</v>
      </c>
      <c r="R15" s="6">
        <v>1.7770999999999999E-2</v>
      </c>
      <c r="S15" s="6">
        <v>93.890252000000004</v>
      </c>
      <c r="T15" s="6">
        <v>8.6979000000000001E-2</v>
      </c>
      <c r="U15" s="6">
        <v>50.019478999999997</v>
      </c>
      <c r="V15" s="6">
        <v>0.116935</v>
      </c>
      <c r="W15" s="6">
        <v>0.789331</v>
      </c>
      <c r="X15" s="6">
        <v>7.0699999999999999E-3</v>
      </c>
      <c r="Y15" s="6">
        <v>6.3067744999999995</v>
      </c>
      <c r="Z15" s="6">
        <v>0.93511705857555649</v>
      </c>
      <c r="AA15" s="6">
        <v>4.3458000000000004E-2</v>
      </c>
      <c r="AB15" s="6">
        <v>2.986365296923112E-2</v>
      </c>
      <c r="AC15" s="6">
        <v>2.21285175</v>
      </c>
      <c r="AD15" s="6">
        <v>2.0188658876193135</v>
      </c>
      <c r="AE15" s="6">
        <v>1.3901317499999999</v>
      </c>
      <c r="AF15" s="6">
        <v>1.1954009646957722</v>
      </c>
      <c r="AG15" s="6">
        <v>0.25606525000000002</v>
      </c>
      <c r="AH15" s="6">
        <v>0.21678044365882418</v>
      </c>
      <c r="AI15" s="133">
        <f t="shared" si="0"/>
        <v>71.051819499999993</v>
      </c>
      <c r="AJ15" s="133">
        <f t="shared" si="1"/>
        <v>0.95904035453311387</v>
      </c>
      <c r="AK15" s="133">
        <f t="shared" si="2"/>
        <v>3.70946</v>
      </c>
      <c r="AL15" s="133">
        <f t="shared" si="3"/>
        <v>3.4751204434762636E-2</v>
      </c>
      <c r="AM15" s="133">
        <f t="shared" si="4"/>
        <v>91.677400250000005</v>
      </c>
      <c r="AN15" s="133">
        <f t="shared" si="5"/>
        <v>2.0207386814315993</v>
      </c>
      <c r="AO15" s="133">
        <f t="shared" si="6"/>
        <v>48.629347249999995</v>
      </c>
      <c r="AP15" s="133">
        <f t="shared" si="7"/>
        <v>1.2011066816151605</v>
      </c>
      <c r="AQ15" s="133">
        <f t="shared" si="8"/>
        <v>0.53326574999999998</v>
      </c>
      <c r="AR15" s="133">
        <f t="shared" si="9"/>
        <v>0.21689570224630234</v>
      </c>
      <c r="AS15" s="5">
        <v>300.7</v>
      </c>
      <c r="AT15" s="5">
        <v>0.28000000000000003</v>
      </c>
      <c r="AU15" s="133">
        <f t="shared" si="10"/>
        <v>3.7257791133671745</v>
      </c>
      <c r="AV15" s="133">
        <f t="shared" si="11"/>
        <v>3.4751548260548472E-2</v>
      </c>
      <c r="AW15" s="133">
        <f t="shared" si="12"/>
        <v>92.484037274196282</v>
      </c>
      <c r="AX15" s="133">
        <f t="shared" si="13"/>
        <v>2.0207583152637443</v>
      </c>
      <c r="AY15" s="133">
        <f t="shared" si="14"/>
        <v>49.271155893908627</v>
      </c>
      <c r="AZ15" s="133">
        <f t="shared" si="15"/>
        <v>1.2011274114350583</v>
      </c>
      <c r="BA15" s="133">
        <f t="shared" si="16"/>
        <v>0.54264978350253812</v>
      </c>
      <c r="BB15" s="133">
        <f t="shared" si="17"/>
        <v>0.21689780116564203</v>
      </c>
      <c r="BC15" s="6"/>
      <c r="BD15" s="8"/>
      <c r="BE15" s="133">
        <f t="shared" si="105"/>
        <v>253.76402993235715</v>
      </c>
      <c r="BF15" s="133">
        <f t="shared" si="18"/>
        <v>6.1862346611938008</v>
      </c>
      <c r="BG15" s="133">
        <f t="shared" si="19"/>
        <v>3.7279628625511378</v>
      </c>
      <c r="BH15" s="133">
        <f t="shared" si="20"/>
        <v>3.4771916796322147E-2</v>
      </c>
      <c r="BI15" s="143">
        <f t="shared" si="21"/>
        <v>70.596577822671719</v>
      </c>
      <c r="BJ15" s="133">
        <f t="shared" si="22"/>
        <v>0.9590513255321429</v>
      </c>
      <c r="BK15" s="143">
        <f t="shared" si="23"/>
        <v>3.4960560453565703</v>
      </c>
      <c r="BL15" s="133">
        <f t="shared" si="24"/>
        <v>3.5228499090037148E-2</v>
      </c>
      <c r="BM15" s="143">
        <f t="shared" si="25"/>
        <v>92.426469703268452</v>
      </c>
      <c r="BN15" s="133">
        <f t="shared" si="26"/>
        <v>2.0207583866025018</v>
      </c>
      <c r="BO15" s="147">
        <f t="shared" si="27"/>
        <v>0.45412949334510977</v>
      </c>
      <c r="BP15" s="147">
        <f t="shared" si="28"/>
        <v>0.21690853568048327</v>
      </c>
      <c r="BR15" s="147">
        <f t="shared" si="29"/>
        <v>0.43929300224152834</v>
      </c>
      <c r="BS15" s="147">
        <f t="shared" si="30"/>
        <v>0.21696630670710865</v>
      </c>
      <c r="BT15" s="143">
        <f t="shared" si="31"/>
        <v>92.341093315109873</v>
      </c>
      <c r="BU15" s="147">
        <f t="shared" si="32"/>
        <v>0.39497461367858344</v>
      </c>
      <c r="BV15" s="143">
        <f t="shared" si="33"/>
        <v>-59.214504339699914</v>
      </c>
      <c r="BW15" s="143">
        <f t="shared" si="34"/>
        <v>64.120716281799588</v>
      </c>
      <c r="BX15" s="3">
        <v>1.6986774770655257E-12</v>
      </c>
      <c r="BY15" s="3">
        <v>9.4454002365720605E-16</v>
      </c>
      <c r="BZ15" s="157">
        <f t="shared" si="35"/>
        <v>7.4621712874017972E-13</v>
      </c>
      <c r="CA15" s="157">
        <f t="shared" si="36"/>
        <v>3.6855601205485522E-13</v>
      </c>
      <c r="CB15" s="157">
        <f t="shared" si="37"/>
        <v>4.3106324213547699E-10</v>
      </c>
      <c r="CC15" s="158">
        <f t="shared" si="38"/>
        <v>1.0511150722391052E-11</v>
      </c>
      <c r="CD15" s="157">
        <f t="shared" si="39"/>
        <v>1.5685773542198312E-10</v>
      </c>
      <c r="CE15" s="477">
        <f t="shared" si="40"/>
        <v>6.7657991436611924E-13</v>
      </c>
      <c r="CF15" s="157">
        <f t="shared" si="41"/>
        <v>5.938671662805978E-12</v>
      </c>
      <c r="CG15" s="157">
        <f t="shared" si="42"/>
        <v>5.9932897946586315E-14</v>
      </c>
      <c r="CH15" s="157">
        <f t="shared" si="43"/>
        <v>1.1992081670527605E-10</v>
      </c>
      <c r="CI15" s="157">
        <f t="shared" si="44"/>
        <v>1.6304829774328279E-12</v>
      </c>
      <c r="CJ15" s="157">
        <f t="shared" si="45"/>
        <v>6.9982154615048922E-15</v>
      </c>
      <c r="CK15" s="157">
        <f t="shared" si="46"/>
        <v>3.018564591493237E-17</v>
      </c>
      <c r="CL15" s="157">
        <f t="shared" si="47"/>
        <v>5.3502730443317452E-15</v>
      </c>
      <c r="CM15" s="157">
        <f t="shared" si="48"/>
        <v>7.2744077058591616E-17</v>
      </c>
      <c r="CN15" s="66">
        <v>5.1340830000000002E-3</v>
      </c>
      <c r="CO15" s="66">
        <v>8.40144E-6</v>
      </c>
      <c r="CP15" s="3">
        <v>1.1139738540500025E+19</v>
      </c>
      <c r="CQ15" s="60">
        <v>1.0453256904066513E+18</v>
      </c>
      <c r="CR15" s="3">
        <v>8.0438364680336474E+17</v>
      </c>
      <c r="CS15" s="3">
        <v>8.527140119058072E+16</v>
      </c>
      <c r="CT15" s="6">
        <v>0.49881143094597263</v>
      </c>
      <c r="CU15" s="6">
        <v>4.5926073391395927E-2</v>
      </c>
      <c r="CV15" s="4">
        <v>24.581879797320056</v>
      </c>
      <c r="CW15" s="4">
        <v>0.55629982285426871</v>
      </c>
      <c r="CX15" s="157">
        <f t="shared" si="49"/>
        <v>4.25311362987399E-9</v>
      </c>
      <c r="CY15" s="157">
        <f t="shared" si="50"/>
        <v>5.8333620668384427E-11</v>
      </c>
      <c r="CZ15" s="147">
        <f t="shared" si="51"/>
        <v>18.27357281702222</v>
      </c>
      <c r="DA15" s="147">
        <f t="shared" si="52"/>
        <v>0.26676612716139708</v>
      </c>
      <c r="DB15" s="159">
        <f t="shared" si="53"/>
        <v>1.827357281702222E-3</v>
      </c>
      <c r="DC15" s="167">
        <f t="shared" si="54"/>
        <v>2.6676612716139707E-5</v>
      </c>
      <c r="DD15" s="157">
        <f t="shared" si="55"/>
        <v>5.0398011951624636E-9</v>
      </c>
      <c r="DE15" s="157">
        <f t="shared" si="56"/>
        <v>1.2518718116642639E-10</v>
      </c>
      <c r="DF15" s="147">
        <f t="shared" si="57"/>
        <v>19.634733161768661</v>
      </c>
      <c r="DG15" s="133">
        <f t="shared" si="58"/>
        <v>0.49750362652072583</v>
      </c>
      <c r="DH15" s="159">
        <f t="shared" si="59"/>
        <v>1.9634733161768662E-3</v>
      </c>
      <c r="DI15" s="167">
        <f t="shared" si="60"/>
        <v>4.975036265207258E-5</v>
      </c>
      <c r="DJ15" s="157">
        <f t="shared" si="61"/>
        <v>6.037434423086033E-7</v>
      </c>
      <c r="DK15" s="157">
        <f t="shared" si="62"/>
        <v>5.7776512181204447E-8</v>
      </c>
      <c r="DL15" s="143">
        <f t="shared" si="63"/>
        <v>2659.1249634866836</v>
      </c>
      <c r="DM15" s="143">
        <f t="shared" si="64"/>
        <v>254.81785381101037</v>
      </c>
      <c r="DN15" s="147">
        <f t="shared" si="65"/>
        <v>0.26591249634866837</v>
      </c>
      <c r="DO15" s="147">
        <f t="shared" si="66"/>
        <v>2.5481785381101036E-2</v>
      </c>
      <c r="DP15" s="133">
        <f t="shared" si="67"/>
        <v>0.84390504013460121</v>
      </c>
      <c r="DQ15" s="133">
        <f t="shared" si="68"/>
        <v>1.2191598655085619E-2</v>
      </c>
      <c r="DR15" s="133">
        <f t="shared" si="69"/>
        <v>7.0445711403686138E-3</v>
      </c>
      <c r="DS15" s="133">
        <f t="shared" si="70"/>
        <v>9.2545597792735371E-3</v>
      </c>
      <c r="DT15" s="133">
        <f t="shared" si="71"/>
        <v>0.93067589289184771</v>
      </c>
      <c r="DU15" s="133">
        <f t="shared" si="72"/>
        <v>1.4228451197697872E-2</v>
      </c>
      <c r="DV15" s="133">
        <f t="shared" si="73"/>
        <v>6.8720248457453626E-3</v>
      </c>
      <c r="DW15" s="133">
        <f t="shared" si="74"/>
        <v>9.2832708759837228E-3</v>
      </c>
      <c r="DX15" s="157">
        <f t="shared" si="75"/>
        <v>1.0616039873690441E-6</v>
      </c>
      <c r="DY15" s="157">
        <f t="shared" si="76"/>
        <v>3.0061790676932936E-8</v>
      </c>
      <c r="DZ15" s="147">
        <f t="shared" si="77"/>
        <v>-16.937515752457138</v>
      </c>
      <c r="EA15" s="147">
        <f t="shared" si="78"/>
        <v>-18.341666050179175</v>
      </c>
      <c r="EB15" s="157">
        <f t="shared" si="79"/>
        <v>1.257966165481984E-6</v>
      </c>
      <c r="EC15" s="157">
        <f t="shared" si="80"/>
        <v>2.4294560533595207E-8</v>
      </c>
      <c r="ED15" s="143" t="str">
        <f t="shared" si="106"/>
        <v/>
      </c>
      <c r="EE15" s="143" t="str">
        <f t="shared" si="81"/>
        <v/>
      </c>
      <c r="EF15" s="143" t="str">
        <f t="shared" si="82"/>
        <v/>
      </c>
      <c r="EG15" s="143" t="str">
        <f t="shared" si="83"/>
        <v/>
      </c>
      <c r="EH15" s="147" t="str">
        <f t="shared" si="84"/>
        <v/>
      </c>
      <c r="EI15" s="147" t="str">
        <f t="shared" si="85"/>
        <v/>
      </c>
      <c r="EJ15" s="501">
        <f t="shared" si="86"/>
        <v>2.993326859215871E-2</v>
      </c>
      <c r="EK15" s="143" t="str">
        <f t="shared" si="87"/>
        <v/>
      </c>
      <c r="EL15" s="143" t="str">
        <f t="shared" si="87"/>
        <v/>
      </c>
      <c r="EM15" s="147">
        <f t="shared" si="88"/>
        <v>7.9583695335861471</v>
      </c>
      <c r="EN15" s="147">
        <f t="shared" si="89"/>
        <v>3.9321161130159528</v>
      </c>
      <c r="EO15" s="143">
        <f t="shared" si="90"/>
        <v>160.70499066100967</v>
      </c>
      <c r="EP15" s="143">
        <f t="shared" si="91"/>
        <v>79.40202833676247</v>
      </c>
      <c r="EQ15" s="157">
        <f t="shared" si="92"/>
        <v>4.9521607890656572E-2</v>
      </c>
      <c r="ER15" s="157">
        <f t="shared" si="93"/>
        <v>8.3761767278102135E-4</v>
      </c>
      <c r="ES15" s="157">
        <f t="shared" si="94"/>
        <v>6.2225821107783456E-3</v>
      </c>
      <c r="ET15" s="157">
        <f t="shared" si="95"/>
        <v>3.0744884714257272E-3</v>
      </c>
      <c r="LQ15" s="214" t="str">
        <f t="shared" si="96"/>
        <v>B1x Bulk</v>
      </c>
      <c r="LR15" s="214" t="str">
        <f t="shared" si="97"/>
        <v>MN2022a</v>
      </c>
      <c r="LS15" s="211">
        <f t="shared" si="98"/>
        <v>18.27357281702222</v>
      </c>
      <c r="LT15" s="211">
        <f t="shared" si="99"/>
        <v>0.26676612716139708</v>
      </c>
      <c r="LU15" s="211">
        <f t="shared" si="100"/>
        <v>19.634733161768661</v>
      </c>
      <c r="LV15" s="211">
        <f t="shared" si="101"/>
        <v>0.49750362652072583</v>
      </c>
      <c r="LW15" s="211">
        <f t="shared" si="102"/>
        <v>2659.1249634866836</v>
      </c>
      <c r="LX15" s="211">
        <f t="shared" si="103"/>
        <v>254.81785381101037</v>
      </c>
      <c r="LY15" s="211"/>
      <c r="LZ15" s="211"/>
      <c r="MA15" s="211"/>
      <c r="MB15" s="211"/>
      <c r="MC15" s="211"/>
      <c r="MD15" s="211"/>
      <c r="ME15" s="211"/>
      <c r="MF15" s="211"/>
      <c r="MG15" s="211"/>
      <c r="MH15" s="211"/>
      <c r="MI15" s="211"/>
      <c r="MJ15" s="211"/>
      <c r="MK15" s="211"/>
      <c r="ML15" s="211"/>
      <c r="MM15" s="211"/>
      <c r="MN15" s="211"/>
      <c r="MO15" s="506">
        <f t="shared" si="107"/>
        <v>0.93067589289184771</v>
      </c>
      <c r="MP15" s="506">
        <f t="shared" si="107"/>
        <v>1.4228451197697872E-2</v>
      </c>
      <c r="MQ15" s="109"/>
      <c r="MR15" s="109"/>
      <c r="MS15" s="109"/>
      <c r="MT15" s="109"/>
      <c r="MU15" s="109"/>
      <c r="MV15" s="109"/>
      <c r="MW15" s="506">
        <f t="shared" si="108"/>
        <v>0.84390504013460121</v>
      </c>
      <c r="MX15" s="506">
        <f t="shared" si="108"/>
        <v>1.2191598655085619E-2</v>
      </c>
      <c r="MY15" s="109"/>
      <c r="MZ15" s="109"/>
      <c r="NA15" s="109"/>
      <c r="NB15" s="109"/>
      <c r="NC15" s="109"/>
      <c r="ND15" s="109"/>
    </row>
    <row r="16" spans="2:368">
      <c r="B16" s="245" t="s">
        <v>932</v>
      </c>
      <c r="C16" s="5">
        <f t="shared" si="109"/>
        <v>9.1000000000000004E-3</v>
      </c>
      <c r="D16" s="66">
        <f t="shared" si="104"/>
        <v>4.5500000000000001E-5</v>
      </c>
      <c r="E16" s="67">
        <v>44727</v>
      </c>
      <c r="F16" s="5" t="s">
        <v>210</v>
      </c>
      <c r="G16" s="5" t="s">
        <v>893</v>
      </c>
      <c r="H16" s="5">
        <v>1</v>
      </c>
      <c r="J16" s="327">
        <v>44644</v>
      </c>
      <c r="K16" s="67" t="s">
        <v>823</v>
      </c>
      <c r="L16" s="5">
        <v>10</v>
      </c>
      <c r="M16" s="5">
        <v>7.41</v>
      </c>
      <c r="N16" s="5">
        <v>30</v>
      </c>
      <c r="O16" s="6">
        <v>54.285454000000001</v>
      </c>
      <c r="P16" s="6">
        <v>0.10842400000000001</v>
      </c>
      <c r="Q16" s="6">
        <v>2.4248789999999998</v>
      </c>
      <c r="R16" s="6">
        <v>1.3322000000000001E-2</v>
      </c>
      <c r="S16" s="6">
        <v>77.091927999999996</v>
      </c>
      <c r="T16" s="6">
        <v>9.3267000000000003E-2</v>
      </c>
      <c r="U16" s="6">
        <v>90.832131000000004</v>
      </c>
      <c r="V16" s="6">
        <v>0.19878899999999999</v>
      </c>
      <c r="W16" s="6">
        <v>0.73062899999999997</v>
      </c>
      <c r="X16" s="6">
        <v>4.6100000000000004E-3</v>
      </c>
      <c r="Y16" s="6">
        <v>6.3067744999999995</v>
      </c>
      <c r="Z16" s="6">
        <v>0.93511705857555649</v>
      </c>
      <c r="AA16" s="6">
        <v>4.3458000000000004E-2</v>
      </c>
      <c r="AB16" s="6">
        <v>2.986365296923112E-2</v>
      </c>
      <c r="AC16" s="6">
        <v>2.21285175</v>
      </c>
      <c r="AD16" s="6">
        <v>2.0188658876193135</v>
      </c>
      <c r="AE16" s="6">
        <v>1.3901317499999999</v>
      </c>
      <c r="AF16" s="6">
        <v>1.1954009646957722</v>
      </c>
      <c r="AG16" s="6">
        <v>0.25606525000000002</v>
      </c>
      <c r="AH16" s="6">
        <v>0.21678044365882418</v>
      </c>
      <c r="AI16" s="133">
        <f t="shared" si="0"/>
        <v>47.978679499999998</v>
      </c>
      <c r="AJ16" s="133">
        <f t="shared" si="1"/>
        <v>0.9413817913126431</v>
      </c>
      <c r="AK16" s="133">
        <f t="shared" si="2"/>
        <v>2.3814209999999996</v>
      </c>
      <c r="AL16" s="133">
        <f t="shared" si="3"/>
        <v>3.2700358601499564E-2</v>
      </c>
      <c r="AM16" s="133">
        <f t="shared" si="4"/>
        <v>74.879076249999997</v>
      </c>
      <c r="AN16" s="133">
        <f t="shared" si="5"/>
        <v>2.0210191007216927</v>
      </c>
      <c r="AO16" s="133">
        <f t="shared" si="6"/>
        <v>89.441999250000009</v>
      </c>
      <c r="AP16" s="133">
        <f t="shared" si="7"/>
        <v>1.211817037723345</v>
      </c>
      <c r="AQ16" s="133">
        <f t="shared" si="8"/>
        <v>0.47456374999999995</v>
      </c>
      <c r="AR16" s="133">
        <f t="shared" si="9"/>
        <v>0.21682945568560708</v>
      </c>
      <c r="AS16" s="5">
        <v>300.7</v>
      </c>
      <c r="AT16" s="5">
        <v>0.28000000000000003</v>
      </c>
      <c r="AU16" s="133">
        <f t="shared" si="10"/>
        <v>2.3918976406091366</v>
      </c>
      <c r="AV16" s="133">
        <f t="shared" si="11"/>
        <v>3.2700678344206653E-2</v>
      </c>
      <c r="AW16" s="133">
        <f t="shared" si="12"/>
        <v>75.53791076184433</v>
      </c>
      <c r="AX16" s="133">
        <f t="shared" si="13"/>
        <v>2.021038710897221</v>
      </c>
      <c r="AY16" s="133">
        <f t="shared" si="14"/>
        <v>90.622452031979705</v>
      </c>
      <c r="AZ16" s="133">
        <f t="shared" si="15"/>
        <v>1.2118381086116443</v>
      </c>
      <c r="BA16" s="133">
        <f t="shared" si="16"/>
        <v>0.48291478722504227</v>
      </c>
      <c r="BB16" s="133">
        <f t="shared" si="17"/>
        <v>0.21683155395869294</v>
      </c>
      <c r="BC16" s="6"/>
      <c r="BD16" s="8"/>
      <c r="BE16" s="133">
        <f t="shared" si="105"/>
        <v>466.73795677746563</v>
      </c>
      <c r="BF16" s="133">
        <f t="shared" si="18"/>
        <v>6.2413985726061494</v>
      </c>
      <c r="BG16" s="133">
        <f t="shared" si="19"/>
        <v>2.3932995767845968</v>
      </c>
      <c r="BH16" s="133">
        <f t="shared" si="20"/>
        <v>3.2719844826565474E-2</v>
      </c>
      <c r="BI16" s="143">
        <f t="shared" si="21"/>
        <v>47.722575952526064</v>
      </c>
      <c r="BJ16" s="133">
        <f t="shared" si="22"/>
        <v>0.94139172596376897</v>
      </c>
      <c r="BK16" s="143">
        <f t="shared" si="23"/>
        <v>1.9667627108268415</v>
      </c>
      <c r="BL16" s="133">
        <f t="shared" si="24"/>
        <v>3.3213276591181923E-2</v>
      </c>
      <c r="BM16" s="143">
        <f t="shared" si="25"/>
        <v>75.500953193269254</v>
      </c>
      <c r="BN16" s="133">
        <f t="shared" si="26"/>
        <v>2.0210387740555298</v>
      </c>
      <c r="BO16" s="147">
        <f>Ar36_DC-(Salt_36Ar37Ar_Ca*Ar37_DecayCor)</f>
        <v>0.32010298378528934</v>
      </c>
      <c r="BP16" s="147">
        <f t="shared" si="28"/>
        <v>0.21684248410419343</v>
      </c>
      <c r="BR16" s="147">
        <f>IF(Rad_Type="Continuous", BO16-((EXP(lambda_36Ar*(Run_Date-Rad_Date))-1)*Cl3638_PR*BT16),BO16*Ar36_DecayFactor)</f>
        <v>0.30798187573714192</v>
      </c>
      <c r="BS16" s="147">
        <f t="shared" si="30"/>
        <v>0.21690025356473019</v>
      </c>
      <c r="BT16" s="143">
        <f t="shared" si="31"/>
        <v>75.440773801719359</v>
      </c>
      <c r="BU16" s="147">
        <f t="shared" si="32"/>
        <v>0.39490912603015088</v>
      </c>
      <c r="BV16" s="143">
        <f t="shared" si="33"/>
        <v>-43.286068327799377</v>
      </c>
      <c r="BW16" s="143">
        <f t="shared" si="34"/>
        <v>64.100937979886254</v>
      </c>
      <c r="BX16" s="3">
        <v>1.6986774770655257E-12</v>
      </c>
      <c r="BY16" s="3">
        <v>9.4454002365720605E-16</v>
      </c>
      <c r="BZ16" s="157">
        <f t="shared" si="35"/>
        <v>5.2316187565907649E-13</v>
      </c>
      <c r="CA16" s="157">
        <f t="shared" si="36"/>
        <v>3.6844369033936637E-13</v>
      </c>
      <c r="CB16" s="157">
        <f t="shared" si="37"/>
        <v>7.9283725486946366E-10</v>
      </c>
      <c r="CC16" s="158">
        <f t="shared" si="38"/>
        <v>1.0611284890356975E-11</v>
      </c>
      <c r="CD16" s="157">
        <f t="shared" si="39"/>
        <v>1.2814954330937565E-10</v>
      </c>
      <c r="CE16" s="477">
        <f t="shared" si="40"/>
        <v>6.7459717782799082E-13</v>
      </c>
      <c r="CF16" s="157">
        <f t="shared" si="41"/>
        <v>3.3408955196138933E-12</v>
      </c>
      <c r="CG16" s="157">
        <f t="shared" si="42"/>
        <v>5.6449220440099494E-14</v>
      </c>
      <c r="CH16" s="157">
        <f t="shared" si="43"/>
        <v>8.1065264918104904E-11</v>
      </c>
      <c r="CI16" s="157">
        <f t="shared" si="44"/>
        <v>1.5997560934022701E-12</v>
      </c>
      <c r="CJ16" s="157">
        <f t="shared" si="45"/>
        <v>5.7173980802401487E-15</v>
      </c>
      <c r="CK16" s="157">
        <f t="shared" si="46"/>
        <v>3.009718593805807E-17</v>
      </c>
      <c r="CL16" s="157">
        <f t="shared" si="47"/>
        <v>3.6167307198122714E-15</v>
      </c>
      <c r="CM16" s="157">
        <f t="shared" si="48"/>
        <v>7.1373195604293528E-17</v>
      </c>
      <c r="CN16" s="66">
        <v>5.1340830000000002E-3</v>
      </c>
      <c r="CO16" s="66">
        <v>8.40144E-6</v>
      </c>
      <c r="CP16" s="3">
        <v>1.1139738540500025E+19</v>
      </c>
      <c r="CQ16" s="60">
        <v>1.0453256904066513E+18</v>
      </c>
      <c r="CR16" s="3">
        <v>8.0438364680336474E+17</v>
      </c>
      <c r="CS16" s="3">
        <v>8.527140119058072E+16</v>
      </c>
      <c r="CT16" s="6">
        <v>0.49881143094597263</v>
      </c>
      <c r="CU16" s="6">
        <v>4.5926073391395927E-2</v>
      </c>
      <c r="CV16" s="4">
        <v>24.581879797320056</v>
      </c>
      <c r="CW16" s="4">
        <v>0.55629982285426871</v>
      </c>
      <c r="CX16" s="157">
        <f t="shared" si="49"/>
        <v>2.3926576644146462E-9</v>
      </c>
      <c r="CY16" s="157">
        <f t="shared" si="50"/>
        <v>4.6132823567874297E-11</v>
      </c>
      <c r="CZ16" s="147">
        <f t="shared" si="51"/>
        <v>10.280093094569578</v>
      </c>
      <c r="DA16" s="147">
        <f t="shared" si="52"/>
        <v>0.20476666025032797</v>
      </c>
      <c r="DB16" s="159">
        <f t="shared" si="53"/>
        <v>1.0280093094569578E-3</v>
      </c>
      <c r="DC16" s="167">
        <f t="shared" si="54"/>
        <v>2.0476666025032799E-5</v>
      </c>
      <c r="DD16" s="157">
        <f t="shared" si="55"/>
        <v>4.1174139088049184E-9</v>
      </c>
      <c r="DE16" s="157">
        <f t="shared" si="56"/>
        <v>1.0302731624378789E-10</v>
      </c>
      <c r="DF16" s="147">
        <f t="shared" si="57"/>
        <v>16.041173110863824</v>
      </c>
      <c r="DG16" s="133">
        <f t="shared" si="58"/>
        <v>0.40932263489695003</v>
      </c>
      <c r="DH16" s="159">
        <f t="shared" si="59"/>
        <v>1.6041173110863823E-3</v>
      </c>
      <c r="DI16" s="167">
        <f t="shared" si="60"/>
        <v>4.0932263489695002E-5</v>
      </c>
      <c r="DJ16" s="157">
        <f t="shared" si="61"/>
        <v>1.1104409902223913E-6</v>
      </c>
      <c r="DK16" s="157">
        <f t="shared" si="62"/>
        <v>1.0382758890411909E-7</v>
      </c>
      <c r="DL16" s="143">
        <f t="shared" si="63"/>
        <v>4890.8214162762015</v>
      </c>
      <c r="DM16" s="143">
        <f t="shared" si="64"/>
        <v>457.95141412998026</v>
      </c>
      <c r="DN16" s="147">
        <f t="shared" si="65"/>
        <v>0.48908214162762015</v>
      </c>
      <c r="DO16" s="147">
        <f t="shared" si="66"/>
        <v>4.5795141412998029E-2</v>
      </c>
      <c r="DP16" s="133">
        <f t="shared" si="67"/>
        <v>0.58110690773595708</v>
      </c>
      <c r="DQ16" s="133">
        <f t="shared" si="68"/>
        <v>1.1830437459092331E-2</v>
      </c>
      <c r="DR16" s="133">
        <f t="shared" si="69"/>
        <v>2.1546914113243078E-3</v>
      </c>
      <c r="DS16" s="133">
        <f t="shared" si="70"/>
        <v>8.7840230047429996E-3</v>
      </c>
      <c r="DT16" s="133">
        <f t="shared" si="71"/>
        <v>0.64085668944046392</v>
      </c>
      <c r="DU16" s="133">
        <f t="shared" si="72"/>
        <v>1.3416185023624147E-2</v>
      </c>
      <c r="DV16" s="133">
        <f t="shared" si="73"/>
        <v>2.101915449285958E-3</v>
      </c>
      <c r="DW16" s="133">
        <f t="shared" si="74"/>
        <v>8.8093559075291972E-3</v>
      </c>
      <c r="DX16" s="157">
        <f t="shared" si="75"/>
        <v>8.7839862591371807E-7</v>
      </c>
      <c r="DY16" s="157">
        <f t="shared" si="76"/>
        <v>2.7992608221362974E-8</v>
      </c>
      <c r="DZ16" s="147">
        <f t="shared" si="77"/>
        <v>-22.008790429833599</v>
      </c>
      <c r="EA16" s="147">
        <f t="shared" si="78"/>
        <v>-32.59422472831924</v>
      </c>
      <c r="EB16" s="157">
        <f t="shared" si="79"/>
        <v>1.5115955673905777E-6</v>
      </c>
      <c r="EC16" s="157">
        <f t="shared" si="80"/>
        <v>4.170454822583704E-8</v>
      </c>
      <c r="ED16" s="143" t="str">
        <f t="shared" si="106"/>
        <v/>
      </c>
      <c r="EE16" s="143" t="str">
        <f t="shared" si="81"/>
        <v/>
      </c>
      <c r="EF16" s="143" t="str">
        <f t="shared" si="82"/>
        <v/>
      </c>
      <c r="EG16" s="143" t="str">
        <f t="shared" si="83"/>
        <v/>
      </c>
      <c r="EH16" s="147" t="str">
        <f t="shared" si="84"/>
        <v/>
      </c>
      <c r="EI16" s="147" t="str">
        <f t="shared" si="85"/>
        <v/>
      </c>
      <c r="EJ16" s="501">
        <f t="shared" si="86"/>
        <v>1.6839442994174763E-2</v>
      </c>
      <c r="EK16" s="143" t="str">
        <f t="shared" si="87"/>
        <v/>
      </c>
      <c r="EL16" s="143" t="str">
        <f t="shared" si="87"/>
        <v/>
      </c>
      <c r="EM16" s="147">
        <f t="shared" si="88"/>
        <v>6.3859689993752911</v>
      </c>
      <c r="EN16" s="147">
        <f t="shared" si="89"/>
        <v>4.4991658547131026</v>
      </c>
      <c r="EO16" s="143">
        <f t="shared" si="90"/>
        <v>154.95254660133506</v>
      </c>
      <c r="EP16" s="143">
        <f t="shared" si="91"/>
        <v>109.17015206897607</v>
      </c>
      <c r="EQ16" s="157">
        <f t="shared" si="92"/>
        <v>4.1212417217028625E-2</v>
      </c>
      <c r="ER16" s="157">
        <f t="shared" si="93"/>
        <v>1.0701816195713139E-3</v>
      </c>
      <c r="ES16" s="157">
        <f t="shared" si="94"/>
        <v>6.4535886755886602E-3</v>
      </c>
      <c r="ET16" s="157">
        <f t="shared" si="95"/>
        <v>4.5468065711581256E-3</v>
      </c>
      <c r="LQ16" s="214" t="str">
        <f t="shared" si="96"/>
        <v>B1x Bulk</v>
      </c>
      <c r="LR16" s="214" t="str">
        <f t="shared" si="97"/>
        <v>MN2022a</v>
      </c>
      <c r="LS16" s="211">
        <f t="shared" si="98"/>
        <v>10.280093094569578</v>
      </c>
      <c r="LT16" s="211">
        <f t="shared" si="99"/>
        <v>0.20476666025032797</v>
      </c>
      <c r="LU16" s="211">
        <f t="shared" si="100"/>
        <v>16.041173110863824</v>
      </c>
      <c r="LV16" s="211">
        <f t="shared" si="101"/>
        <v>0.40932263489695003</v>
      </c>
      <c r="LW16" s="211">
        <f t="shared" si="102"/>
        <v>4890.8214162762015</v>
      </c>
      <c r="LX16" s="211">
        <f t="shared" si="103"/>
        <v>457.95141412998026</v>
      </c>
      <c r="LY16" s="211"/>
      <c r="LZ16" s="211"/>
      <c r="MA16" s="211"/>
      <c r="MB16" s="211"/>
      <c r="MC16" s="211"/>
      <c r="MD16" s="211"/>
      <c r="ME16" s="211"/>
      <c r="MF16" s="211"/>
      <c r="MG16" s="211"/>
      <c r="MH16" s="211"/>
      <c r="MI16" s="211"/>
      <c r="MJ16" s="211"/>
      <c r="MK16" s="211"/>
      <c r="ML16" s="211"/>
      <c r="MM16" s="211"/>
      <c r="MN16" s="211"/>
      <c r="MO16" s="506">
        <f t="shared" si="107"/>
        <v>0.64085668944046392</v>
      </c>
      <c r="MP16" s="506">
        <f t="shared" si="107"/>
        <v>1.3416185023624147E-2</v>
      </c>
      <c r="MQ16" s="109"/>
      <c r="MR16" s="109"/>
      <c r="MS16" s="109"/>
      <c r="MT16" s="109"/>
      <c r="MU16" s="109"/>
      <c r="MV16" s="109"/>
      <c r="MW16" s="506">
        <f t="shared" si="108"/>
        <v>0.58110690773595708</v>
      </c>
      <c r="MX16" s="506">
        <f t="shared" si="108"/>
        <v>1.1830437459092331E-2</v>
      </c>
      <c r="MY16" s="109"/>
      <c r="MZ16" s="109"/>
      <c r="NA16" s="109"/>
      <c r="NB16" s="109"/>
      <c r="NC16" s="109"/>
      <c r="ND16" s="109"/>
    </row>
    <row r="17" spans="2:368">
      <c r="B17" s="245" t="s">
        <v>932</v>
      </c>
      <c r="C17" s="5">
        <f t="shared" si="109"/>
        <v>9.1000000000000004E-3</v>
      </c>
      <c r="D17" s="66">
        <f t="shared" si="104"/>
        <v>4.5500000000000001E-5</v>
      </c>
      <c r="E17" s="67">
        <v>44727</v>
      </c>
      <c r="F17" s="5" t="s">
        <v>210</v>
      </c>
      <c r="G17" s="5" t="s">
        <v>893</v>
      </c>
      <c r="H17" s="5">
        <v>1</v>
      </c>
      <c r="J17" s="327">
        <v>44644</v>
      </c>
      <c r="K17" s="67" t="s">
        <v>823</v>
      </c>
      <c r="L17" s="5">
        <v>12</v>
      </c>
      <c r="M17" s="5">
        <v>8.65</v>
      </c>
      <c r="N17" s="5">
        <v>30</v>
      </c>
      <c r="O17" s="6">
        <v>14.176078</v>
      </c>
      <c r="P17" s="6">
        <v>0.12306400000000001</v>
      </c>
      <c r="Q17" s="6">
        <v>0.47891600000000001</v>
      </c>
      <c r="R17" s="6">
        <v>5.875E-3</v>
      </c>
      <c r="S17" s="6">
        <v>18.009739</v>
      </c>
      <c r="T17" s="6">
        <v>3.6914000000000002E-2</v>
      </c>
      <c r="U17" s="6">
        <v>18.759229000000001</v>
      </c>
      <c r="V17" s="6">
        <v>0.106692</v>
      </c>
      <c r="W17" s="6">
        <v>0.42947999999999997</v>
      </c>
      <c r="X17" s="6">
        <v>5.5779999999999996E-3</v>
      </c>
      <c r="Y17" s="6">
        <v>6.3067744999999995</v>
      </c>
      <c r="Z17" s="6">
        <v>0.93511705857555649</v>
      </c>
      <c r="AA17" s="6">
        <v>4.3458000000000004E-2</v>
      </c>
      <c r="AB17" s="6">
        <v>2.986365296923112E-2</v>
      </c>
      <c r="AC17" s="6">
        <v>2.21285175</v>
      </c>
      <c r="AD17" s="6">
        <v>2.0188658876193135</v>
      </c>
      <c r="AE17" s="6">
        <v>1.3901317499999999</v>
      </c>
      <c r="AF17" s="6">
        <v>1.1954009646957722</v>
      </c>
      <c r="AG17" s="6">
        <v>0.25606525000000002</v>
      </c>
      <c r="AH17" s="6">
        <v>0.21678044365882418</v>
      </c>
      <c r="AI17" s="133">
        <f t="shared" si="0"/>
        <v>7.8693035000000009</v>
      </c>
      <c r="AJ17" s="133">
        <f t="shared" si="1"/>
        <v>0.9431800789536432</v>
      </c>
      <c r="AK17" s="133">
        <f t="shared" si="2"/>
        <v>0.43545800000000001</v>
      </c>
      <c r="AL17" s="133">
        <f t="shared" si="3"/>
        <v>3.043605417373722E-2</v>
      </c>
      <c r="AM17" s="133">
        <f t="shared" si="4"/>
        <v>15.796887249999999</v>
      </c>
      <c r="AN17" s="133">
        <f t="shared" si="5"/>
        <v>2.0192033368605844</v>
      </c>
      <c r="AO17" s="133">
        <f t="shared" si="6"/>
        <v>17.369097250000003</v>
      </c>
      <c r="AP17" s="133">
        <f t="shared" si="7"/>
        <v>1.2001527608015501</v>
      </c>
      <c r="AQ17" s="133">
        <f t="shared" si="8"/>
        <v>0.17341474999999995</v>
      </c>
      <c r="AR17" s="133">
        <f t="shared" si="9"/>
        <v>0.21685219583143869</v>
      </c>
      <c r="AS17" s="5">
        <v>300.7</v>
      </c>
      <c r="AT17" s="5">
        <v>0.28000000000000003</v>
      </c>
      <c r="AU17" s="133">
        <f t="shared" si="10"/>
        <v>0.43737372047377326</v>
      </c>
      <c r="AV17" s="133">
        <f t="shared" si="11"/>
        <v>3.0436348821310882E-2</v>
      </c>
      <c r="AW17" s="133">
        <f t="shared" si="12"/>
        <v>15.935878474534686</v>
      </c>
      <c r="AX17" s="133">
        <f t="shared" si="13"/>
        <v>2.0192228789947015</v>
      </c>
      <c r="AY17" s="133">
        <f t="shared" si="14"/>
        <v>17.598334066497465</v>
      </c>
      <c r="AZ17" s="133">
        <f t="shared" si="15"/>
        <v>1.2001734160748623</v>
      </c>
      <c r="BA17" s="133">
        <f t="shared" si="16"/>
        <v>0.17646638011844326</v>
      </c>
      <c r="BB17" s="133">
        <f t="shared" si="17"/>
        <v>0.21685429430744449</v>
      </c>
      <c r="BC17" s="6"/>
      <c r="BD17" s="8"/>
      <c r="BE17" s="133">
        <f t="shared" si="105"/>
        <v>90.637698503078781</v>
      </c>
      <c r="BF17" s="133">
        <f t="shared" si="18"/>
        <v>6.1813212447588102</v>
      </c>
      <c r="BG17" s="133">
        <f t="shared" si="19"/>
        <v>0.43763007343408294</v>
      </c>
      <c r="BH17" s="133">
        <f t="shared" si="20"/>
        <v>3.0454188137566347E-2</v>
      </c>
      <c r="BI17" s="143">
        <f t="shared" si="21"/>
        <v>7.8231030461820508</v>
      </c>
      <c r="BJ17" s="133">
        <f t="shared" si="22"/>
        <v>0.94318870249764386</v>
      </c>
      <c r="BK17" s="143">
        <f t="shared" si="23"/>
        <v>0.35479918450434483</v>
      </c>
      <c r="BL17" s="133">
        <f t="shared" si="24"/>
        <v>3.0973662614574914E-2</v>
      </c>
      <c r="BM17" s="143">
        <f t="shared" si="25"/>
        <v>15.929120547693289</v>
      </c>
      <c r="BN17" s="133">
        <f t="shared" si="26"/>
        <v>2.0192229337583592</v>
      </c>
      <c r="BO17" s="147">
        <f t="shared" si="27"/>
        <v>0.14484930904326876</v>
      </c>
      <c r="BP17" s="147">
        <f t="shared" si="28"/>
        <v>0.21686501392781241</v>
      </c>
      <c r="BR17" s="147">
        <f t="shared" si="29"/>
        <v>0.14229434435542354</v>
      </c>
      <c r="BS17" s="147">
        <f t="shared" si="30"/>
        <v>0.21692268563209807</v>
      </c>
      <c r="BT17" s="143">
        <f t="shared" si="31"/>
        <v>15.901888863747182</v>
      </c>
      <c r="BU17" s="147">
        <f t="shared" si="32"/>
        <v>0.39459530649067504</v>
      </c>
      <c r="BV17" s="143">
        <f t="shared" si="33"/>
        <v>-34.224875710845609</v>
      </c>
      <c r="BW17" s="143">
        <f t="shared" si="34"/>
        <v>64.107592353987627</v>
      </c>
      <c r="BX17" s="3">
        <v>1.6986774770655257E-12</v>
      </c>
      <c r="BY17" s="3">
        <v>9.4454002365720605E-16</v>
      </c>
      <c r="BZ17" s="157">
        <f t="shared" si="35"/>
        <v>2.4171219787036398E-13</v>
      </c>
      <c r="CA17" s="157">
        <f t="shared" si="36"/>
        <v>3.6848170485932222E-13</v>
      </c>
      <c r="CB17" s="157">
        <f t="shared" si="37"/>
        <v>1.5396421702023563E-10</v>
      </c>
      <c r="CC17" s="158">
        <f t="shared" si="38"/>
        <v>1.050042017986016E-11</v>
      </c>
      <c r="CD17" s="157">
        <f t="shared" si="39"/>
        <v>2.7012180455646441E-11</v>
      </c>
      <c r="CE17" s="477">
        <f t="shared" si="40"/>
        <v>6.7045842353762228E-13</v>
      </c>
      <c r="CF17" s="157">
        <f t="shared" si="41"/>
        <v>6.0268938359874641E-13</v>
      </c>
      <c r="CG17" s="157">
        <f t="shared" si="42"/>
        <v>5.2615330320275971E-14</v>
      </c>
      <c r="CH17" s="157">
        <f t="shared" si="43"/>
        <v>1.3288928945312155E-11</v>
      </c>
      <c r="CI17" s="157">
        <f t="shared" si="44"/>
        <v>1.6021904450617496E-12</v>
      </c>
      <c r="CJ17" s="157">
        <f t="shared" si="45"/>
        <v>1.2051497390620382E-15</v>
      </c>
      <c r="CK17" s="157">
        <f t="shared" si="46"/>
        <v>2.9912535040465891E-17</v>
      </c>
      <c r="CL17" s="157">
        <f t="shared" si="47"/>
        <v>5.9288620839600582E-16</v>
      </c>
      <c r="CM17" s="157">
        <f t="shared" si="48"/>
        <v>7.1481804291462996E-17</v>
      </c>
      <c r="CN17" s="66">
        <v>5.1340830000000002E-3</v>
      </c>
      <c r="CO17" s="66">
        <v>8.40144E-6</v>
      </c>
      <c r="CP17" s="3">
        <v>1.1139738540500025E+19</v>
      </c>
      <c r="CQ17" s="60">
        <v>1.0453256904066513E+18</v>
      </c>
      <c r="CR17" s="3">
        <v>8.0438364680336474E+17</v>
      </c>
      <c r="CS17" s="3">
        <v>8.527140119058072E+16</v>
      </c>
      <c r="CT17" s="6">
        <v>0.49881143094597263</v>
      </c>
      <c r="CU17" s="6">
        <v>4.5926073391395927E-2</v>
      </c>
      <c r="CV17" s="4">
        <v>24.581879797320056</v>
      </c>
      <c r="CW17" s="4">
        <v>0.55629982285426871</v>
      </c>
      <c r="CX17" s="157">
        <f t="shared" si="49"/>
        <v>4.3162959286303404E-10</v>
      </c>
      <c r="CY17" s="157">
        <f t="shared" si="50"/>
        <v>3.7894314946980347E-11</v>
      </c>
      <c r="CZ17" s="147">
        <f t="shared" si="51"/>
        <v>1.8545036605095342</v>
      </c>
      <c r="DA17" s="147">
        <f t="shared" si="52"/>
        <v>0.16307737816496287</v>
      </c>
      <c r="DB17" s="159">
        <f t="shared" si="53"/>
        <v>1.8545036605095342E-4</v>
      </c>
      <c r="DC17" s="167">
        <f t="shared" si="54"/>
        <v>1.6307737816496286E-5</v>
      </c>
      <c r="DD17" s="157">
        <f t="shared" si="55"/>
        <v>8.6789484100400964E-10</v>
      </c>
      <c r="DE17" s="157">
        <f t="shared" si="56"/>
        <v>3.0245458382414367E-11</v>
      </c>
      <c r="DF17" s="147">
        <f t="shared" si="57"/>
        <v>3.3812610767159512</v>
      </c>
      <c r="DG17" s="133">
        <f t="shared" si="58"/>
        <v>0.11904095315489725</v>
      </c>
      <c r="DH17" s="159">
        <f t="shared" si="59"/>
        <v>3.3812610767159512E-4</v>
      </c>
      <c r="DI17" s="167">
        <f t="shared" si="60"/>
        <v>1.1904095315489725E-5</v>
      </c>
      <c r="DJ17" s="157">
        <f t="shared" si="61"/>
        <v>2.1564094845027757E-7</v>
      </c>
      <c r="DK17" s="157">
        <f t="shared" si="62"/>
        <v>2.4788996081356416E-8</v>
      </c>
      <c r="DL17" s="143">
        <f t="shared" si="63"/>
        <v>949.76804548210157</v>
      </c>
      <c r="DM17" s="143">
        <f t="shared" si="64"/>
        <v>109.28381379319232</v>
      </c>
      <c r="DN17" s="147">
        <f t="shared" si="65"/>
        <v>9.4976804548210156E-2</v>
      </c>
      <c r="DO17" s="147">
        <f t="shared" si="66"/>
        <v>1.0928381379319231E-2</v>
      </c>
      <c r="DP17" s="133">
        <f t="shared" si="67"/>
        <v>0.49732936811066947</v>
      </c>
      <c r="DQ17" s="133">
        <f t="shared" si="68"/>
        <v>4.4876802746830959E-2</v>
      </c>
      <c r="DR17" s="133">
        <f t="shared" si="69"/>
        <v>2.0016123837563213E-3</v>
      </c>
      <c r="DS17" s="133">
        <f t="shared" si="70"/>
        <v>1.3390371024854041E-2</v>
      </c>
      <c r="DT17" s="133">
        <f t="shared" si="71"/>
        <v>0.54846508992754861</v>
      </c>
      <c r="DU17" s="133">
        <f t="shared" si="72"/>
        <v>4.9469218694608741E-2</v>
      </c>
      <c r="DV17" s="133">
        <f t="shared" si="73"/>
        <v>1.9525858648657625E-3</v>
      </c>
      <c r="DW17" s="133">
        <f t="shared" si="74"/>
        <v>1.3411354553428366E-2</v>
      </c>
      <c r="DX17" s="157">
        <f t="shared" si="75"/>
        <v>6.8313138917859606E-7</v>
      </c>
      <c r="DY17" s="157">
        <f t="shared" si="76"/>
        <v>8.5733892949383324E-8</v>
      </c>
      <c r="DZ17" s="147">
        <f t="shared" si="77"/>
        <v>-96.462667349863921</v>
      </c>
      <c r="EA17" s="147">
        <f t="shared" si="78"/>
        <v>-180.88310860756042</v>
      </c>
      <c r="EB17" s="157">
        <f t="shared" si="79"/>
        <v>1.3735995358041686E-6</v>
      </c>
      <c r="EC17" s="157">
        <f t="shared" si="80"/>
        <v>2.0486365473549032E-7</v>
      </c>
      <c r="ED17" s="143" t="str">
        <f t="shared" si="106"/>
        <v/>
      </c>
      <c r="EE17" s="143" t="str">
        <f t="shared" si="81"/>
        <v/>
      </c>
      <c r="EF17" s="143" t="str">
        <f t="shared" si="82"/>
        <v/>
      </c>
      <c r="EG17" s="143" t="str">
        <f t="shared" si="83"/>
        <v/>
      </c>
      <c r="EH17" s="147" t="str">
        <f t="shared" si="84"/>
        <v/>
      </c>
      <c r="EI17" s="147" t="str">
        <f t="shared" si="85"/>
        <v/>
      </c>
      <c r="EJ17" s="501">
        <f t="shared" si="86"/>
        <v>3.0377943454748708E-3</v>
      </c>
      <c r="EK17" s="143" t="str">
        <f t="shared" si="87"/>
        <v/>
      </c>
      <c r="EL17" s="143" t="str">
        <f t="shared" si="87"/>
        <v/>
      </c>
      <c r="EM17" s="147">
        <f t="shared" si="88"/>
        <v>2.4934173323018771</v>
      </c>
      <c r="EN17" s="147">
        <f t="shared" si="89"/>
        <v>3.8129952322135208</v>
      </c>
      <c r="EO17" s="143">
        <f t="shared" si="90"/>
        <v>54.978313309778947</v>
      </c>
      <c r="EP17" s="143">
        <f t="shared" si="91"/>
        <v>84.074191596237853</v>
      </c>
      <c r="EQ17" s="157">
        <f t="shared" si="92"/>
        <v>4.5352743330857606E-2</v>
      </c>
      <c r="ER17" s="157">
        <f t="shared" si="93"/>
        <v>6.7508505257887529E-3</v>
      </c>
      <c r="ES17" s="157">
        <f t="shared" si="94"/>
        <v>1.8188990163547466E-2</v>
      </c>
      <c r="ET17" s="157">
        <f t="shared" si="95"/>
        <v>2.7815052006700491E-2</v>
      </c>
      <c r="LQ17" s="214" t="str">
        <f t="shared" si="96"/>
        <v>B1x Bulk</v>
      </c>
      <c r="LR17" s="214" t="str">
        <f t="shared" si="97"/>
        <v>MN2022a</v>
      </c>
      <c r="LS17" s="211">
        <f t="shared" si="98"/>
        <v>1.8545036605095342</v>
      </c>
      <c r="LT17" s="211">
        <f t="shared" si="99"/>
        <v>0.16307737816496287</v>
      </c>
      <c r="LU17" s="211">
        <f t="shared" si="100"/>
        <v>3.3812610767159512</v>
      </c>
      <c r="LV17" s="211">
        <f t="shared" si="101"/>
        <v>0.11904095315489725</v>
      </c>
      <c r="LW17" s="211">
        <f t="shared" si="102"/>
        <v>949.76804548210157</v>
      </c>
      <c r="LX17" s="211">
        <f t="shared" si="103"/>
        <v>109.28381379319232</v>
      </c>
      <c r="LY17" s="211"/>
      <c r="LZ17" s="211"/>
      <c r="MA17" s="211"/>
      <c r="MB17" s="211"/>
      <c r="MC17" s="211"/>
      <c r="MD17" s="211"/>
      <c r="ME17" s="211"/>
      <c r="MF17" s="211"/>
      <c r="MG17" s="211"/>
      <c r="MH17" s="211"/>
      <c r="MI17" s="211"/>
      <c r="MJ17" s="211"/>
      <c r="MK17" s="211"/>
      <c r="ML17" s="211"/>
      <c r="MM17" s="211"/>
      <c r="MN17" s="211"/>
      <c r="MO17" s="506">
        <f t="shared" si="107"/>
        <v>0.54846508992754861</v>
      </c>
      <c r="MP17" s="506">
        <f t="shared" si="107"/>
        <v>4.9469218694608741E-2</v>
      </c>
      <c r="MQ17" s="109"/>
      <c r="MR17" s="109"/>
      <c r="MS17" s="109"/>
      <c r="MT17" s="109"/>
      <c r="MU17" s="109"/>
      <c r="MV17" s="109"/>
      <c r="MW17" s="506">
        <f t="shared" si="108"/>
        <v>0.49732936811066947</v>
      </c>
      <c r="MX17" s="506">
        <f t="shared" si="108"/>
        <v>4.4876802746830959E-2</v>
      </c>
      <c r="MY17" s="109"/>
      <c r="MZ17" s="109"/>
      <c r="NA17" s="109"/>
      <c r="NB17" s="109"/>
      <c r="NC17" s="109"/>
      <c r="ND17" s="109"/>
    </row>
    <row r="18" spans="2:368">
      <c r="B18" s="245" t="s">
        <v>932</v>
      </c>
      <c r="C18" s="5">
        <f t="shared" si="109"/>
        <v>9.1000000000000004E-3</v>
      </c>
      <c r="D18" s="66">
        <f t="shared" si="104"/>
        <v>4.5500000000000001E-5</v>
      </c>
      <c r="E18" s="67">
        <v>44727</v>
      </c>
      <c r="F18" s="5" t="s">
        <v>210</v>
      </c>
      <c r="G18" s="5" t="s">
        <v>893</v>
      </c>
      <c r="H18" s="5">
        <v>1</v>
      </c>
      <c r="J18" s="327">
        <v>44644</v>
      </c>
      <c r="K18" s="67" t="s">
        <v>823</v>
      </c>
      <c r="L18" s="5">
        <v>15</v>
      </c>
      <c r="M18" s="5">
        <v>10.31</v>
      </c>
      <c r="N18" s="5">
        <v>30</v>
      </c>
      <c r="O18" s="6">
        <v>11.29134</v>
      </c>
      <c r="P18" s="6">
        <v>9.3299000000000007E-2</v>
      </c>
      <c r="Q18" s="6">
        <v>0.38214900000000002</v>
      </c>
      <c r="R18" s="6">
        <v>6.5719999999999997E-3</v>
      </c>
      <c r="S18" s="6">
        <v>13.92459</v>
      </c>
      <c r="T18" s="6">
        <v>5.1103999999999997E-2</v>
      </c>
      <c r="U18" s="6">
        <v>14.130193</v>
      </c>
      <c r="V18" s="6">
        <v>8.6982000000000004E-2</v>
      </c>
      <c r="W18" s="6">
        <v>0.37676799999999999</v>
      </c>
      <c r="X18" s="6">
        <v>4.3610000000000003E-3</v>
      </c>
      <c r="Y18" s="6">
        <v>6.3067744999999995</v>
      </c>
      <c r="Z18" s="6">
        <v>0.93511705857555649</v>
      </c>
      <c r="AA18" s="6">
        <v>4.3458000000000004E-2</v>
      </c>
      <c r="AB18" s="6">
        <v>2.986365296923112E-2</v>
      </c>
      <c r="AC18" s="6">
        <v>2.21285175</v>
      </c>
      <c r="AD18" s="6">
        <v>2.0188658876193135</v>
      </c>
      <c r="AE18" s="6">
        <v>1.3901317499999999</v>
      </c>
      <c r="AF18" s="6">
        <v>1.1954009646957722</v>
      </c>
      <c r="AG18" s="6">
        <v>0.25606525000000002</v>
      </c>
      <c r="AH18" s="6">
        <v>0.21678044365882418</v>
      </c>
      <c r="AI18" s="133">
        <f t="shared" si="0"/>
        <v>4.9845655000000004</v>
      </c>
      <c r="AJ18" s="133">
        <f t="shared" si="1"/>
        <v>0.93975987179704623</v>
      </c>
      <c r="AK18" s="133">
        <f t="shared" si="2"/>
        <v>0.33869100000000002</v>
      </c>
      <c r="AL18" s="133">
        <f t="shared" si="3"/>
        <v>3.0578243125900264E-2</v>
      </c>
      <c r="AM18" s="133">
        <f t="shared" si="4"/>
        <v>11.71173825</v>
      </c>
      <c r="AN18" s="133">
        <f t="shared" si="5"/>
        <v>2.0195125874846434</v>
      </c>
      <c r="AO18" s="133">
        <f t="shared" si="6"/>
        <v>12.74006125</v>
      </c>
      <c r="AP18" s="133">
        <f t="shared" si="7"/>
        <v>1.1985613604315728</v>
      </c>
      <c r="AQ18" s="133">
        <f t="shared" si="8"/>
        <v>0.12070274999999997</v>
      </c>
      <c r="AR18" s="133">
        <f t="shared" si="9"/>
        <v>0.21682430461993102</v>
      </c>
      <c r="AS18" s="5">
        <v>300.7</v>
      </c>
      <c r="AT18" s="5">
        <v>0.28000000000000003</v>
      </c>
      <c r="AU18" s="133">
        <f t="shared" si="10"/>
        <v>0.3401810111675127</v>
      </c>
      <c r="AV18" s="133">
        <f t="shared" si="11"/>
        <v>3.0578539102235232E-2</v>
      </c>
      <c r="AW18" s="133">
        <f t="shared" si="12"/>
        <v>11.814785693147208</v>
      </c>
      <c r="AX18" s="133">
        <f t="shared" si="13"/>
        <v>2.0195321315514989</v>
      </c>
      <c r="AY18" s="133">
        <f t="shared" si="14"/>
        <v>12.908204190355331</v>
      </c>
      <c r="AZ18" s="133">
        <f t="shared" si="15"/>
        <v>1.1985819844023946</v>
      </c>
      <c r="BA18" s="133">
        <f t="shared" si="16"/>
        <v>0.12282679162436545</v>
      </c>
      <c r="BB18" s="133">
        <f t="shared" si="17"/>
        <v>0.21682640282467314</v>
      </c>
      <c r="BC18" s="6"/>
      <c r="BD18" s="8"/>
      <c r="BE18" s="133">
        <f t="shared" si="105"/>
        <v>66.481856475773768</v>
      </c>
      <c r="BF18" s="133">
        <f t="shared" si="18"/>
        <v>6.1731248039154707</v>
      </c>
      <c r="BG18" s="133">
        <f t="shared" si="19"/>
        <v>0.34038039765364969</v>
      </c>
      <c r="BH18" s="133">
        <f t="shared" si="20"/>
        <v>3.0596461758887559E-2</v>
      </c>
      <c r="BI18" s="143">
        <f t="shared" si="21"/>
        <v>4.9481539429187515</v>
      </c>
      <c r="BJ18" s="133">
        <f t="shared" si="22"/>
        <v>0.9397686043221416</v>
      </c>
      <c r="BK18" s="143">
        <f t="shared" si="23"/>
        <v>0.27962475887934263</v>
      </c>
      <c r="BL18" s="133">
        <f t="shared" si="24"/>
        <v>3.1112201834162176E-2</v>
      </c>
      <c r="BM18" s="143">
        <f t="shared" si="25"/>
        <v>11.809529505409609</v>
      </c>
      <c r="BN18" s="133">
        <f t="shared" si="26"/>
        <v>2.019532186819569</v>
      </c>
      <c r="BO18" s="147">
        <f t="shared" si="27"/>
        <v>9.9635982324053296E-2</v>
      </c>
      <c r="BP18" s="147">
        <f t="shared" si="28"/>
        <v>0.21683709541132254</v>
      </c>
      <c r="BR18" s="147">
        <f t="shared" si="29"/>
        <v>9.7741548737334233E-2</v>
      </c>
      <c r="BS18" s="147">
        <f t="shared" si="30"/>
        <v>0.21689477735322585</v>
      </c>
      <c r="BT18" s="143">
        <f t="shared" si="31"/>
        <v>11.790797931208601</v>
      </c>
      <c r="BU18" s="147">
        <f t="shared" si="32"/>
        <v>0.3946049338013794</v>
      </c>
      <c r="BV18" s="143">
        <f t="shared" si="33"/>
        <v>-23.934473708963516</v>
      </c>
      <c r="BW18" s="143">
        <f t="shared" si="34"/>
        <v>64.099296116554555</v>
      </c>
      <c r="BX18" s="3">
        <v>1.6986774770655257E-12</v>
      </c>
      <c r="BY18" s="3">
        <v>9.4454002365720605E-16</v>
      </c>
      <c r="BZ18" s="157">
        <f t="shared" si="35"/>
        <v>1.6603136741361203E-13</v>
      </c>
      <c r="CA18" s="157">
        <f t="shared" si="36"/>
        <v>3.6843428474975773E-13</v>
      </c>
      <c r="CB18" s="157">
        <f t="shared" si="37"/>
        <v>1.1293123222889976E-10</v>
      </c>
      <c r="CC18" s="158">
        <f t="shared" si="38"/>
        <v>1.0486336084531715E-11</v>
      </c>
      <c r="CD18" s="157">
        <f t="shared" si="39"/>
        <v>2.0028762882374847E-11</v>
      </c>
      <c r="CE18" s="477">
        <f t="shared" si="40"/>
        <v>6.7039902446082444E-13</v>
      </c>
      <c r="CF18" s="157">
        <f t="shared" si="41"/>
        <v>4.7499227993821765E-13</v>
      </c>
      <c r="CG18" s="157">
        <f t="shared" si="42"/>
        <v>5.285025647757563E-14</v>
      </c>
      <c r="CH18" s="157">
        <f t="shared" si="43"/>
        <v>8.4053176558890573E-12</v>
      </c>
      <c r="CI18" s="157">
        <f t="shared" si="44"/>
        <v>1.5963706035203972E-12</v>
      </c>
      <c r="CJ18" s="157">
        <f t="shared" si="45"/>
        <v>8.9358422586666512E-16</v>
      </c>
      <c r="CK18" s="157">
        <f t="shared" si="46"/>
        <v>2.9909884944101807E-17</v>
      </c>
      <c r="CL18" s="157">
        <f t="shared" si="47"/>
        <v>3.7500365423520651E-16</v>
      </c>
      <c r="CM18" s="157">
        <f t="shared" si="48"/>
        <v>7.1222151778781498E-17</v>
      </c>
      <c r="CN18" s="66">
        <v>5.1340830000000002E-3</v>
      </c>
      <c r="CO18" s="66">
        <v>8.40144E-6</v>
      </c>
      <c r="CP18" s="3">
        <v>1.1139738540500025E+19</v>
      </c>
      <c r="CQ18" s="60">
        <v>1.0453256904066513E+18</v>
      </c>
      <c r="CR18" s="3">
        <v>8.0438364680336474E+17</v>
      </c>
      <c r="CS18" s="3">
        <v>8.527140119058072E+16</v>
      </c>
      <c r="CT18" s="6">
        <v>0.49881143094597263</v>
      </c>
      <c r="CU18" s="6">
        <v>4.5926073391395927E-2</v>
      </c>
      <c r="CV18" s="4">
        <v>24.581879797320056</v>
      </c>
      <c r="CW18" s="4">
        <v>0.55629982285426871</v>
      </c>
      <c r="CX18" s="157">
        <f t="shared" si="49"/>
        <v>3.4017643247440076E-10</v>
      </c>
      <c r="CY18" s="157">
        <f t="shared" si="50"/>
        <v>3.7981548298712176E-11</v>
      </c>
      <c r="CZ18" s="147">
        <f t="shared" si="51"/>
        <v>1.4615736494300948</v>
      </c>
      <c r="DA18" s="147">
        <f t="shared" si="52"/>
        <v>0.16335189613447484</v>
      </c>
      <c r="DB18" s="159">
        <f t="shared" si="53"/>
        <v>1.4615736494300949E-4</v>
      </c>
      <c r="DC18" s="167">
        <f t="shared" si="54"/>
        <v>1.6335189613447483E-5</v>
      </c>
      <c r="DD18" s="157">
        <f t="shared" si="55"/>
        <v>6.4351931921408933E-10</v>
      </c>
      <c r="DE18" s="157">
        <f t="shared" si="56"/>
        <v>2.6679044994237465E-11</v>
      </c>
      <c r="DF18" s="147">
        <f t="shared" si="57"/>
        <v>2.5071088378128694</v>
      </c>
      <c r="DG18" s="133">
        <f t="shared" si="58"/>
        <v>0.10469298993726441</v>
      </c>
      <c r="DH18" s="159">
        <f t="shared" si="59"/>
        <v>2.5071088378128694E-4</v>
      </c>
      <c r="DI18" s="167">
        <f t="shared" si="60"/>
        <v>1.0469298993726441E-5</v>
      </c>
      <c r="DJ18" s="157">
        <f t="shared" si="61"/>
        <v>1.581705054512622E-7</v>
      </c>
      <c r="DK18" s="157">
        <f t="shared" si="62"/>
        <v>2.0735166810885611E-8</v>
      </c>
      <c r="DL18" s="143">
        <f t="shared" si="63"/>
        <v>696.64547895457019</v>
      </c>
      <c r="DM18" s="143">
        <f t="shared" si="64"/>
        <v>91.39230612402396</v>
      </c>
      <c r="DN18" s="147">
        <f t="shared" si="65"/>
        <v>6.9664547895457021E-2</v>
      </c>
      <c r="DO18" s="147">
        <f t="shared" si="66"/>
        <v>9.1392306124023961E-3</v>
      </c>
      <c r="DP18" s="133">
        <f t="shared" si="67"/>
        <v>0.52861883445837798</v>
      </c>
      <c r="DQ18" s="133">
        <f t="shared" si="68"/>
        <v>6.0740381604788202E-2</v>
      </c>
      <c r="DR18" s="133">
        <f t="shared" si="69"/>
        <v>2.1506944768487249E-3</v>
      </c>
      <c r="DS18" s="133">
        <f t="shared" si="70"/>
        <v>1.7425705199616916E-2</v>
      </c>
      <c r="DT18" s="133">
        <f t="shared" si="71"/>
        <v>0.58297175909807342</v>
      </c>
      <c r="DU18" s="133">
        <f t="shared" si="72"/>
        <v>6.6899255048353451E-2</v>
      </c>
      <c r="DV18" s="133">
        <f t="shared" si="73"/>
        <v>2.0980164137768091E-3</v>
      </c>
      <c r="DW18" s="133">
        <f t="shared" si="74"/>
        <v>1.7445068287174653E-2</v>
      </c>
      <c r="DX18" s="157">
        <f t="shared" si="75"/>
        <v>5.8273876640282861E-7</v>
      </c>
      <c r="DY18" s="157">
        <f t="shared" si="76"/>
        <v>1.1328215514478199E-7</v>
      </c>
      <c r="DZ18" s="147">
        <f t="shared" si="77"/>
        <v>-85.594973080660509</v>
      </c>
      <c r="EA18" s="147">
        <f t="shared" si="78"/>
        <v>-229.43101168586171</v>
      </c>
      <c r="EB18" s="157">
        <f t="shared" si="79"/>
        <v>1.1023798783104311E-6</v>
      </c>
      <c r="EC18" s="157">
        <f t="shared" si="80"/>
        <v>2.4286748035071925E-7</v>
      </c>
      <c r="ED18" s="143" t="str">
        <f t="shared" si="106"/>
        <v/>
      </c>
      <c r="EE18" s="143" t="str">
        <f t="shared" si="81"/>
        <v/>
      </c>
      <c r="EF18" s="143" t="str">
        <f t="shared" si="82"/>
        <v/>
      </c>
      <c r="EG18" s="143" t="str">
        <f t="shared" si="83"/>
        <v/>
      </c>
      <c r="EH18" s="147" t="str">
        <f t="shared" si="84"/>
        <v/>
      </c>
      <c r="EI18" s="147" t="str">
        <f t="shared" si="85"/>
        <v/>
      </c>
      <c r="EJ18" s="501">
        <f t="shared" si="86"/>
        <v>2.3941501234426852E-3</v>
      </c>
      <c r="EK18" s="143" t="str">
        <f t="shared" si="87"/>
        <v/>
      </c>
      <c r="EL18" s="143" t="str">
        <f t="shared" si="87"/>
        <v/>
      </c>
      <c r="EM18" s="147">
        <f t="shared" si="88"/>
        <v>2.8608586879546207</v>
      </c>
      <c r="EN18" s="147">
        <f t="shared" si="89"/>
        <v>6.3716383919000554</v>
      </c>
      <c r="EO18" s="143">
        <f t="shared" si="90"/>
        <v>50.624877616950535</v>
      </c>
      <c r="EP18" s="143">
        <f t="shared" si="91"/>
        <v>112.75055813400607</v>
      </c>
      <c r="EQ18" s="157">
        <f t="shared" si="92"/>
        <v>5.6510925509807658E-2</v>
      </c>
      <c r="ER18" s="157">
        <f t="shared" si="93"/>
        <v>1.2438884944105878E-2</v>
      </c>
      <c r="ES18" s="157">
        <f t="shared" si="94"/>
        <v>1.9753134171828078E-2</v>
      </c>
      <c r="ET18" s="157">
        <f t="shared" si="95"/>
        <v>4.39937241848029E-2</v>
      </c>
      <c r="LQ18" s="214" t="str">
        <f t="shared" si="96"/>
        <v>B1x Bulk</v>
      </c>
      <c r="LR18" s="214" t="str">
        <f t="shared" si="97"/>
        <v>MN2022a</v>
      </c>
      <c r="LS18" s="211">
        <f t="shared" si="98"/>
        <v>1.4615736494300948</v>
      </c>
      <c r="LT18" s="211">
        <f t="shared" si="99"/>
        <v>0.16335189613447484</v>
      </c>
      <c r="LU18" s="211">
        <f t="shared" si="100"/>
        <v>2.5071088378128694</v>
      </c>
      <c r="LV18" s="211">
        <f t="shared" si="101"/>
        <v>0.10469298993726441</v>
      </c>
      <c r="LW18" s="211">
        <f t="shared" si="102"/>
        <v>696.64547895457019</v>
      </c>
      <c r="LX18" s="211">
        <f t="shared" si="103"/>
        <v>91.39230612402396</v>
      </c>
      <c r="LY18" s="211"/>
      <c r="LZ18" s="211"/>
      <c r="MA18" s="211"/>
      <c r="MB18" s="211"/>
      <c r="MC18" s="211"/>
      <c r="MD18" s="211"/>
      <c r="ME18" s="211"/>
      <c r="MF18" s="211"/>
      <c r="MG18" s="211"/>
      <c r="MH18" s="211"/>
      <c r="MI18" s="211"/>
      <c r="MJ18" s="211"/>
      <c r="MK18" s="211"/>
      <c r="ML18" s="211"/>
      <c r="MM18" s="211"/>
      <c r="MN18" s="211"/>
      <c r="MO18" s="506">
        <f t="shared" si="107"/>
        <v>0.58297175909807342</v>
      </c>
      <c r="MP18" s="506">
        <f t="shared" si="107"/>
        <v>6.6899255048353451E-2</v>
      </c>
      <c r="MQ18" s="109"/>
      <c r="MR18" s="109"/>
      <c r="MS18" s="109"/>
      <c r="MT18" s="109"/>
      <c r="MU18" s="109"/>
      <c r="MV18" s="109"/>
      <c r="MW18" s="506">
        <f t="shared" si="108"/>
        <v>0.52861883445837798</v>
      </c>
      <c r="MX18" s="506">
        <f t="shared" si="108"/>
        <v>6.0740381604788202E-2</v>
      </c>
      <c r="MY18" s="109"/>
      <c r="MZ18" s="109"/>
      <c r="NA18" s="109"/>
      <c r="NB18" s="109"/>
      <c r="NC18" s="109"/>
      <c r="ND18" s="109"/>
    </row>
    <row r="19" spans="2:368" s="484" customFormat="1">
      <c r="B19" s="485" t="s">
        <v>932</v>
      </c>
      <c r="C19" s="117">
        <f t="shared" si="109"/>
        <v>9.1000000000000004E-3</v>
      </c>
      <c r="D19" s="486">
        <f t="shared" si="104"/>
        <v>4.5500000000000001E-5</v>
      </c>
      <c r="E19" s="487">
        <v>44727</v>
      </c>
      <c r="F19" s="117" t="s">
        <v>210</v>
      </c>
      <c r="G19" s="117" t="s">
        <v>893</v>
      </c>
      <c r="H19" s="117">
        <v>1</v>
      </c>
      <c r="I19" s="117"/>
      <c r="J19" s="488">
        <v>44644</v>
      </c>
      <c r="K19" s="487" t="s">
        <v>823</v>
      </c>
      <c r="L19" s="117"/>
      <c r="M19" s="117"/>
      <c r="N19" s="117"/>
      <c r="V19" s="118"/>
      <c r="W19" s="118"/>
      <c r="X19" s="118"/>
      <c r="Y19" s="118">
        <v>6.3067744999999995</v>
      </c>
      <c r="Z19" s="118">
        <v>0.93511705857555649</v>
      </c>
      <c r="AA19" s="118">
        <v>4.3458000000000004E-2</v>
      </c>
      <c r="AB19" s="118">
        <v>2.986365296923112E-2</v>
      </c>
      <c r="AC19" s="118">
        <v>2.21285175</v>
      </c>
      <c r="AD19" s="118">
        <v>2.0188658876193135</v>
      </c>
      <c r="AE19" s="118">
        <v>1.3901317499999999</v>
      </c>
      <c r="AF19" s="118">
        <v>1.1954009646957722</v>
      </c>
      <c r="AG19" s="118">
        <v>0.25606525000000002</v>
      </c>
      <c r="AH19" s="118">
        <v>0.21678044365882418</v>
      </c>
      <c r="AI19" s="489">
        <f>SUM(AI7:AI18)</f>
        <v>4181.9415749999998</v>
      </c>
      <c r="AJ19" s="489">
        <f>SQRT(SUMSQ(AJ7:AJ18))</f>
        <v>3.3129638828603323</v>
      </c>
      <c r="AK19" s="489">
        <f>SUM(AK7:AK18)</f>
        <v>118.64696600000001</v>
      </c>
      <c r="AL19" s="489">
        <f>SQRT(SUMSQ(AL7:AL18))</f>
        <v>0.1552187974054689</v>
      </c>
      <c r="AM19" s="489">
        <f>SUM(AM7:AM18)</f>
        <v>4704.7373880000005</v>
      </c>
      <c r="AN19" s="489">
        <f>SQRT(SUMSQ(AN7:AN18))</f>
        <v>7.1623344803274174</v>
      </c>
      <c r="AO19" s="489">
        <f>SUM(AO7:AO18)</f>
        <v>512.44504400000005</v>
      </c>
      <c r="AP19" s="489">
        <f>SQRT(SUMSQ(AP7:AP18))</f>
        <v>4.1682694694850273</v>
      </c>
      <c r="AQ19" s="489">
        <f>SUM(AQ7:AQ18)</f>
        <v>15.644485</v>
      </c>
      <c r="AR19" s="489">
        <f>SQRT(SUMSQ(AR7:AR18))</f>
        <v>0.75125968127605491</v>
      </c>
      <c r="AS19" s="117">
        <v>300.7</v>
      </c>
      <c r="AT19" s="117">
        <v>0.28000000000000003</v>
      </c>
      <c r="AU19" s="489">
        <f t="shared" si="10"/>
        <v>119.16893234788495</v>
      </c>
      <c r="AV19" s="489">
        <f t="shared" si="11"/>
        <v>0.15522202625524253</v>
      </c>
      <c r="AW19" s="489">
        <f t="shared" si="12"/>
        <v>4746.1327085035537</v>
      </c>
      <c r="AX19" s="489">
        <f t="shared" si="13"/>
        <v>7.1624626324393796</v>
      </c>
      <c r="AY19" s="489">
        <f t="shared" si="14"/>
        <v>519.20827808324884</v>
      </c>
      <c r="AZ19" s="489">
        <f t="shared" si="15"/>
        <v>4.1683433105867298</v>
      </c>
      <c r="BA19" s="489">
        <f t="shared" si="16"/>
        <v>15.919785582064298</v>
      </c>
      <c r="BB19" s="489">
        <f t="shared" si="17"/>
        <v>0.75126695740060523</v>
      </c>
      <c r="BC19" s="118"/>
      <c r="BD19" s="490"/>
      <c r="BE19" s="489">
        <f t="shared" si="105"/>
        <v>2674.1078554021533</v>
      </c>
      <c r="BF19" s="489">
        <f t="shared" si="18"/>
        <v>21.468455071638452</v>
      </c>
      <c r="BG19" s="489">
        <f t="shared" si="19"/>
        <v>119.23877949954104</v>
      </c>
      <c r="BH19" s="489">
        <f t="shared" si="20"/>
        <v>0.1553130048030453</v>
      </c>
      <c r="BI19" s="247">
        <f t="shared" si="21"/>
        <v>4166.7330228191158</v>
      </c>
      <c r="BJ19" s="489">
        <f t="shared" si="22"/>
        <v>3.3130265972854733</v>
      </c>
      <c r="BK19" s="247">
        <f t="shared" si="23"/>
        <v>116.79499800006451</v>
      </c>
      <c r="BL19" s="489">
        <f t="shared" si="24"/>
        <v>0.1565472698597585</v>
      </c>
      <c r="BM19" s="247">
        <f t="shared" si="25"/>
        <v>4744.291411487121</v>
      </c>
      <c r="BN19" s="489">
        <f t="shared" si="26"/>
        <v>7.1624630339859507</v>
      </c>
      <c r="BO19" s="168">
        <f t="shared" si="27"/>
        <v>14.986978819279381</v>
      </c>
      <c r="BP19" s="168">
        <f t="shared" si="28"/>
        <v>0.75130428173278352</v>
      </c>
      <c r="BQ19" s="117"/>
      <c r="BR19" s="168">
        <f t="shared" si="29"/>
        <v>14.225163768286134</v>
      </c>
      <c r="BS19" s="168">
        <f t="shared" si="30"/>
        <v>0.75381430810525796</v>
      </c>
      <c r="BT19" s="247">
        <f>IF(Rad_Type="Continuous", BM19-(Ar3836_Air*BO19)/(1-lambda_36Ar*(Run_Date-Rad_Date)),Ar38_IC-(Ar3836_Air*Ar36_IC)/Ar36_DecayFactor)</f>
        <v>4741.4738580365092</v>
      </c>
      <c r="BU19" s="168">
        <f t="shared" si="32"/>
        <v>4.8490471616317192</v>
      </c>
      <c r="BV19" s="247">
        <f t="shared" si="33"/>
        <v>-36.80287070943632</v>
      </c>
      <c r="BW19" s="247">
        <f t="shared" si="34"/>
        <v>222.7767642593289</v>
      </c>
      <c r="BX19" s="491">
        <v>1.6986774770655257E-12</v>
      </c>
      <c r="BY19" s="491">
        <v>9.4454002365720605E-16</v>
      </c>
      <c r="BZ19" s="482">
        <f t="shared" si="35"/>
        <v>2.4163965300756216E-11</v>
      </c>
      <c r="CA19" s="482">
        <f t="shared" si="36"/>
        <v>1.2805578787748954E-12</v>
      </c>
      <c r="CB19" s="482">
        <f t="shared" si="37"/>
        <v>4.5424467852156334E-9</v>
      </c>
      <c r="CC19" s="492">
        <f t="shared" si="38"/>
        <v>3.6555345991479163E-11</v>
      </c>
      <c r="CD19" s="482">
        <f t="shared" si="39"/>
        <v>8.0542348507416023E-9</v>
      </c>
      <c r="CE19" s="497">
        <f t="shared" si="40"/>
        <v>9.3757504683166498E-12</v>
      </c>
      <c r="CF19" s="482">
        <f t="shared" si="41"/>
        <v>1.983970325366227E-10</v>
      </c>
      <c r="CG19" s="482">
        <f t="shared" si="42"/>
        <v>2.8789785470624847E-13</v>
      </c>
      <c r="CH19" s="482">
        <f t="shared" si="43"/>
        <v>7.0779355388079873E-9</v>
      </c>
      <c r="CI19" s="482">
        <f t="shared" si="44"/>
        <v>6.8673891777925131E-12</v>
      </c>
      <c r="CJ19" s="482">
        <f t="shared" si="45"/>
        <v>3.5934007788277695E-13</v>
      </c>
      <c r="CK19" s="482">
        <f t="shared" si="46"/>
        <v>4.1829961307477518E-16</v>
      </c>
      <c r="CL19" s="482">
        <f t="shared" si="47"/>
        <v>3.1578243680470177E-13</v>
      </c>
      <c r="CM19" s="482">
        <f t="shared" si="48"/>
        <v>3.0638895545474363E-16</v>
      </c>
      <c r="CN19" s="486">
        <v>5.1340830000000002E-3</v>
      </c>
      <c r="CO19" s="486">
        <v>8.40144E-6</v>
      </c>
      <c r="CP19" s="491">
        <v>1.1139738540500025E+19</v>
      </c>
      <c r="CQ19" s="493">
        <v>1.0453256904066513E+18</v>
      </c>
      <c r="CR19" s="491">
        <v>8.0438364680336474E+17</v>
      </c>
      <c r="CS19" s="491">
        <v>8.527140119058072E+16</v>
      </c>
      <c r="CT19" s="118">
        <v>0.49881143094597263</v>
      </c>
      <c r="CU19" s="118">
        <v>4.5926073391395927E-2</v>
      </c>
      <c r="CV19" s="267">
        <v>24.581879797320056</v>
      </c>
      <c r="CW19" s="267">
        <v>0.55629982285426871</v>
      </c>
      <c r="CX19" s="482">
        <f t="shared" si="49"/>
        <v>1.4208650875461462E-7</v>
      </c>
      <c r="CY19" s="482">
        <f t="shared" si="50"/>
        <v>1.3357120871785741E-9</v>
      </c>
      <c r="CZ19" s="168">
        <f t="shared" si="51"/>
        <v>610.4770269495109</v>
      </c>
      <c r="DA19" s="168">
        <f t="shared" si="52"/>
        <v>6.500163962788533</v>
      </c>
      <c r="DB19" s="494">
        <f t="shared" si="53"/>
        <v>6.1047702694951092E-2</v>
      </c>
      <c r="DC19" s="495">
        <f t="shared" si="54"/>
        <v>6.5001639627885327E-4</v>
      </c>
      <c r="DD19" s="482">
        <f t="shared" si="55"/>
        <v>2.5878062256659286E-7</v>
      </c>
      <c r="DE19" s="482">
        <f t="shared" si="56"/>
        <v>6.3375433906219021E-9</v>
      </c>
      <c r="DF19" s="168">
        <f t="shared" si="57"/>
        <v>1008.1922430608149</v>
      </c>
      <c r="DG19" s="489">
        <f t="shared" si="58"/>
        <v>25.199991636923063</v>
      </c>
      <c r="DH19" s="494">
        <f t="shared" si="59"/>
        <v>0.10081922430608149</v>
      </c>
      <c r="DI19" s="495">
        <f t="shared" si="60"/>
        <v>2.5199991636923064E-3</v>
      </c>
      <c r="DJ19" s="482">
        <f t="shared" si="61"/>
        <v>6.3621116127266897E-6</v>
      </c>
      <c r="DK19" s="482">
        <f t="shared" si="62"/>
        <v>5.9096143772937426E-7</v>
      </c>
      <c r="DL19" s="247">
        <f t="shared" si="63"/>
        <v>28021.256421767659</v>
      </c>
      <c r="DM19" s="247">
        <f t="shared" si="64"/>
        <v>2606.5975856438918</v>
      </c>
      <c r="DN19" s="168">
        <f t="shared" si="65"/>
        <v>2.8021256421767657</v>
      </c>
      <c r="DO19" s="168">
        <f t="shared" si="66"/>
        <v>0.26065975856438917</v>
      </c>
      <c r="DP19" s="489">
        <f t="shared" si="67"/>
        <v>0.54906162349173204</v>
      </c>
      <c r="DQ19" s="489">
        <f t="shared" si="68"/>
        <v>5.7613226817209099E-3</v>
      </c>
      <c r="DR19" s="489">
        <f t="shared" si="69"/>
        <v>2.233323107227269E-2</v>
      </c>
      <c r="DS19" s="489">
        <f t="shared" si="70"/>
        <v>8.838058797258656E-3</v>
      </c>
      <c r="DT19" s="489">
        <f t="shared" si="71"/>
        <v>0.60551648869677577</v>
      </c>
      <c r="DU19" s="489">
        <f t="shared" si="72"/>
        <v>7.0721069962468184E-3</v>
      </c>
      <c r="DV19" s="489">
        <f t="shared" si="73"/>
        <v>2.1786211787251483E-2</v>
      </c>
      <c r="DW19" s="489">
        <f t="shared" si="74"/>
        <v>8.8850934484911055E-3</v>
      </c>
      <c r="DX19" s="482">
        <f t="shared" si="75"/>
        <v>1.220270797993928E-6</v>
      </c>
      <c r="DY19" s="482">
        <f t="shared" si="76"/>
        <v>2.9907904155813294E-8</v>
      </c>
      <c r="DZ19" s="147">
        <f t="shared" si="77"/>
        <v>-0.31510656568884904</v>
      </c>
      <c r="EA19" s="168">
        <f t="shared" si="78"/>
        <v>-1.9074170429852764</v>
      </c>
      <c r="EB19" s="482">
        <f t="shared" si="79"/>
        <v>2.2224660143494863E-6</v>
      </c>
      <c r="EC19" s="482">
        <f t="shared" si="80"/>
        <v>2.1003712344147903E-8</v>
      </c>
      <c r="ED19" s="489" t="str">
        <f>IF(Ar40Ar39&gt;0,(1/lambda/10^6)*LN(1+(J*Ar40Ar39)),"")</f>
        <v/>
      </c>
      <c r="EE19" s="489" t="str">
        <f t="shared" si="81"/>
        <v/>
      </c>
      <c r="EF19" s="489" t="str">
        <f t="shared" si="82"/>
        <v/>
      </c>
      <c r="EG19" s="489" t="str">
        <f>IF(Ar40Ar39&gt;0,(1/lambda/10^6)*LN(1+(J*Ar40Ar39)),"")</f>
        <v/>
      </c>
      <c r="EH19" s="489" t="str">
        <f t="shared" si="84"/>
        <v/>
      </c>
      <c r="EI19" s="147" t="str">
        <f t="shared" si="85"/>
        <v/>
      </c>
      <c r="EJ19" s="503">
        <f>SUM(EJ7:EJ18)</f>
        <v>1</v>
      </c>
      <c r="EK19" s="489" t="str">
        <f>EG19</f>
        <v/>
      </c>
      <c r="EL19" s="489" t="str">
        <f t="shared" si="87"/>
        <v/>
      </c>
      <c r="EM19" s="168">
        <f t="shared" si="88"/>
        <v>8.2104501503490344</v>
      </c>
      <c r="EN19" s="168">
        <f t="shared" si="89"/>
        <v>0.43513393312483634</v>
      </c>
      <c r="EO19" s="247">
        <f t="shared" si="90"/>
        <v>292.91283325036397</v>
      </c>
      <c r="EP19" s="247">
        <f t="shared" si="91"/>
        <v>15.523669331279226</v>
      </c>
      <c r="EQ19" s="482">
        <f t="shared" si="92"/>
        <v>2.8030353123283069E-2</v>
      </c>
      <c r="ER19" s="482">
        <f t="shared" si="93"/>
        <v>4.3683927795133488E-5</v>
      </c>
      <c r="ES19" s="482">
        <f t="shared" si="94"/>
        <v>3.4139849350515177E-3</v>
      </c>
      <c r="ET19" s="482">
        <f t="shared" si="95"/>
        <v>1.8093291661417055E-4</v>
      </c>
      <c r="EU19" s="117"/>
      <c r="EV19" s="117"/>
      <c r="EW19" s="117"/>
      <c r="EX19" s="117"/>
      <c r="EY19" s="117"/>
      <c r="EZ19" s="117"/>
      <c r="FA19" s="117"/>
      <c r="FB19" s="117"/>
      <c r="FC19" s="117"/>
      <c r="FD19" s="117"/>
      <c r="FE19" s="117"/>
      <c r="FF19" s="117"/>
      <c r="FG19" s="117"/>
      <c r="FH19" s="117"/>
      <c r="FI19" s="117"/>
      <c r="FJ19" s="117"/>
      <c r="FK19" s="161"/>
      <c r="FL19" s="161"/>
      <c r="FM19" s="161"/>
      <c r="FN19" s="161"/>
      <c r="FO19" s="161"/>
      <c r="FP19" s="161"/>
      <c r="FQ19" s="161"/>
      <c r="FR19" s="161"/>
      <c r="FS19" s="161"/>
      <c r="FT19" s="161"/>
      <c r="FU19" s="161"/>
      <c r="FV19" s="161"/>
      <c r="FW19" s="161"/>
      <c r="FX19" s="161"/>
      <c r="FY19" s="161"/>
      <c r="FZ19" s="161"/>
      <c r="GA19" s="117"/>
      <c r="GB19" s="117"/>
      <c r="GC19" s="117"/>
      <c r="GD19" s="117"/>
      <c r="GE19" s="161"/>
      <c r="GF19" s="161"/>
      <c r="GG19" s="161"/>
      <c r="GH19" s="161"/>
      <c r="GI19" s="161"/>
      <c r="GJ19" s="161"/>
      <c r="GK19" s="161"/>
      <c r="GL19" s="161"/>
      <c r="GM19" s="161"/>
      <c r="GN19" s="161"/>
      <c r="GO19" s="161"/>
      <c r="GP19" s="161"/>
      <c r="GQ19" s="161"/>
      <c r="GR19" s="161"/>
      <c r="GS19" s="161"/>
      <c r="GT19" s="161"/>
      <c r="GU19" s="117"/>
      <c r="GV19" s="117"/>
      <c r="GW19" s="161"/>
      <c r="GX19" s="161"/>
      <c r="GY19" s="161"/>
      <c r="GZ19" s="161"/>
      <c r="HA19" s="161"/>
      <c r="HB19" s="161"/>
      <c r="HC19" s="117"/>
      <c r="HD19" s="117"/>
      <c r="HE19" s="161"/>
      <c r="HF19" s="161"/>
      <c r="HG19" s="161"/>
      <c r="HH19" s="161"/>
      <c r="HI19" s="161"/>
      <c r="HJ19" s="161"/>
      <c r="HK19" s="117"/>
      <c r="HL19" s="117"/>
      <c r="HM19" s="117"/>
      <c r="HN19" s="117"/>
      <c r="HO19" s="117"/>
      <c r="HP19" s="117"/>
      <c r="HQ19" s="117"/>
      <c r="HR19" s="117"/>
      <c r="HS19" s="117"/>
      <c r="HT19" s="117"/>
      <c r="HU19" s="117"/>
      <c r="HV19" s="117"/>
      <c r="HW19" s="117"/>
      <c r="HX19" s="117"/>
      <c r="HY19" s="117"/>
      <c r="HZ19" s="117"/>
      <c r="IA19" s="117"/>
      <c r="IB19" s="117"/>
      <c r="IC19" s="117"/>
      <c r="ID19" s="117"/>
      <c r="IE19" s="117"/>
      <c r="IF19" s="117"/>
      <c r="IG19" s="117"/>
      <c r="IH19" s="117"/>
      <c r="II19" s="117"/>
      <c r="IJ19" s="117"/>
      <c r="IK19" s="117"/>
      <c r="IL19" s="117"/>
      <c r="IM19" s="117"/>
      <c r="IN19" s="117"/>
      <c r="IO19" s="117"/>
      <c r="IP19" s="117"/>
      <c r="IQ19" s="117"/>
      <c r="IR19" s="117"/>
      <c r="IS19" s="117"/>
      <c r="IT19" s="117"/>
      <c r="IU19" s="161"/>
      <c r="IV19" s="161"/>
      <c r="IW19" s="161"/>
      <c r="IX19" s="161"/>
      <c r="IY19" s="161"/>
      <c r="IZ19" s="161"/>
      <c r="JA19" s="161"/>
      <c r="JB19" s="161"/>
      <c r="JC19" s="161"/>
      <c r="JD19" s="161"/>
      <c r="JE19" s="161"/>
      <c r="JF19" s="161"/>
      <c r="JG19" s="161"/>
      <c r="JH19" s="161"/>
      <c r="JI19" s="161"/>
      <c r="JJ19" s="161"/>
      <c r="JK19" s="161"/>
      <c r="JL19" s="161"/>
      <c r="JM19" s="161"/>
      <c r="JN19" s="161"/>
      <c r="JO19" s="161"/>
      <c r="JP19" s="161"/>
      <c r="JQ19" s="161"/>
      <c r="JR19" s="161"/>
      <c r="JS19" s="161"/>
      <c r="JT19" s="161"/>
      <c r="JU19" s="117"/>
      <c r="JV19" s="117"/>
      <c r="JW19" s="117"/>
      <c r="JX19" s="117"/>
      <c r="JY19" s="161"/>
      <c r="JZ19" s="161"/>
      <c r="KA19" s="161"/>
      <c r="KB19" s="161"/>
      <c r="KC19" s="117"/>
      <c r="KD19" s="117"/>
      <c r="KE19" s="161"/>
      <c r="KF19" s="161"/>
      <c r="KG19" s="161"/>
      <c r="KH19" s="161"/>
      <c r="KI19" s="161"/>
      <c r="KJ19" s="161"/>
      <c r="KK19" s="161"/>
      <c r="KL19" s="161"/>
      <c r="KM19" s="161"/>
      <c r="KN19" s="161"/>
      <c r="KO19" s="161"/>
      <c r="KP19" s="161"/>
      <c r="KQ19" s="161"/>
      <c r="KR19" s="161"/>
      <c r="KS19" s="161"/>
      <c r="KT19" s="161"/>
      <c r="KU19" s="117"/>
      <c r="KV19" s="117"/>
      <c r="KW19" s="161"/>
      <c r="KX19" s="161"/>
      <c r="KY19" s="161"/>
      <c r="KZ19" s="161"/>
      <c r="LA19" s="161"/>
      <c r="LB19" s="161"/>
      <c r="LC19" s="161"/>
      <c r="LD19" s="161"/>
      <c r="LE19" s="161"/>
      <c r="LF19" s="161"/>
      <c r="LG19" s="161"/>
      <c r="LH19" s="161"/>
      <c r="LI19" s="161"/>
      <c r="LJ19" s="161"/>
      <c r="LK19" s="161"/>
      <c r="LL19" s="161"/>
      <c r="LM19" s="161"/>
      <c r="LN19" s="161"/>
      <c r="LQ19" s="214" t="str">
        <f t="shared" si="96"/>
        <v>B1x Bulk</v>
      </c>
      <c r="LR19" s="214" t="str">
        <f t="shared" si="97"/>
        <v>MN2022a</v>
      </c>
      <c r="LS19" s="211">
        <f t="shared" si="98"/>
        <v>610.4770269495109</v>
      </c>
      <c r="LT19" s="211">
        <f t="shared" si="99"/>
        <v>6.500163962788533</v>
      </c>
      <c r="LU19" s="211">
        <f t="shared" si="100"/>
        <v>1008.1922430608149</v>
      </c>
      <c r="LV19" s="211">
        <f t="shared" si="101"/>
        <v>25.199991636923063</v>
      </c>
      <c r="LW19" s="211">
        <f t="shared" si="102"/>
        <v>28021.256421767659</v>
      </c>
      <c r="LX19" s="211">
        <f t="shared" si="103"/>
        <v>2606.5975856438918</v>
      </c>
      <c r="LY19" s="211"/>
      <c r="LZ19" s="211"/>
      <c r="MA19" s="211"/>
      <c r="MB19" s="211"/>
      <c r="MC19" s="211"/>
      <c r="MD19" s="211"/>
      <c r="ME19" s="211"/>
      <c r="MF19" s="211"/>
      <c r="MG19" s="211"/>
      <c r="MH19" s="211"/>
      <c r="MI19" s="211"/>
      <c r="MJ19" s="211"/>
      <c r="MK19" s="211"/>
      <c r="ML19" s="211"/>
      <c r="MM19" s="211"/>
      <c r="MN19" s="211"/>
      <c r="MO19" s="506">
        <f t="shared" si="107"/>
        <v>0.60551648869677577</v>
      </c>
      <c r="MP19" s="506">
        <f t="shared" si="107"/>
        <v>7.0721069962468184E-3</v>
      </c>
      <c r="MQ19" s="109"/>
      <c r="MR19" s="109"/>
      <c r="MS19" s="109"/>
      <c r="MT19" s="109"/>
      <c r="MU19" s="109"/>
      <c r="MV19" s="109"/>
      <c r="MW19" s="506">
        <f t="shared" si="108"/>
        <v>0.54906162349173204</v>
      </c>
      <c r="MX19" s="506">
        <f t="shared" si="108"/>
        <v>5.7613226817209099E-3</v>
      </c>
      <c r="MY19" s="109"/>
      <c r="MZ19" s="109"/>
      <c r="NA19" s="109"/>
      <c r="NB19" s="109"/>
      <c r="NC19" s="109"/>
      <c r="ND19" s="109"/>
    </row>
    <row r="20" spans="2:368">
      <c r="D20" s="66"/>
      <c r="J20" s="327"/>
      <c r="O20" s="6"/>
      <c r="P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133"/>
      <c r="AJ20" s="133"/>
      <c r="AK20" s="133"/>
      <c r="AL20" s="133"/>
      <c r="AM20" s="133"/>
      <c r="AN20" s="133"/>
      <c r="AO20" s="133"/>
      <c r="AP20" s="133"/>
      <c r="AQ20" s="133"/>
      <c r="AR20" s="133"/>
      <c r="AU20" s="133"/>
      <c r="AV20" s="133"/>
      <c r="AW20" s="133"/>
      <c r="AX20" s="133"/>
      <c r="AY20" s="133"/>
      <c r="AZ20" s="133"/>
      <c r="BA20" s="133"/>
      <c r="BB20" s="133"/>
      <c r="BC20" s="6"/>
      <c r="BD20" s="8"/>
      <c r="BE20" s="133"/>
      <c r="BF20" s="133"/>
      <c r="BG20" s="133"/>
      <c r="BH20" s="133"/>
      <c r="BI20" s="143"/>
      <c r="BJ20" s="133"/>
      <c r="BK20" s="143"/>
      <c r="BL20" s="133"/>
      <c r="BM20" s="143"/>
      <c r="BN20" s="133"/>
      <c r="BO20" s="147"/>
      <c r="BP20" s="147"/>
      <c r="BR20" s="147"/>
      <c r="BS20" s="147"/>
      <c r="BT20" s="143"/>
      <c r="BU20" s="147"/>
      <c r="BV20" s="476"/>
      <c r="BW20" s="143"/>
      <c r="BX20" s="3"/>
      <c r="BY20" s="3"/>
      <c r="BZ20" s="157"/>
      <c r="CA20" s="157"/>
      <c r="CB20" s="157"/>
      <c r="CC20" s="158"/>
      <c r="CD20" s="157"/>
      <c r="CE20" s="477"/>
      <c r="CF20" s="157"/>
      <c r="CG20" s="157"/>
      <c r="CH20" s="157"/>
      <c r="CI20" s="157"/>
      <c r="CJ20" s="157"/>
      <c r="CK20" s="157"/>
      <c r="CL20" s="157"/>
      <c r="CM20" s="157"/>
      <c r="CP20" s="3"/>
      <c r="CQ20" s="60"/>
      <c r="CR20" s="3"/>
      <c r="CS20" s="3"/>
      <c r="CT20" s="6"/>
      <c r="CU20" s="6"/>
      <c r="CV20" s="4"/>
      <c r="CW20" s="4"/>
      <c r="CX20" s="157"/>
      <c r="CY20" s="157"/>
      <c r="CZ20" s="143"/>
      <c r="DA20" s="143"/>
      <c r="DB20" s="159"/>
      <c r="DC20" s="167"/>
      <c r="DD20" s="157"/>
      <c r="DE20" s="157"/>
      <c r="DF20" s="147"/>
      <c r="DG20" s="133"/>
      <c r="DH20" s="159"/>
      <c r="DI20" s="167"/>
      <c r="DJ20" s="157"/>
      <c r="DK20" s="157"/>
      <c r="DL20" s="143"/>
      <c r="DM20" s="143"/>
      <c r="DN20" s="147"/>
      <c r="DO20" s="147"/>
      <c r="DP20" s="133"/>
      <c r="DQ20" s="133"/>
      <c r="DR20" s="133"/>
      <c r="DS20" s="133"/>
      <c r="DT20" s="133"/>
      <c r="DU20" s="133"/>
      <c r="DV20" s="133"/>
      <c r="DW20" s="133"/>
      <c r="DX20" s="157"/>
      <c r="DY20" s="157"/>
      <c r="DZ20" s="147"/>
      <c r="EA20" s="147"/>
      <c r="EB20" s="157"/>
      <c r="EC20" s="157"/>
      <c r="ED20" s="143"/>
      <c r="EE20" s="143"/>
      <c r="EF20" s="143"/>
      <c r="EG20" s="143"/>
      <c r="EH20" s="147"/>
      <c r="EI20" s="147"/>
      <c r="EJ20" s="501"/>
      <c r="EK20" s="143"/>
      <c r="EL20" s="143"/>
      <c r="EM20" s="147"/>
      <c r="EN20" s="147"/>
      <c r="EO20" s="143"/>
      <c r="EP20" s="143"/>
      <c r="EQ20" s="157"/>
      <c r="ER20" s="157"/>
      <c r="ES20" s="157"/>
      <c r="ET20" s="157"/>
      <c r="LQ20" s="214"/>
      <c r="LR20" s="214"/>
      <c r="LS20" s="211"/>
      <c r="LT20" s="211"/>
      <c r="LU20" s="211"/>
      <c r="LV20" s="211"/>
      <c r="LW20" s="211"/>
      <c r="LX20" s="211"/>
      <c r="LY20" s="211"/>
      <c r="LZ20" s="211"/>
      <c r="MA20" s="211"/>
      <c r="MB20" s="211"/>
      <c r="MC20" s="211"/>
      <c r="MD20" s="211"/>
      <c r="ME20" s="211"/>
      <c r="MF20" s="211"/>
      <c r="MG20" s="211"/>
      <c r="MH20" s="211"/>
      <c r="MI20" s="211"/>
      <c r="MJ20" s="211"/>
      <c r="MK20" s="211"/>
      <c r="ML20" s="211"/>
      <c r="MM20" s="211"/>
      <c r="MN20" s="211"/>
      <c r="MO20" s="506"/>
      <c r="MP20" s="506"/>
      <c r="MQ20" s="109"/>
      <c r="MR20" s="109"/>
      <c r="MS20" s="109"/>
      <c r="MT20" s="109"/>
      <c r="MU20" s="109"/>
      <c r="MV20" s="109"/>
      <c r="MW20" s="506"/>
      <c r="MX20" s="506"/>
      <c r="MY20" s="109"/>
      <c r="MZ20" s="109"/>
      <c r="NA20" s="109"/>
      <c r="NB20" s="109"/>
      <c r="NC20" s="109"/>
      <c r="ND20" s="109"/>
    </row>
    <row r="21" spans="2:368">
      <c r="B21" s="245" t="s">
        <v>935</v>
      </c>
      <c r="C21" s="5">
        <f>9/1000</f>
        <v>8.9999999999999993E-3</v>
      </c>
      <c r="D21" s="66">
        <f>C21*0.5%</f>
        <v>4.4999999999999996E-5</v>
      </c>
      <c r="E21" s="67">
        <v>44727</v>
      </c>
      <c r="F21" s="5" t="s">
        <v>210</v>
      </c>
      <c r="G21" s="5" t="s">
        <v>893</v>
      </c>
      <c r="H21" s="5">
        <v>1</v>
      </c>
      <c r="J21" s="327">
        <v>44644</v>
      </c>
      <c r="K21" s="67" t="s">
        <v>823</v>
      </c>
      <c r="L21" s="5">
        <v>0.5</v>
      </c>
      <c r="M21" s="5">
        <v>0.31</v>
      </c>
      <c r="N21" s="5">
        <v>30</v>
      </c>
      <c r="O21" s="6">
        <v>1079.4845499999999</v>
      </c>
      <c r="P21" s="6">
        <v>0.24113699999999999</v>
      </c>
      <c r="Q21" s="6">
        <v>0.11677700000000001</v>
      </c>
      <c r="R21" s="6">
        <v>3.761E-3</v>
      </c>
      <c r="S21" s="6">
        <v>114.795404</v>
      </c>
      <c r="T21" s="6">
        <v>7.2227E-2</v>
      </c>
      <c r="U21" s="6">
        <v>1.442912</v>
      </c>
      <c r="V21" s="6">
        <v>7.6738000000000001E-2</v>
      </c>
      <c r="W21" s="6">
        <v>3.7037200000000001</v>
      </c>
      <c r="X21" s="6">
        <v>1.0727E-2</v>
      </c>
      <c r="Y21" s="6">
        <v>6.3067744999999995</v>
      </c>
      <c r="Z21" s="6">
        <v>0.93511705857555649</v>
      </c>
      <c r="AA21" s="6">
        <v>4.3458000000000004E-2</v>
      </c>
      <c r="AB21" s="6">
        <v>2.986365296923112E-2</v>
      </c>
      <c r="AC21" s="6">
        <v>2.21285175</v>
      </c>
      <c r="AD21" s="6">
        <v>2.0188658876193135</v>
      </c>
      <c r="AE21" s="6">
        <v>1.3901317499999999</v>
      </c>
      <c r="AF21" s="6">
        <v>1.1954009646957722</v>
      </c>
      <c r="AG21" s="6">
        <v>0.25606525000000002</v>
      </c>
      <c r="AH21" s="6">
        <v>0.21678044365882418</v>
      </c>
      <c r="AI21" s="133">
        <f t="shared" ref="AI21:AI32" si="110">Ar40Raw-Ar40Blank</f>
        <v>1073.1777754999998</v>
      </c>
      <c r="AJ21" s="133">
        <f t="shared" ref="AJ21:AJ32" si="111">SQRT(Ar40Blankerr^2+Ar40Rawerr^2)</f>
        <v>0.96570749505634512</v>
      </c>
      <c r="AK21" s="133">
        <f t="shared" ref="AK21:AK32" si="112">Ar39Raw-Ar39Blank</f>
        <v>7.3318999999999995E-2</v>
      </c>
      <c r="AL21" s="133">
        <f t="shared" ref="AL21:AL32" si="113">SQRT(Ar39Blankerr^2+Ar39Rawerr^2)</f>
        <v>3.0099549658868099E-2</v>
      </c>
      <c r="AM21" s="133">
        <f t="shared" ref="AM21:AM32" si="114">Ar38Raw-Ar38Blank</f>
        <v>112.58255225000001</v>
      </c>
      <c r="AN21" s="133">
        <f t="shared" ref="AN21:AN32" si="115">SQRT(Ar38Blankerr^2+Ar38Rawerr^2)</f>
        <v>2.0201574720110109</v>
      </c>
      <c r="AO21" s="133">
        <f t="shared" ref="AO21:AO32" si="116">Ar37Raw-Ar37Blank</f>
        <v>5.2780250000000084E-2</v>
      </c>
      <c r="AP21" s="133">
        <f t="shared" ref="AP21:AP32" si="117">SQRT(Ar37Blankerr^2+Ar37Rawerr^2)</f>
        <v>1.1978615057841966</v>
      </c>
      <c r="AQ21" s="133">
        <f t="shared" ref="AQ21:AQ32" si="118">Ar36Raw-Ar36Blank</f>
        <v>3.4476547499999999</v>
      </c>
      <c r="AR21" s="133">
        <f t="shared" ref="AR21:AR32" si="119">SQRT(Ar36Blankerr^2+Ar36Rawerr^2)</f>
        <v>0.21704568478068537</v>
      </c>
      <c r="AS21" s="5">
        <v>300.7</v>
      </c>
      <c r="AT21" s="5">
        <v>0.28000000000000003</v>
      </c>
      <c r="AU21" s="133">
        <f t="shared" ref="AU21:AU33" si="120">Ar39BC*(1+(Ar4036_Aircal/Ar4036_Air-1)/4)</f>
        <v>7.3641553976311336E-2</v>
      </c>
      <c r="AV21" s="133">
        <f t="shared" ref="AV21:AV33" si="121">SQRT(Ar39BCerr^2+(Ar39BC*(Ar4036_Aircal/Ar4036_Air-1)/4)^2*((Ar4036_Aircalerr/Ar4036_Aircal)^2+(Ar39BCerr/Ar39BC)^2+(Ar4036_airerr/Ar4036_Air)^2))</f>
        <v>3.0099840934870357E-2</v>
      </c>
      <c r="AW21" s="133">
        <f t="shared" ref="AW21:AW33" si="122">Ar38BC*(1+2*(Ar4036_Aircal/Ar4036_Air-1)/4)</f>
        <v>113.5731263137902</v>
      </c>
      <c r="AX21" s="133">
        <f t="shared" ref="AX21:AX33" si="123">SQRT(Ar38BCerr^2+(Ar38BC*(Ar4036_Aircal/Ar4036_Air-1)/4)^2*((Ar4036_Aircalerr/Ar4036_Aircal)^2+(Ar38BCerr/Ar38BC)^2+(Ar4036_airerr/Ar4036_Air)^2))</f>
        <v>2.0201771404879993</v>
      </c>
      <c r="AY21" s="133">
        <f t="shared" ref="AY21:AY33" si="124">Ar37BC*(1+3*(Ar4036_Aircal/Ar4036_Air-1)/4)</f>
        <v>5.3476842131979785E-2</v>
      </c>
      <c r="AZ21" s="133">
        <f t="shared" ref="AZ21:AZ33" si="125">SQRT(Ar37BCerr^2+(Ar37BC*(Ar4036_Aircal/Ar4036_Air-1)/3)^2*((Ar4036_Aircalerr/Ar4036_Aircal)^2+(Ar37BCerr/Ar37BC)^2+(Ar4036_airerr/Ar4036_Air)^2))</f>
        <v>1.1978821131313095</v>
      </c>
      <c r="BA21" s="133">
        <f t="shared" ref="BA21:BA33" si="126">Ar36BC*(1+4*(Ar4036_Aircal/Ar4036_Air-1)/4)</f>
        <v>3.5083241398477156</v>
      </c>
      <c r="BB21" s="133">
        <f t="shared" ref="BB21:BB33" si="127">SQRT(Ar36BCerr^2+(Ar36BC*(Ar4036_Aircal/Ar4036_Air-1)/4)^2*((Ar4036_Aircalerr/Ar4036_Aircal)^2+(Ar36BCerr/Ar36BC)^2+(Ar4036_airerr/Ar4036_Air)^2))</f>
        <v>0.21704778616916925</v>
      </c>
      <c r="BC21" s="6"/>
      <c r="BD21" s="8"/>
      <c r="BE21" s="133">
        <f t="shared" ref="BE21:BE33" si="128">IF(Rad_Type="Continuous", Ar37_DC*EXP(lambda_37Ar*(Run_Date-Rad_Date)),Ar37_DC*Ar37_DecayFactor)</f>
        <v>0.27542481440232197</v>
      </c>
      <c r="BF21" s="133">
        <f t="shared" ref="BF21:BF33" si="129">IF(Rad_Type="Continuous", (Ar37_DCerr*EXP(lambda_37Ar*(Run_Date-Rad_Date))), Ar37_DCerr*Ar37_DecayFactor)</f>
        <v>6.1695202171960757</v>
      </c>
      <c r="BG21" s="133">
        <f t="shared" ref="BG21:BG33" si="130">IF(Rad_Type="Continuous", Ar39_DC*EXP(lambda_39Ar*(Run_Date-Rad_Date)), Ar39_DC*Ar39_DecayFactor)</f>
        <v>7.3684716675577272E-2</v>
      </c>
      <c r="BH21" s="133">
        <f t="shared" ref="BH21:BH33" si="131">IF(Rad_Type="Continuous", (Ar39_DCerr*EXP(lambda_39Ar*(Run_Date-Rad_Date))), Ar39_DCerr*Ar39_DecayFactor)</f>
        <v>3.0117483017527143E-2</v>
      </c>
      <c r="BI21" s="143">
        <f t="shared" ref="BI21:BI33" si="132">Ar40BC-(Salt_40Ar39Ar_K*Ar39_IC)</f>
        <v>1073.1682133624433</v>
      </c>
      <c r="BJ21" s="133">
        <f t="shared" ref="BJ21:BJ33" si="133">SQRT(Ar40BCerr^2+(Ar39_ICerr*Salt_40Ar39Ar_K)^2)</f>
        <v>0.96571573732182192</v>
      </c>
      <c r="BK21" s="143">
        <f t="shared" ref="BK21:BK33" si="134">Ar39_DecayCor-(Salt_39Ar37Ar_Ca*Ar37_DecayCor)</f>
        <v>7.3433014761395535E-2</v>
      </c>
      <c r="BL21" s="133">
        <f t="shared" ref="BL21:BL33" si="135">SQRT(Ar39_DecayCorerr^2+(Ar37_DecayCorerr*Salt_39Ar37Ar_Ca)^2)</f>
        <v>3.0640679789698803E-2</v>
      </c>
      <c r="BM21" s="143">
        <f t="shared" ref="BM21:BM33" si="136">Ar38_DC-(Salt_38Ar39Ar_K*Ar39_DecayCor)</f>
        <v>113.57198846711363</v>
      </c>
      <c r="BN21" s="133">
        <f t="shared" ref="BN21:BN33" si="137">SQRT(Ar38_DCerr^2+(Ar39_DecayCorerr*Salt_38Ar39Ar_K)^2)</f>
        <v>2.0201771940221049</v>
      </c>
      <c r="BO21" s="147">
        <f t="shared" ref="BO21:BO33" si="138">Ar36_DC-(Salt_36Ar37Ar_Ca*Ar37_DecayCor)</f>
        <v>3.5082280636445833</v>
      </c>
      <c r="BP21" s="147">
        <f t="shared" ref="BP21:BP33" si="139">SQRT(Ar36_DCerr^2+(Ar37_DecayCorerr*Salt_36Ar37Ar_Ca)^2)</f>
        <v>0.21705845537972143</v>
      </c>
      <c r="BR21" s="147">
        <f t="shared" ref="BR21:BR33" si="140">IF(Rad_Type="Continuous", BO21-((EXP(lambda_36Ar*(Run_Date-Rad_Date))-1)*Cl3638_PR*BT21),BO21*Ar36_DecayFactor)</f>
        <v>3.4900863634541954</v>
      </c>
      <c r="BS21" s="147">
        <f t="shared" ref="BS21:BS33" si="141">IF(K:K="Continuous", SQRT(BP21^2+(((EXP(lambda_36Ar*(Run_Date-Rad_Date))-1)*Cl3638_PR)*BU21^2)), Ar36_ICerr*Ar36_DecayFactor)</f>
        <v>0.21711623309074679</v>
      </c>
      <c r="BT21" s="143">
        <f t="shared" ref="BT21:BT33" si="142">IF(Rad_Type="Continuous", BM21-(Ar3836_Air*BO21)/(1-lambda_36Ar*(Run_Date-Rad_Date)),Ar38_IC-(Ar3836_Air*Ar36_IC)/Ar36_DecayFactor)</f>
        <v>112.9124412558011</v>
      </c>
      <c r="BU21" s="147">
        <f t="shared" ref="BU21:BU33" si="143">IF(Rad_Type ="Continuous", SQRT(BN21^2*(((EXP(lambda_36Ar*(Run_Date-Rad_Date))-1*Ar3836_Air)*BP21^2))),SQRT(Ar38_ICerr^2*(((EXP(lambda_36Ar*(Ar36_DecayFactor))-1*Ar3836_Air)*Ar36_ICerr^2))))</f>
        <v>0.39513392890357568</v>
      </c>
      <c r="BV21" s="143">
        <f>Ar40_IC-(Ar36_ClCor*295.5)</f>
        <v>41.847692961728626</v>
      </c>
      <c r="BW21" s="143">
        <f t="shared" ref="BW21:BW33" si="144">SQRT(Ar40_ICerr^2+(Ar36_ClCorerr*Ar4036_Air)^2)</f>
        <v>64.16511453232755</v>
      </c>
      <c r="BX21" s="3">
        <v>1.6986774770655257E-12</v>
      </c>
      <c r="BY21" s="3">
        <v>9.4454002365720605E-16</v>
      </c>
      <c r="BZ21" s="157">
        <f t="shared" ref="BZ21:BZ33" si="145">Ar_Sensitivity*Ar36_ClCor</f>
        <v>5.9285310986131681E-12</v>
      </c>
      <c r="CA21" s="157">
        <f t="shared" ref="CA21:CA33" si="146">Ar36CC*SQRT((Ar36_ClCorerr/Ar36_ClCor)^2+(Ar_sensitivityerr/Ar_Sensitivity)^2)</f>
        <v>3.6882518737795769E-13</v>
      </c>
      <c r="CB21" s="157">
        <f t="shared" ref="CB21:CB33" si="147">Ar37_DecayCor*Ar_Sensitivity</f>
        <v>4.6785792885017699E-13</v>
      </c>
      <c r="CC21" s="158">
        <f t="shared" ref="CC21:CC33" si="148">Ar37CC*SQRT((Ar37_DecayCorerr/Ar37_DecayCor)^2+(Ar_sensitivityerr/Ar_Sensitivity)^2)</f>
        <v>1.0480025040480284E-11</v>
      </c>
      <c r="CD21" s="157">
        <f t="shared" ref="CD21:CD33" si="149">Ar_Sensitivity*Ar38_Cl</f>
        <v>1.918018208417136E-10</v>
      </c>
      <c r="CE21" s="477">
        <f t="shared" ref="CE21:CE33" si="150">Ar38CC*SQRT((Ar38_Clerr/Ar38_Cl)^2+(Ar_sensitivityerr/Ar_Sensitivity)^2)</f>
        <v>6.7962532643235495E-13</v>
      </c>
      <c r="CF21" s="157">
        <f t="shared" ref="CF21:CF33" si="151">Ar_Sensitivity*Ar39_IC</f>
        <v>1.2473900824820286E-13</v>
      </c>
      <c r="CG21" s="157">
        <f t="shared" ref="CG21:CG33" si="152">Ar39CC*SQRT((Ar39_ICerr/Ar39_IC)^2+(Ar_sensitivityerr/Ar_Sensitivity)^2)</f>
        <v>5.2048678855842139E-14</v>
      </c>
      <c r="CH21" s="157">
        <f t="shared" ref="CH21:CH33" si="153">Ar_Sensitivity*Ar40_IC</f>
        <v>1.822966673141433E-9</v>
      </c>
      <c r="CI21" s="157">
        <f t="shared" ref="CI21:CI33" si="154">Ar40CC*SQRT((Ar40_ICerr/Ar40_IC)^2+(Ar_sensitivityerr/Ar_Sensitivity)^2)</f>
        <v>1.9283487705633276E-12</v>
      </c>
      <c r="CJ21" s="157">
        <f t="shared" ref="CJ21:CJ33" si="155">Ar38CC/MV</f>
        <v>8.5572475246327975E-15</v>
      </c>
      <c r="CK21" s="157">
        <f t="shared" ref="CK21:CK33" si="156">Ar38_mole*SQRT((Ar38CCerr/Ar38CC)^2+(MVerr/MV)^2)</f>
        <v>3.0321517255041257E-17</v>
      </c>
      <c r="CL21" s="157">
        <f>Ar40CC/MV</f>
        <v>8.1331746397242628E-14</v>
      </c>
      <c r="CM21" s="157">
        <f t="shared" ref="CM21:CM33" si="157">Ar40_mole*SQRT((Ar40CCerrr/Ar40CC)^2+(MVerr/MV)^2)</f>
        <v>8.6033386708933005E-17</v>
      </c>
      <c r="CN21" s="66">
        <v>5.0846260000000001E-3</v>
      </c>
      <c r="CO21" s="66">
        <v>7.5577700000000003E-6</v>
      </c>
      <c r="CP21" s="3">
        <v>1.1139738540500025E+19</v>
      </c>
      <c r="CQ21" s="60">
        <v>1.0453256904066513E+18</v>
      </c>
      <c r="CR21" s="3">
        <v>8.0438364680336474E+17</v>
      </c>
      <c r="CS21" s="3">
        <v>8.527140119058072E+16</v>
      </c>
      <c r="CT21" s="6">
        <v>0.49881143094597263</v>
      </c>
      <c r="CU21" s="6">
        <v>4.5926073391395927E-2</v>
      </c>
      <c r="CV21" s="4">
        <v>24.581879797320056</v>
      </c>
      <c r="CW21" s="4">
        <v>0.55629982285426871</v>
      </c>
      <c r="CX21" s="157">
        <f t="shared" ref="CX21:CX33" si="158">K_constant*Ar39CC/J</f>
        <v>9.0203591499602467E-11</v>
      </c>
      <c r="CY21" s="157">
        <f t="shared" ref="CY21:CY33" si="159">K_mole*SQRT((Ar39ccerr/Ar39CC)^2+(Jerr/J)^2+(K_Constanterr/K_constant)^2)</f>
        <v>3.7647681517421584E-11</v>
      </c>
      <c r="CZ21" s="133">
        <f t="shared" ref="CZ21:CZ33" si="160">K_mole*MW_K/Sample_Mass*10^6</f>
        <v>0.39186745350321195</v>
      </c>
      <c r="DA21" s="133">
        <f t="shared" ref="DA21:DA33" si="161">K_ppm*SQRT((Sample_Masserr/Sample_Mass)^2+(MW_Kerr/MW_K)^2+(K_moleerr/K_mole)^2)</f>
        <v>0.16356288556206552</v>
      </c>
      <c r="DB21" s="159">
        <f t="shared" ref="DB21:DB33" si="162">K_ppm/10^4</f>
        <v>3.9186745350321197E-5</v>
      </c>
      <c r="DC21" s="167">
        <f t="shared" ref="DC21:DC33" si="163">K_ppmerr/10^4</f>
        <v>1.6356288556206552E-5</v>
      </c>
      <c r="DD21" s="157">
        <f t="shared" ref="DD21:DD33" si="164">Cl_Constant*Ar38CC/(J*Beta)</f>
        <v>6.2224879137548252E-9</v>
      </c>
      <c r="DE21" s="157">
        <f t="shared" ref="DE21:DE33" si="165">Cl_mole*SQRT((Ar38CCerr/Ar38CC)^2+(Jerr/J)^2+(Betaerr/Beta)^2+(Cl_Constanterr/Cl_Constant)^2)</f>
        <v>1.5374622963325432E-10</v>
      </c>
      <c r="DF21" s="147">
        <f t="shared" ref="DF21:DF33" si="166">Cl_mole*MW_Cl/Sample_Mass*10^6</f>
        <v>24.511762667372206</v>
      </c>
      <c r="DG21" s="133">
        <f t="shared" ref="DG21:DG33" si="167">Cl_ppm*SQRT((Sample_Masserr/Sample_Mass)^2+(MW_Clerr/MW_Cl)^2+(Cl_moleerr/Cl_mole)^2)</f>
        <v>0.61791680268340199</v>
      </c>
      <c r="DH21" s="159">
        <f t="shared" ref="DH21:DH33" si="168">Cl_ppm/10^4</f>
        <v>2.4511762667372206E-3</v>
      </c>
      <c r="DI21" s="167">
        <f t="shared" ref="DI21:DI33" si="169">Cl_ppmerr/10^4</f>
        <v>6.1791680268340199E-5</v>
      </c>
      <c r="DJ21" s="157">
        <f t="shared" ref="DJ21:DJ33" si="170">Ca_Constant*Ar37CC/(J*alpha)</f>
        <v>6.6165149940877074E-10</v>
      </c>
      <c r="DK21" s="157">
        <f t="shared" ref="DK21:DK33" si="171">Ca_mole*SQRT((Ar37CCerr/Ar37CC)^2+(Jerr/J)^2+(alphaerr/alpha)^2+(Ca_Constanterr/Ca_Constant)^2)</f>
        <v>1.4821130564966775E-8</v>
      </c>
      <c r="DL21" s="143">
        <f t="shared" ref="DL21:DL33" si="172">Ca_mole*MW_Ca/Sample_Mass*10^6</f>
        <v>2.9465546773670592</v>
      </c>
      <c r="DM21" s="143">
        <f t="shared" ref="DM21:DM33" si="173">Ca_ppm*SQRT((Sample_Masserr/Sample_Mass)^2+(MW_Caerr/MW_Ca)^2+(Ca_moleerr/Ca_mole)^2)</f>
        <v>66.003436427574655</v>
      </c>
      <c r="DN21" s="147">
        <f t="shared" ref="DN21:DN33" si="174">Ca_ppm/10^4</f>
        <v>2.9465546773670592E-4</v>
      </c>
      <c r="DO21" s="147">
        <f t="shared" ref="DO21:DO33" si="175">Ca_ppmerr/10^4</f>
        <v>6.6003436427574651E-3</v>
      </c>
      <c r="DP21" s="147">
        <f t="shared" ref="DP21:DP33" si="176">K_mole/Cl_mole</f>
        <v>1.4496386774847277E-2</v>
      </c>
      <c r="DQ21" s="147">
        <f t="shared" ref="DQ21:DQ33" si="177">KCl_mol*SQRT(K_moleerr/K_mole)^2+(Cl_moleerr/Cl_mole)^2</f>
        <v>6.6607550868448741E-3</v>
      </c>
      <c r="DR21" s="147">
        <f t="shared" ref="DR21:DR33" si="178">K_mole/Ca_mole</f>
        <v>0.13633097118378076</v>
      </c>
      <c r="DS21" s="147">
        <f t="shared" ref="DS21:DS33" si="179">KCa_mol*SQRT(K_moleerr/K_mole)^2+(Ca_moleerr/Ca_mole)^2</f>
        <v>501.82617431342078</v>
      </c>
      <c r="DT21" s="147">
        <f t="shared" ref="DT21:DT33" si="180">K_ppm/Cl_ppm</f>
        <v>1.598691447942378E-2</v>
      </c>
      <c r="DU21" s="147">
        <f t="shared" ref="DU21:DU33" si="181">KCl_wt*SQRT(K_ppmerr/K_ppm)^2+(Cl_ppmerr/Cl_ppm)^2</f>
        <v>7.3083256828741705E-3</v>
      </c>
      <c r="DV21" s="147">
        <f t="shared" ref="DV21:DV33" si="182">K_ppm/Ca_ppm</f>
        <v>0.13299174677232575</v>
      </c>
      <c r="DW21" s="147">
        <f t="shared" ref="DW21:DW33" si="183">KCa_wt*SQRT(K_ppmerr/K_ppm)^2+(Ca_ppmerr/Ca_ppm)^2</f>
        <v>501.8248096361325</v>
      </c>
      <c r="DX21" s="157">
        <f t="shared" ref="DX21:DX33" si="184">Ar40_mole/Cl_mole</f>
        <v>1.307061540729691E-5</v>
      </c>
      <c r="DY21" s="157">
        <f t="shared" ref="DY21:DY33" si="185">Ar40Cl_mol*SQRT((Ar40_moleerr/Ar40_mole)^2+(Cl_moleerr/Cl_mole)^2)</f>
        <v>3.2324669127855991E-7</v>
      </c>
      <c r="DZ21" s="147">
        <f>Ar40AC/Ar39_IC</f>
        <v>569.87573093251751</v>
      </c>
      <c r="EA21" s="147">
        <f t="shared" ref="EA21:EA33" si="186">Ar40Ar39*SQRT((Ar40ACerr/Ar40AC)^2+(Ar39_ICerr/Ar39_IC)^2)</f>
        <v>905.56794468286807</v>
      </c>
      <c r="EB21" s="157">
        <f t="shared" ref="EB21:EB33" si="187">(Ar40CC/MV)/K_mole</f>
        <v>9.0164643164569627E-4</v>
      </c>
      <c r="EC21" s="157">
        <f t="shared" ref="EC21:EC33" si="188">Ar40K*SQRT((Ar40CCerrr/Ar40CC)^2+(K_moleerr/K_mole)^2+(MVerr/MV)^2)</f>
        <v>3.7631546772453874E-4</v>
      </c>
      <c r="ED21" s="143">
        <f>IF(Ar40Ar39&gt;0,(1/lambda/10^6)*LN(1+(J*Ar40Ar39)),"")</f>
        <v>2451.4565184645026</v>
      </c>
      <c r="EE21" s="143">
        <f t="shared" ref="EE21:EE33" si="189">IF(Age="","",SQRT((J^2*Ar40Ar39^2*((Ar40Ar39err/Ar40Ar39*100)^2))/(Age^2*0.00055305^2*((1+Ar40Ar39*J)^2)))*Age/100)</f>
        <v>2136.0815999993888</v>
      </c>
      <c r="EF21" s="143">
        <f t="shared" ref="EF21:EF33" si="190">IF(Age="","",SQRT((J^2*Ar40Ar39^2*((Ar40Ar39err/Ar40Ar39*100)^2+(Jerr/J*100)^2))/(Age^2*0.00055305^2*((1+Ar40Ar39*J)^2)))*Age/100)</f>
        <v>2136.0825344907817</v>
      </c>
      <c r="EG21" s="143">
        <f>IF(Ar40Ar39&gt;0,(1/lambda/10^6)*LN(1+(J*Ar40Ar39)),"")</f>
        <v>2451.4565184645026</v>
      </c>
      <c r="EH21" s="147">
        <f t="shared" ref="EH21:EH33" si="191">IF(Age="","",SQRT((J^2*Ar40Ar39^2*((Ar40Ar39err/Ar40Ar39*100)^2))/(Age^2*0.00055305^2*((1+Ar40Ar39*J)^2)))*Age/100)</f>
        <v>2136.0815999993888</v>
      </c>
      <c r="EI21" s="147">
        <f t="shared" ref="EI21:EI33" si="192">IF(Age="","",SQRT((J^2*Ar40Ar39^2*((Ar40Ar39err/Ar40Ar39*100)^2+(Jerr/J*100)^2))/(Age^2*0.00055305^2*((1+Ar40Ar39*J)^2)))*Age/100)</f>
        <v>2136.0825344907817</v>
      </c>
      <c r="EJ21" s="501">
        <f>CF21/$CF$33</f>
        <v>1.8969458088719125E-3</v>
      </c>
      <c r="EK21" s="143">
        <f>EG21</f>
        <v>2451.4565184645026</v>
      </c>
      <c r="EL21" s="143">
        <f t="shared" ref="EL21:EL33" si="193">EH21</f>
        <v>2136.0815999993888</v>
      </c>
      <c r="EM21" s="147">
        <f t="shared" ref="EM21:EM33" si="194">Ar39_IC/Ar36_ClCor</f>
        <v>2.1040457775009808E-2</v>
      </c>
      <c r="EN21" s="147">
        <f t="shared" ref="EN21:EN33" si="195">EM21*SQRT((Ar40_ICerr/Ar40_IC)^2+(Ar36_ClCorerr/Ar36_ClCor)^2)</f>
        <v>1.3090515156932E-3</v>
      </c>
      <c r="EO21" s="143">
        <f t="shared" ref="EO21:EO33" si="196">Ar40_IC/Ar36_ClCor</f>
        <v>307.49044625368845</v>
      </c>
      <c r="EP21" s="143">
        <f t="shared" ref="EP21:EP33" si="197">EO21*SQRT((Ar40_ICerr/Ar40_IC)^2+(Ar36_ClCorerr/Ar36_ClCor)^2)</f>
        <v>19.130802144792295</v>
      </c>
      <c r="EQ21" s="157">
        <f t="shared" ref="EQ21:EQ33" si="198">Ar39_IC/Ar40_IC</f>
        <v>6.842637887243764E-5</v>
      </c>
      <c r="ER21" s="157">
        <f t="shared" ref="ER21:ER33" si="199">EQ21*SQRT((Ar40_ICerr/Ar40_IC)^2+(Ar39_ICerr/Ar39_IC)^2)</f>
        <v>2.8551675928734542E-5</v>
      </c>
      <c r="ES21" s="157">
        <f t="shared" ref="ES21:ES33" si="200">Ar36_ClCor/Ar40_IC</f>
        <v>3.2521335611675273E-3</v>
      </c>
      <c r="ET21" s="157">
        <f t="shared" ref="ET21:ET33" si="201">ES21*SQRT((Ar40_ICerr/Ar40_IC)^2+(Ar36_ClCorerr/Ar36_ClCor)^2)</f>
        <v>2.0233449352701125E-4</v>
      </c>
      <c r="EU21" s="473"/>
      <c r="EV21" s="473"/>
      <c r="EW21" s="473"/>
      <c r="EX21" s="473"/>
      <c r="EY21" s="473"/>
      <c r="EZ21" s="473"/>
      <c r="FA21" s="473"/>
      <c r="FB21" s="473"/>
      <c r="FC21" s="471"/>
      <c r="FD21" s="471"/>
      <c r="FE21" s="471"/>
      <c r="FF21" s="471"/>
      <c r="FG21" s="471"/>
      <c r="FH21" s="471"/>
      <c r="FI21" s="471"/>
      <c r="FJ21" s="471"/>
      <c r="FK21" s="473">
        <f>Kr80Raw-Kr80Blank</f>
        <v>0</v>
      </c>
      <c r="FL21" s="473">
        <f>SQRT(Kr80Rawerr^2+Kr80Blankerr^2)</f>
        <v>0</v>
      </c>
      <c r="FM21" s="473"/>
      <c r="FN21" s="473"/>
      <c r="FO21" s="473"/>
      <c r="FP21" s="473"/>
      <c r="FQ21" s="473"/>
      <c r="FR21" s="473"/>
      <c r="FS21" s="473"/>
      <c r="FT21" s="473"/>
      <c r="FU21" s="476"/>
      <c r="FV21" s="476"/>
      <c r="FW21" s="476"/>
      <c r="FX21" s="476"/>
      <c r="FY21" s="473"/>
      <c r="FZ21" s="473"/>
      <c r="GA21" s="477"/>
      <c r="GB21" s="477"/>
      <c r="GC21" s="473"/>
      <c r="GD21" s="473"/>
      <c r="GE21" s="477"/>
      <c r="GF21" s="477"/>
      <c r="GG21" s="477"/>
      <c r="GH21" s="477"/>
      <c r="GI21" s="477"/>
      <c r="GJ21" s="477"/>
      <c r="GK21" s="477"/>
      <c r="GL21" s="477"/>
      <c r="GM21" s="477"/>
      <c r="GN21" s="477"/>
      <c r="GO21" s="477"/>
      <c r="GP21" s="477"/>
      <c r="GQ21" s="477"/>
      <c r="GR21" s="477"/>
      <c r="GS21" s="473"/>
      <c r="GT21" s="473"/>
      <c r="GU21" s="474"/>
      <c r="GV21" s="474"/>
      <c r="GW21" s="478"/>
      <c r="GX21" s="478"/>
      <c r="GY21" s="479"/>
      <c r="GZ21" s="480"/>
      <c r="HA21" s="478"/>
      <c r="HB21" s="478"/>
      <c r="HC21" s="474"/>
      <c r="HD21" s="474"/>
      <c r="HE21" s="478"/>
      <c r="HF21" s="478"/>
      <c r="HG21" s="479"/>
      <c r="HH21" s="480"/>
      <c r="HI21" s="478"/>
      <c r="HJ21" s="478"/>
      <c r="HK21" s="6"/>
      <c r="HL21" s="6"/>
      <c r="HM21" s="467"/>
      <c r="HN21" s="467"/>
      <c r="HO21" s="6"/>
      <c r="HP21" s="6"/>
      <c r="HQ21" s="467"/>
      <c r="HR21" s="467"/>
      <c r="HS21" s="475"/>
      <c r="HT21" s="475"/>
      <c r="HU21" s="475"/>
      <c r="HV21" s="475"/>
      <c r="HW21" s="475"/>
      <c r="HX21" s="475"/>
      <c r="HY21" s="475"/>
      <c r="HZ21" s="475"/>
      <c r="IA21" s="475"/>
      <c r="IB21" s="475"/>
      <c r="IC21" s="475"/>
      <c r="ID21" s="475"/>
      <c r="IE21" s="475"/>
      <c r="IF21" s="475"/>
      <c r="IG21" s="475"/>
      <c r="IH21" s="475"/>
      <c r="II21" s="475"/>
      <c r="IJ21" s="475"/>
      <c r="IK21" s="475"/>
      <c r="IL21" s="475"/>
      <c r="IM21" s="475"/>
      <c r="IN21" s="475"/>
      <c r="IO21" s="475"/>
      <c r="IP21" s="475"/>
      <c r="IQ21" s="475"/>
      <c r="IR21" s="475"/>
      <c r="IS21" s="475"/>
      <c r="IT21" s="475"/>
      <c r="IU21" s="475"/>
      <c r="IV21" s="475"/>
      <c r="IW21" s="475"/>
      <c r="IX21" s="475"/>
      <c r="IY21" s="475"/>
      <c r="IZ21" s="475"/>
      <c r="JA21" s="475"/>
      <c r="JB21" s="475"/>
      <c r="JC21" s="475"/>
      <c r="JD21" s="475"/>
      <c r="JE21" s="475"/>
      <c r="JF21" s="475"/>
      <c r="JG21" s="475"/>
      <c r="JH21" s="475"/>
      <c r="JI21" s="475"/>
      <c r="JJ21" s="475"/>
      <c r="JK21" s="475"/>
      <c r="JL21" s="475"/>
      <c r="JM21" s="475"/>
      <c r="JN21" s="475"/>
      <c r="JO21" s="475"/>
      <c r="JP21" s="475"/>
      <c r="JQ21" s="475"/>
      <c r="JR21" s="475"/>
      <c r="JS21" s="475"/>
      <c r="JT21" s="475"/>
      <c r="JU21" s="477"/>
      <c r="JV21" s="477"/>
      <c r="JW21" s="471"/>
      <c r="JX21" s="471"/>
      <c r="JY21" s="477"/>
      <c r="JZ21" s="477"/>
      <c r="KA21" s="477"/>
      <c r="KB21" s="477"/>
      <c r="KC21" s="473"/>
      <c r="KD21" s="473"/>
      <c r="KE21" s="477"/>
      <c r="KF21" s="477"/>
      <c r="KG21" s="481"/>
      <c r="KH21" s="481"/>
      <c r="KI21" s="476"/>
      <c r="KJ21" s="476"/>
      <c r="KK21" s="480"/>
      <c r="KL21" s="480"/>
      <c r="KM21" s="478"/>
      <c r="KN21" s="478"/>
      <c r="KO21" s="473"/>
      <c r="KP21" s="473"/>
      <c r="KQ21" s="477"/>
      <c r="KR21" s="477"/>
      <c r="KS21" s="477"/>
      <c r="KT21" s="477"/>
      <c r="KU21" s="473"/>
      <c r="KV21" s="473"/>
      <c r="KW21" s="477"/>
      <c r="KX21" s="477"/>
      <c r="KY21" s="474"/>
      <c r="KZ21" s="476"/>
      <c r="LA21" s="471"/>
      <c r="LB21" s="471"/>
      <c r="LC21" s="471"/>
      <c r="LD21" s="471"/>
      <c r="LE21" s="471"/>
      <c r="LF21" s="471"/>
      <c r="LG21" s="477"/>
      <c r="LH21" s="477"/>
      <c r="LI21" s="477"/>
      <c r="LJ21" s="477"/>
      <c r="LK21" s="477"/>
      <c r="LL21" s="477"/>
      <c r="LM21" s="476"/>
      <c r="LN21" s="476"/>
      <c r="LO21" s="471"/>
      <c r="LP21" s="471"/>
      <c r="LQ21" s="214" t="str">
        <f t="shared" si="96"/>
        <v>B1x Plagioclase</v>
      </c>
      <c r="LR21" s="214" t="str">
        <f t="shared" si="97"/>
        <v>MN2022a</v>
      </c>
      <c r="LS21" s="211">
        <f t="shared" si="98"/>
        <v>0.39186745350321195</v>
      </c>
      <c r="LT21" s="211">
        <f t="shared" si="99"/>
        <v>0.16356288556206552</v>
      </c>
      <c r="LU21" s="211">
        <f t="shared" si="100"/>
        <v>24.511762667372206</v>
      </c>
      <c r="LV21" s="211">
        <f t="shared" si="101"/>
        <v>0.61791680268340199</v>
      </c>
      <c r="LW21" s="211">
        <f t="shared" si="102"/>
        <v>2.9465546773670592</v>
      </c>
      <c r="LX21" s="211">
        <f t="shared" si="103"/>
        <v>66.003436427574655</v>
      </c>
      <c r="LY21" s="211"/>
      <c r="LZ21" s="211"/>
      <c r="MA21" s="211"/>
      <c r="MB21" s="211"/>
      <c r="MC21" s="211"/>
      <c r="MD21" s="211"/>
      <c r="ME21" s="211"/>
      <c r="MF21" s="211"/>
      <c r="MG21" s="211"/>
      <c r="MH21" s="211"/>
      <c r="MI21" s="211"/>
      <c r="MJ21" s="211"/>
      <c r="MK21" s="211"/>
      <c r="ML21" s="211"/>
      <c r="MM21" s="211"/>
      <c r="MN21" s="211"/>
      <c r="MO21" s="506">
        <f t="shared" si="107"/>
        <v>1.598691447942378E-2</v>
      </c>
      <c r="MP21" s="506">
        <f t="shared" si="107"/>
        <v>7.3083256828741705E-3</v>
      </c>
      <c r="MQ21" s="109"/>
      <c r="MR21" s="109"/>
      <c r="MS21" s="109"/>
      <c r="MT21" s="109"/>
      <c r="MU21" s="109"/>
      <c r="MV21" s="109"/>
      <c r="MW21" s="506">
        <f t="shared" si="108"/>
        <v>1.4496386774847277E-2</v>
      </c>
      <c r="MX21" s="506">
        <f t="shared" si="108"/>
        <v>6.6607550868448741E-3</v>
      </c>
      <c r="MY21" s="109"/>
      <c r="MZ21" s="109"/>
      <c r="NA21" s="109"/>
      <c r="NB21" s="109"/>
      <c r="NC21" s="109"/>
      <c r="ND21" s="109"/>
    </row>
    <row r="22" spans="2:368">
      <c r="B22" s="245" t="s">
        <v>935</v>
      </c>
      <c r="C22" s="5">
        <f t="shared" ref="C22:C33" si="202">9/1000</f>
        <v>8.9999999999999993E-3</v>
      </c>
      <c r="D22" s="66">
        <f t="shared" ref="D22:D33" si="203">C22*0.5%</f>
        <v>4.4999999999999996E-5</v>
      </c>
      <c r="E22" s="67">
        <v>44727</v>
      </c>
      <c r="F22" s="5" t="s">
        <v>210</v>
      </c>
      <c r="G22" s="5" t="s">
        <v>893</v>
      </c>
      <c r="H22" s="5">
        <v>1</v>
      </c>
      <c r="J22" s="327">
        <v>44644</v>
      </c>
      <c r="K22" s="67" t="s">
        <v>823</v>
      </c>
      <c r="L22" s="5">
        <v>1</v>
      </c>
      <c r="M22" s="5">
        <v>0.8</v>
      </c>
      <c r="N22" s="5">
        <v>30</v>
      </c>
      <c r="O22" s="6">
        <v>1468.448095</v>
      </c>
      <c r="P22" s="6">
        <v>0.41074300000000002</v>
      </c>
      <c r="Q22" s="6">
        <v>0.76672899999999999</v>
      </c>
      <c r="R22" s="6">
        <v>3.882E-3</v>
      </c>
      <c r="S22" s="6">
        <v>249.217657</v>
      </c>
      <c r="T22" s="6">
        <v>0.180425</v>
      </c>
      <c r="U22" s="6">
        <v>14.176496999999999</v>
      </c>
      <c r="V22" s="6">
        <v>0.117453</v>
      </c>
      <c r="W22" s="6">
        <v>5.0338789999999998</v>
      </c>
      <c r="X22" s="6">
        <v>1.4203E-2</v>
      </c>
      <c r="Y22" s="6">
        <v>6.3067744999999995</v>
      </c>
      <c r="Z22" s="6">
        <v>0.93511705857555649</v>
      </c>
      <c r="AA22" s="6">
        <v>4.3458000000000004E-2</v>
      </c>
      <c r="AB22" s="6">
        <v>2.986365296923112E-2</v>
      </c>
      <c r="AC22" s="6">
        <v>2.21285175</v>
      </c>
      <c r="AD22" s="6">
        <v>2.0188658876193135</v>
      </c>
      <c r="AE22" s="6">
        <v>1.3901317499999999</v>
      </c>
      <c r="AF22" s="6">
        <v>1.1954009646957722</v>
      </c>
      <c r="AG22" s="6">
        <v>0.25606525000000002</v>
      </c>
      <c r="AH22" s="6">
        <v>0.21678044365882418</v>
      </c>
      <c r="AI22" s="133">
        <f t="shared" si="110"/>
        <v>1462.1413204999999</v>
      </c>
      <c r="AJ22" s="133">
        <f t="shared" si="111"/>
        <v>1.0213489733132357</v>
      </c>
      <c r="AK22" s="133">
        <f t="shared" si="112"/>
        <v>0.723271</v>
      </c>
      <c r="AL22" s="133">
        <f t="shared" si="113"/>
        <v>3.0114908146409259E-2</v>
      </c>
      <c r="AM22" s="133">
        <f t="shared" si="114"/>
        <v>247.00480525</v>
      </c>
      <c r="AN22" s="133">
        <f t="shared" si="115"/>
        <v>2.026912097950456</v>
      </c>
      <c r="AO22" s="133">
        <f t="shared" si="116"/>
        <v>12.786365249999999</v>
      </c>
      <c r="AP22" s="133">
        <f t="shared" si="117"/>
        <v>1.2011572226834348</v>
      </c>
      <c r="AQ22" s="133">
        <f t="shared" si="118"/>
        <v>4.77781375</v>
      </c>
      <c r="AR22" s="133">
        <f t="shared" si="119"/>
        <v>0.21724522080339681</v>
      </c>
      <c r="AS22" s="5">
        <v>300.7</v>
      </c>
      <c r="AT22" s="5">
        <v>0.28000000000000003</v>
      </c>
      <c r="AU22" s="133">
        <f t="shared" si="120"/>
        <v>0.72645290287648057</v>
      </c>
      <c r="AV22" s="133">
        <f t="shared" si="121"/>
        <v>3.0115199898382031E-2</v>
      </c>
      <c r="AW22" s="133">
        <f t="shared" si="122"/>
        <v>249.17811318113368</v>
      </c>
      <c r="AX22" s="133">
        <f t="shared" si="123"/>
        <v>2.026932285457002</v>
      </c>
      <c r="AY22" s="133">
        <f t="shared" si="124"/>
        <v>12.955119309137055</v>
      </c>
      <c r="AZ22" s="133">
        <f t="shared" si="125"/>
        <v>1.2011778913354378</v>
      </c>
      <c r="BA22" s="133">
        <f t="shared" si="126"/>
        <v>4.8618903371404398</v>
      </c>
      <c r="BB22" s="133">
        <f t="shared" si="127"/>
        <v>0.21724732508076453</v>
      </c>
      <c r="BC22" s="6"/>
      <c r="BD22" s="8"/>
      <c r="BE22" s="133">
        <f t="shared" si="128"/>
        <v>66.723486074081549</v>
      </c>
      <c r="BF22" s="133">
        <f t="shared" si="129"/>
        <v>6.1864946506890437</v>
      </c>
      <c r="BG22" s="133">
        <f t="shared" si="130"/>
        <v>0.72687869058036048</v>
      </c>
      <c r="BH22" s="133">
        <f t="shared" si="131"/>
        <v>3.0132850983216081E-2</v>
      </c>
      <c r="BI22" s="143">
        <f t="shared" si="132"/>
        <v>1462.0546095187894</v>
      </c>
      <c r="BJ22" s="133">
        <f t="shared" si="133"/>
        <v>1.0213567756965403</v>
      </c>
      <c r="BK22" s="143">
        <f t="shared" si="134"/>
        <v>0.66590223425717343</v>
      </c>
      <c r="BL22" s="133">
        <f t="shared" si="135"/>
        <v>3.0658642261711454E-2</v>
      </c>
      <c r="BM22" s="143">
        <f t="shared" si="136"/>
        <v>249.16688864856221</v>
      </c>
      <c r="BN22" s="133">
        <f t="shared" si="137"/>
        <v>2.0269323388671596</v>
      </c>
      <c r="BO22" s="147">
        <f t="shared" si="138"/>
        <v>4.8386152403934055</v>
      </c>
      <c r="BP22" s="147">
        <f t="shared" si="139"/>
        <v>0.2172580432267858</v>
      </c>
      <c r="BR22" s="147">
        <f t="shared" si="140"/>
        <v>4.7987276234060214</v>
      </c>
      <c r="BS22" s="147">
        <f t="shared" si="141"/>
        <v>0.21731626141372262</v>
      </c>
      <c r="BT22" s="143">
        <f t="shared" si="142"/>
        <v>248.25722852085076</v>
      </c>
      <c r="BU22" s="147">
        <f t="shared" si="143"/>
        <v>0.39681973796106618</v>
      </c>
      <c r="BV22" s="143">
        <f t="shared" ref="BV22:BV33" si="204">Ar40_IC-(Ar36_ClCor*Ar4036_Air)</f>
        <v>44.030596802310129</v>
      </c>
      <c r="BW22" s="143">
        <f t="shared" si="144"/>
        <v>64.225076963406082</v>
      </c>
      <c r="BX22" s="3">
        <v>1.6986774770655257E-12</v>
      </c>
      <c r="BY22" s="3">
        <v>9.4454002365720605E-16</v>
      </c>
      <c r="BZ22" s="157">
        <f t="shared" si="145"/>
        <v>8.1514905324519869E-12</v>
      </c>
      <c r="CA22" s="157">
        <f t="shared" si="146"/>
        <v>3.6917806419156102E-13</v>
      </c>
      <c r="CB22" s="157">
        <f t="shared" si="147"/>
        <v>1.1334168298533758E-10</v>
      </c>
      <c r="CC22" s="158">
        <f t="shared" si="148"/>
        <v>1.0509048102010378E-11</v>
      </c>
      <c r="CD22" s="157">
        <f t="shared" si="149"/>
        <v>4.2170896260707844E-10</v>
      </c>
      <c r="CE22" s="477">
        <f t="shared" si="150"/>
        <v>7.1369021315200864E-13</v>
      </c>
      <c r="CF22" s="157">
        <f t="shared" si="151"/>
        <v>1.1311531272602721E-12</v>
      </c>
      <c r="CG22" s="157">
        <f t="shared" si="152"/>
        <v>5.208294306146366E-14</v>
      </c>
      <c r="CH22" s="157">
        <f t="shared" si="153"/>
        <v>2.4835592354293994E-9</v>
      </c>
      <c r="CI22" s="157">
        <f t="shared" si="154"/>
        <v>2.2174641147689622E-12</v>
      </c>
      <c r="CJ22" s="157">
        <f t="shared" si="155"/>
        <v>1.8814565787480073E-14</v>
      </c>
      <c r="CK22" s="157">
        <f t="shared" si="156"/>
        <v>3.1841325289286928E-17</v>
      </c>
      <c r="CL22" s="157">
        <f t="shared" ref="CL22:CL33" si="205">Ar40CC/MV</f>
        <v>1.1080411555214556E-13</v>
      </c>
      <c r="CM22" s="157">
        <f t="shared" si="157"/>
        <v>9.8932289731934803E-17</v>
      </c>
      <c r="CN22" s="66">
        <v>5.1340830000000002E-3</v>
      </c>
      <c r="CO22" s="66">
        <v>7.5577700000000003E-6</v>
      </c>
      <c r="CP22" s="3">
        <v>1.1139738540500025E+19</v>
      </c>
      <c r="CQ22" s="60">
        <v>1.0453256904066513E+18</v>
      </c>
      <c r="CR22" s="3">
        <v>8.0438364680336474E+17</v>
      </c>
      <c r="CS22" s="3">
        <v>8.527140119058072E+16</v>
      </c>
      <c r="CT22" s="6">
        <v>0.49881143094597263</v>
      </c>
      <c r="CU22" s="6">
        <v>4.5926073391395927E-2</v>
      </c>
      <c r="CV22" s="4">
        <v>24.581879797320056</v>
      </c>
      <c r="CW22" s="4">
        <v>0.55629982285426871</v>
      </c>
      <c r="CX22" s="157">
        <f t="shared" si="158"/>
        <v>8.1010081987798017E-10</v>
      </c>
      <c r="CY22" s="157">
        <f t="shared" si="159"/>
        <v>3.8047296602648571E-11</v>
      </c>
      <c r="CZ22" s="133">
        <f t="shared" si="160"/>
        <v>3.519284987315026</v>
      </c>
      <c r="DA22" s="133">
        <f t="shared" si="161"/>
        <v>0.1662211957744256</v>
      </c>
      <c r="DB22" s="159">
        <f t="shared" si="162"/>
        <v>3.519284987315026E-4</v>
      </c>
      <c r="DC22" s="167">
        <f t="shared" si="163"/>
        <v>1.662211957744256E-5</v>
      </c>
      <c r="DD22" s="157">
        <f t="shared" si="164"/>
        <v>1.3549407225855041E-8</v>
      </c>
      <c r="DE22" s="157">
        <f t="shared" si="165"/>
        <v>3.3210132727546967E-10</v>
      </c>
      <c r="DF22" s="147">
        <f t="shared" si="166"/>
        <v>53.374126042026539</v>
      </c>
      <c r="DG22" s="133">
        <f t="shared" si="167"/>
        <v>1.3351636684387755</v>
      </c>
      <c r="DH22" s="159">
        <f t="shared" si="168"/>
        <v>5.3374126042026538E-3</v>
      </c>
      <c r="DI22" s="167">
        <f t="shared" si="169"/>
        <v>1.3351636684387754E-4</v>
      </c>
      <c r="DJ22" s="157">
        <f t="shared" si="170"/>
        <v>1.5874537922468421E-7</v>
      </c>
      <c r="DK22" s="157">
        <f t="shared" si="171"/>
        <v>2.079494671173004E-8</v>
      </c>
      <c r="DL22" s="143">
        <f t="shared" si="172"/>
        <v>706.94608881392696</v>
      </c>
      <c r="DM22" s="143">
        <f t="shared" si="173"/>
        <v>92.674290612468141</v>
      </c>
      <c r="DN22" s="147">
        <f t="shared" si="174"/>
        <v>7.0694608881392701E-2</v>
      </c>
      <c r="DO22" s="147">
        <f t="shared" si="175"/>
        <v>9.2674290612468138E-3</v>
      </c>
      <c r="DP22" s="147">
        <f t="shared" si="176"/>
        <v>5.9788653951749426E-2</v>
      </c>
      <c r="DQ22" s="147">
        <f t="shared" si="177"/>
        <v>3.4088008904089809E-3</v>
      </c>
      <c r="DR22" s="147">
        <f t="shared" si="178"/>
        <v>5.1031458290914022E-3</v>
      </c>
      <c r="DS22" s="147">
        <f t="shared" si="179"/>
        <v>1.7399523052324648E-2</v>
      </c>
      <c r="DT22" s="147">
        <f t="shared" si="180"/>
        <v>6.593616136297871E-2</v>
      </c>
      <c r="DU22" s="147">
        <f t="shared" si="181"/>
        <v>3.7400249433798519E-3</v>
      </c>
      <c r="DV22" s="147">
        <f t="shared" si="182"/>
        <v>4.9781518605180736E-3</v>
      </c>
      <c r="DW22" s="147">
        <f t="shared" si="183"/>
        <v>1.7419983728587669E-2</v>
      </c>
      <c r="DX22" s="157">
        <f t="shared" si="184"/>
        <v>8.1777832568725703E-6</v>
      </c>
      <c r="DY22" s="157">
        <f t="shared" si="185"/>
        <v>2.0057364646294874E-7</v>
      </c>
      <c r="DZ22" s="147">
        <f>Ar40AC/Ar39_IC</f>
        <v>66.121713574706789</v>
      </c>
      <c r="EA22" s="147">
        <f t="shared" si="186"/>
        <v>96.496240769566441</v>
      </c>
      <c r="EB22" s="157">
        <f t="shared" si="187"/>
        <v>1.3677817974414001E-4</v>
      </c>
      <c r="EC22" s="157">
        <f t="shared" si="188"/>
        <v>6.4251018458614955E-6</v>
      </c>
      <c r="ED22" s="143">
        <f t="shared" ref="ED22:ED32" si="206">IF(Ar40Ar39&gt;0,(1/lambda/10^6)*LN(1+(J*Ar40Ar39)),"")</f>
        <v>526.70163721882261</v>
      </c>
      <c r="EE22" s="143">
        <f t="shared" si="189"/>
        <v>668.76644862909245</v>
      </c>
      <c r="EF22" s="143">
        <f t="shared" si="190"/>
        <v>668.76678885967817</v>
      </c>
      <c r="EG22" s="147">
        <f t="shared" ref="EG22:EG33" si="207">IF(Ar40Ar39&gt;0,(1/lambda/10^6)*LN(1+(J*Ar40Ar39)),"")</f>
        <v>526.70163721882261</v>
      </c>
      <c r="EH22" s="147">
        <f t="shared" si="191"/>
        <v>668.76644862909245</v>
      </c>
      <c r="EI22" s="147">
        <f t="shared" si="192"/>
        <v>668.76678885967817</v>
      </c>
      <c r="EJ22" s="501">
        <f t="shared" ref="EJ22:EJ32" si="208">CF22/$CF$33</f>
        <v>1.7201805706833849E-2</v>
      </c>
      <c r="EK22" s="133">
        <f t="shared" ref="EK22:EK33" si="209">EG22</f>
        <v>526.70163721882261</v>
      </c>
      <c r="EL22" s="133">
        <f t="shared" si="193"/>
        <v>668.76644862909245</v>
      </c>
      <c r="EM22" s="147">
        <f t="shared" si="194"/>
        <v>0.13876641612439175</v>
      </c>
      <c r="EN22" s="147">
        <f t="shared" si="195"/>
        <v>6.2849548526421701E-3</v>
      </c>
      <c r="EO22" s="143">
        <f t="shared" si="196"/>
        <v>304.67547322076558</v>
      </c>
      <c r="EP22" s="143">
        <f t="shared" si="197"/>
        <v>13.799243703054117</v>
      </c>
      <c r="EQ22" s="157">
        <f t="shared" si="198"/>
        <v>4.5545647195513711E-4</v>
      </c>
      <c r="ER22" s="157">
        <f t="shared" si="199"/>
        <v>2.0971973942578014E-5</v>
      </c>
      <c r="ES22" s="157">
        <f t="shared" si="200"/>
        <v>3.282180837954775E-3</v>
      </c>
      <c r="ET22" s="157">
        <f t="shared" si="201"/>
        <v>1.4865526516344934E-4</v>
      </c>
      <c r="LQ22" s="214" t="str">
        <f t="shared" si="96"/>
        <v>B1x Plagioclase</v>
      </c>
      <c r="LR22" s="214" t="str">
        <f t="shared" si="97"/>
        <v>MN2022a</v>
      </c>
      <c r="LS22" s="211">
        <f t="shared" si="98"/>
        <v>3.519284987315026</v>
      </c>
      <c r="LT22" s="211">
        <f t="shared" si="99"/>
        <v>0.1662211957744256</v>
      </c>
      <c r="LU22" s="211">
        <f t="shared" si="100"/>
        <v>53.374126042026539</v>
      </c>
      <c r="LV22" s="211">
        <f t="shared" si="101"/>
        <v>1.3351636684387755</v>
      </c>
      <c r="LW22" s="211">
        <f t="shared" si="102"/>
        <v>706.94608881392696</v>
      </c>
      <c r="LX22" s="211">
        <f t="shared" si="103"/>
        <v>92.674290612468141</v>
      </c>
      <c r="LY22" s="211"/>
      <c r="LZ22" s="211"/>
      <c r="MA22" s="211"/>
      <c r="MB22" s="211"/>
      <c r="MC22" s="211"/>
      <c r="MD22" s="211"/>
      <c r="ME22" s="211"/>
      <c r="MF22" s="211"/>
      <c r="MG22" s="211"/>
      <c r="MH22" s="211"/>
      <c r="MI22" s="211"/>
      <c r="MJ22" s="211"/>
      <c r="MK22" s="211"/>
      <c r="ML22" s="211"/>
      <c r="MM22" s="211"/>
      <c r="MN22" s="211"/>
      <c r="MO22" s="506">
        <f t="shared" si="107"/>
        <v>6.593616136297871E-2</v>
      </c>
      <c r="MP22" s="506">
        <f t="shared" si="107"/>
        <v>3.7400249433798519E-3</v>
      </c>
      <c r="MQ22" s="109"/>
      <c r="MR22" s="109"/>
      <c r="MS22" s="109"/>
      <c r="MT22" s="109"/>
      <c r="MU22" s="109"/>
      <c r="MV22" s="109"/>
      <c r="MW22" s="506">
        <f t="shared" si="108"/>
        <v>5.9788653951749426E-2</v>
      </c>
      <c r="MX22" s="506">
        <f t="shared" si="108"/>
        <v>3.4088008904089809E-3</v>
      </c>
      <c r="MY22" s="109"/>
      <c r="MZ22" s="109"/>
      <c r="NA22" s="109"/>
      <c r="NB22" s="109"/>
      <c r="NC22" s="109"/>
      <c r="ND22" s="109"/>
    </row>
    <row r="23" spans="2:368">
      <c r="B23" s="245" t="s">
        <v>935</v>
      </c>
      <c r="C23" s="5">
        <f t="shared" si="202"/>
        <v>8.9999999999999993E-3</v>
      </c>
      <c r="D23" s="66">
        <f t="shared" si="203"/>
        <v>4.4999999999999996E-5</v>
      </c>
      <c r="E23" s="67">
        <v>44727</v>
      </c>
      <c r="F23" s="5" t="s">
        <v>210</v>
      </c>
      <c r="G23" s="5" t="s">
        <v>893</v>
      </c>
      <c r="H23" s="5">
        <v>1</v>
      </c>
      <c r="J23" s="327">
        <v>44644</v>
      </c>
      <c r="K23" s="67" t="s">
        <v>823</v>
      </c>
      <c r="L23" s="5">
        <v>1.5</v>
      </c>
      <c r="M23" s="5">
        <v>1.35</v>
      </c>
      <c r="N23" s="5">
        <v>30</v>
      </c>
      <c r="O23" s="6">
        <v>1153.835857</v>
      </c>
      <c r="P23" s="6">
        <v>0.21271399999999999</v>
      </c>
      <c r="Q23" s="6">
        <v>2.3384619999999998</v>
      </c>
      <c r="R23" s="6">
        <v>7.143E-3</v>
      </c>
      <c r="S23" s="6">
        <v>210.319706</v>
      </c>
      <c r="T23" s="6">
        <v>0.11799999999999999</v>
      </c>
      <c r="U23" s="6">
        <v>66.700607000000005</v>
      </c>
      <c r="V23" s="6">
        <v>0.124593</v>
      </c>
      <c r="W23" s="6">
        <v>4.0801730000000003</v>
      </c>
      <c r="X23" s="6">
        <v>7.267E-3</v>
      </c>
      <c r="Y23" s="6">
        <v>6.3067744999999995</v>
      </c>
      <c r="Z23" s="6">
        <v>0.93511705857555649</v>
      </c>
      <c r="AA23" s="6">
        <v>4.3458000000000004E-2</v>
      </c>
      <c r="AB23" s="6">
        <v>2.986365296923112E-2</v>
      </c>
      <c r="AC23" s="6">
        <v>2.21285175</v>
      </c>
      <c r="AD23" s="6">
        <v>2.0188658876193135</v>
      </c>
      <c r="AE23" s="6">
        <v>1.3901317499999999</v>
      </c>
      <c r="AF23" s="6">
        <v>1.1954009646957722</v>
      </c>
      <c r="AG23" s="6">
        <v>0.25606525000000002</v>
      </c>
      <c r="AH23" s="6">
        <v>0.21678044365882418</v>
      </c>
      <c r="AI23" s="133">
        <f t="shared" si="110"/>
        <v>1147.5290825</v>
      </c>
      <c r="AJ23" s="133">
        <f t="shared" si="111"/>
        <v>0.95900529666681233</v>
      </c>
      <c r="AK23" s="133">
        <f t="shared" si="112"/>
        <v>2.2950039999999996</v>
      </c>
      <c r="AL23" s="133">
        <f t="shared" si="113"/>
        <v>3.0706029011688677E-2</v>
      </c>
      <c r="AM23" s="133">
        <f t="shared" si="114"/>
        <v>208.10685425</v>
      </c>
      <c r="AN23" s="133">
        <f t="shared" si="115"/>
        <v>2.0223114182026762</v>
      </c>
      <c r="AO23" s="133">
        <f t="shared" si="116"/>
        <v>65.31047525000001</v>
      </c>
      <c r="AP23" s="133">
        <f t="shared" si="117"/>
        <v>1.2018764004857498</v>
      </c>
      <c r="AQ23" s="133">
        <f t="shared" si="118"/>
        <v>3.8241077500000005</v>
      </c>
      <c r="AR23" s="133">
        <f t="shared" si="119"/>
        <v>0.21690221308671942</v>
      </c>
      <c r="AS23" s="5">
        <v>300.7</v>
      </c>
      <c r="AT23" s="5">
        <v>0.28000000000000003</v>
      </c>
      <c r="AU23" s="133">
        <f t="shared" si="120"/>
        <v>2.3051004642978001</v>
      </c>
      <c r="AV23" s="133">
        <f t="shared" si="121"/>
        <v>3.0706329419197636E-2</v>
      </c>
      <c r="AW23" s="133">
        <f t="shared" si="122"/>
        <v>209.93791286607444</v>
      </c>
      <c r="AX23" s="133">
        <f t="shared" si="123"/>
        <v>2.0223313958166704</v>
      </c>
      <c r="AY23" s="133">
        <f t="shared" si="124"/>
        <v>66.172440913197974</v>
      </c>
      <c r="AZ23" s="133">
        <f t="shared" si="125"/>
        <v>1.2018971970340315</v>
      </c>
      <c r="BA23" s="133">
        <f t="shared" si="126"/>
        <v>3.8914016934856184</v>
      </c>
      <c r="BB23" s="133">
        <f t="shared" si="127"/>
        <v>0.21690431332782573</v>
      </c>
      <c r="BC23" s="6"/>
      <c r="BD23" s="8"/>
      <c r="BE23" s="133">
        <f t="shared" si="128"/>
        <v>340.81167717581224</v>
      </c>
      <c r="BF23" s="133">
        <f t="shared" si="129"/>
        <v>6.1901993316431803</v>
      </c>
      <c r="BG23" s="133">
        <f t="shared" si="130"/>
        <v>2.306451527016415</v>
      </c>
      <c r="BH23" s="133">
        <f t="shared" si="131"/>
        <v>3.0724326976157228E-2</v>
      </c>
      <c r="BI23" s="143">
        <f t="shared" si="132"/>
        <v>1147.2693027079599</v>
      </c>
      <c r="BJ23" s="133">
        <f t="shared" si="133"/>
        <v>0.95901392482260661</v>
      </c>
      <c r="BK23" s="143">
        <f t="shared" si="134"/>
        <v>1.9949946537249055</v>
      </c>
      <c r="BL23" s="133">
        <f t="shared" si="135"/>
        <v>3.1240777812907367E-2</v>
      </c>
      <c r="BM23" s="143">
        <f t="shared" si="136"/>
        <v>209.90229641366636</v>
      </c>
      <c r="BN23" s="133">
        <f t="shared" si="137"/>
        <v>2.022331451470504</v>
      </c>
      <c r="BO23" s="147">
        <f t="shared" si="138"/>
        <v>3.7725166467724005</v>
      </c>
      <c r="BP23" s="147">
        <f t="shared" si="139"/>
        <v>0.21691506128325125</v>
      </c>
      <c r="BR23" s="147">
        <f t="shared" si="140"/>
        <v>3.738905489425544</v>
      </c>
      <c r="BS23" s="147">
        <f t="shared" si="141"/>
        <v>0.2169729240176371</v>
      </c>
      <c r="BT23" s="143">
        <f t="shared" si="142"/>
        <v>209.19306292346278</v>
      </c>
      <c r="BU23" s="147">
        <f t="shared" si="143"/>
        <v>0.39529397463849142</v>
      </c>
      <c r="BV23" s="143">
        <f t="shared" si="204"/>
        <v>42.422730582711665</v>
      </c>
      <c r="BW23" s="143">
        <f t="shared" si="144"/>
        <v>64.122670918958249</v>
      </c>
      <c r="BX23" s="3">
        <v>1.6986774770655257E-12</v>
      </c>
      <c r="BY23" s="3">
        <v>9.4454002365720605E-16</v>
      </c>
      <c r="BZ23" s="157">
        <f t="shared" si="145"/>
        <v>6.3511945437638279E-12</v>
      </c>
      <c r="CA23" s="157">
        <f t="shared" si="146"/>
        <v>3.6858393810653284E-13</v>
      </c>
      <c r="CB23" s="157">
        <f t="shared" si="147"/>
        <v>5.7892911993947912E-10</v>
      </c>
      <c r="CC23" s="158">
        <f t="shared" si="148"/>
        <v>1.0520078500549291E-11</v>
      </c>
      <c r="CD23" s="157">
        <f t="shared" si="149"/>
        <v>3.5535154434643749E-10</v>
      </c>
      <c r="CE23" s="477">
        <f t="shared" si="150"/>
        <v>6.9994543627717578E-13</v>
      </c>
      <c r="CF23" s="157">
        <f t="shared" si="151"/>
        <v>3.3888524851486344E-12</v>
      </c>
      <c r="CG23" s="157">
        <f t="shared" si="152"/>
        <v>5.3101450129423259E-14</v>
      </c>
      <c r="CH23" s="157">
        <f t="shared" si="153"/>
        <v>1.9488405246386824E-9</v>
      </c>
      <c r="CI23" s="157">
        <f t="shared" si="154"/>
        <v>1.956553306809989E-12</v>
      </c>
      <c r="CJ23" s="157">
        <f t="shared" si="155"/>
        <v>1.5854026358500897E-14</v>
      </c>
      <c r="CK23" s="157">
        <f t="shared" si="156"/>
        <v>3.1228100887343984E-17</v>
      </c>
      <c r="CL23" s="157">
        <f t="shared" si="205"/>
        <v>8.6947614377087035E-14</v>
      </c>
      <c r="CM23" s="157">
        <f t="shared" si="157"/>
        <v>8.7291735093859871E-17</v>
      </c>
      <c r="CN23" s="66">
        <v>5.1340830000000002E-3</v>
      </c>
      <c r="CO23" s="66">
        <v>7.5577700000000003E-6</v>
      </c>
      <c r="CP23" s="3">
        <v>1.1139738540500025E+19</v>
      </c>
      <c r="CQ23" s="60">
        <v>1.0453256904066513E+18</v>
      </c>
      <c r="CR23" s="3">
        <v>8.0438364680336474E+17</v>
      </c>
      <c r="CS23" s="3">
        <v>8.527140119058072E+16</v>
      </c>
      <c r="CT23" s="6">
        <v>0.49881143094597263</v>
      </c>
      <c r="CU23" s="6">
        <v>4.5926073391395927E-2</v>
      </c>
      <c r="CV23" s="4">
        <v>24.581879797320056</v>
      </c>
      <c r="CW23" s="4">
        <v>0.55629982285426871</v>
      </c>
      <c r="CX23" s="157">
        <f t="shared" si="158"/>
        <v>2.4270031267241134E-9</v>
      </c>
      <c r="CY23" s="157">
        <f t="shared" si="159"/>
        <v>4.4174667366407201E-11</v>
      </c>
      <c r="CZ23" s="133">
        <f t="shared" si="160"/>
        <v>10.543521816621936</v>
      </c>
      <c r="DA23" s="133">
        <f t="shared" si="161"/>
        <v>0.19901526595970143</v>
      </c>
      <c r="DB23" s="159">
        <f t="shared" si="162"/>
        <v>1.0543521816621937E-3</v>
      </c>
      <c r="DC23" s="167">
        <f t="shared" si="163"/>
        <v>1.9901526595970142E-5</v>
      </c>
      <c r="DD23" s="157">
        <f t="shared" si="164"/>
        <v>1.1417359386721156E-8</v>
      </c>
      <c r="DE23" s="157">
        <f t="shared" si="165"/>
        <v>2.8008045398104531E-10</v>
      </c>
      <c r="DF23" s="147">
        <f t="shared" si="166"/>
        <v>44.975515815269468</v>
      </c>
      <c r="DG23" s="133">
        <f t="shared" si="167"/>
        <v>1.1259835703309469</v>
      </c>
      <c r="DH23" s="159">
        <f t="shared" si="168"/>
        <v>4.4975515815269471E-3</v>
      </c>
      <c r="DI23" s="167">
        <f t="shared" si="169"/>
        <v>1.1259835703309469E-4</v>
      </c>
      <c r="DJ23" s="157">
        <f t="shared" si="170"/>
        <v>8.1084310968714153E-7</v>
      </c>
      <c r="DK23" s="157">
        <f t="shared" si="171"/>
        <v>7.6464893349105489E-8</v>
      </c>
      <c r="DL23" s="143">
        <f t="shared" si="172"/>
        <v>3610.9546484734033</v>
      </c>
      <c r="DM23" s="143">
        <f t="shared" si="173"/>
        <v>341.0021504685667</v>
      </c>
      <c r="DN23" s="147">
        <f t="shared" si="174"/>
        <v>0.36109546484734034</v>
      </c>
      <c r="DO23" s="147">
        <f t="shared" si="175"/>
        <v>3.4100215046856668E-2</v>
      </c>
      <c r="DP23" s="147">
        <f t="shared" si="176"/>
        <v>0.21257131745776653</v>
      </c>
      <c r="DQ23" s="147">
        <f t="shared" si="177"/>
        <v>4.4708543331176262E-3</v>
      </c>
      <c r="DR23" s="147">
        <f t="shared" si="178"/>
        <v>2.9931846219431483E-3</v>
      </c>
      <c r="DS23" s="147">
        <f t="shared" si="179"/>
        <v>8.9475253953612346E-3</v>
      </c>
      <c r="DT23" s="147">
        <f t="shared" si="180"/>
        <v>0.23442803546551755</v>
      </c>
      <c r="DU23" s="147">
        <f t="shared" si="181"/>
        <v>5.0517442565298117E-3</v>
      </c>
      <c r="DV23" s="147">
        <f t="shared" si="182"/>
        <v>2.9198710155718521E-3</v>
      </c>
      <c r="DW23" s="147">
        <f t="shared" si="183"/>
        <v>8.9731697437552011E-3</v>
      </c>
      <c r="DX23" s="157">
        <f t="shared" si="184"/>
        <v>7.6153873616530431E-6</v>
      </c>
      <c r="DY23" s="157">
        <f t="shared" si="185"/>
        <v>1.8697025963896409E-7</v>
      </c>
      <c r="DZ23" s="147">
        <f>Ar40AC/Ar39_IC</f>
        <v>21.264583593496404</v>
      </c>
      <c r="EA23" s="147">
        <f t="shared" si="186"/>
        <v>32.143500712577286</v>
      </c>
      <c r="EB23" s="157">
        <f t="shared" si="187"/>
        <v>3.5825093680223636E-5</v>
      </c>
      <c r="EC23" s="157">
        <f t="shared" si="188"/>
        <v>6.5305528113323186E-7</v>
      </c>
      <c r="ED23" s="143">
        <f t="shared" si="206"/>
        <v>186.72190189477388</v>
      </c>
      <c r="EE23" s="143">
        <f t="shared" si="189"/>
        <v>269.02455877664778</v>
      </c>
      <c r="EF23" s="143">
        <f t="shared" si="190"/>
        <v>269.0246863473127</v>
      </c>
      <c r="EG23" s="143">
        <f t="shared" si="207"/>
        <v>186.72190189477388</v>
      </c>
      <c r="EH23" s="147">
        <f t="shared" si="191"/>
        <v>269.02455877664778</v>
      </c>
      <c r="EI23" s="147">
        <f t="shared" si="192"/>
        <v>269.0246863473127</v>
      </c>
      <c r="EJ23" s="501">
        <f t="shared" si="208"/>
        <v>5.1535358576818596E-2</v>
      </c>
      <c r="EK23" s="143">
        <f t="shared" si="209"/>
        <v>186.72190189477388</v>
      </c>
      <c r="EL23" s="143">
        <f t="shared" si="193"/>
        <v>269.02455877664778</v>
      </c>
      <c r="EM23" s="147">
        <f t="shared" si="194"/>
        <v>0.53357718170924451</v>
      </c>
      <c r="EN23" s="147">
        <f t="shared" si="195"/>
        <v>3.09673009251079E-2</v>
      </c>
      <c r="EO23" s="143">
        <f t="shared" si="196"/>
        <v>306.84629658403844</v>
      </c>
      <c r="EP23" s="143">
        <f t="shared" si="197"/>
        <v>17.808485688300557</v>
      </c>
      <c r="EQ23" s="157">
        <f t="shared" si="198"/>
        <v>1.7389070282069039E-3</v>
      </c>
      <c r="ER23" s="157">
        <f t="shared" si="199"/>
        <v>2.7269321486103881E-5</v>
      </c>
      <c r="ES23" s="157">
        <f t="shared" si="200"/>
        <v>3.2589606299065176E-3</v>
      </c>
      <c r="ET23" s="157">
        <f t="shared" si="201"/>
        <v>1.8914079909884162E-4</v>
      </c>
      <c r="LQ23" s="214" t="str">
        <f t="shared" si="96"/>
        <v>B1x Plagioclase</v>
      </c>
      <c r="LR23" s="214" t="str">
        <f t="shared" si="97"/>
        <v>MN2022a</v>
      </c>
      <c r="LS23" s="211">
        <f t="shared" si="98"/>
        <v>10.543521816621936</v>
      </c>
      <c r="LT23" s="211">
        <f t="shared" si="99"/>
        <v>0.19901526595970143</v>
      </c>
      <c r="LU23" s="211">
        <f t="shared" si="100"/>
        <v>44.975515815269468</v>
      </c>
      <c r="LV23" s="211">
        <f t="shared" si="101"/>
        <v>1.1259835703309469</v>
      </c>
      <c r="LW23" s="211">
        <f t="shared" si="102"/>
        <v>3610.9546484734033</v>
      </c>
      <c r="LX23" s="211">
        <f t="shared" si="103"/>
        <v>341.0021504685667</v>
      </c>
      <c r="LY23" s="211"/>
      <c r="LZ23" s="211"/>
      <c r="MA23" s="211"/>
      <c r="MB23" s="211"/>
      <c r="MC23" s="211"/>
      <c r="MD23" s="211"/>
      <c r="ME23" s="211"/>
      <c r="MF23" s="211"/>
      <c r="MG23" s="211"/>
      <c r="MH23" s="211"/>
      <c r="MI23" s="211"/>
      <c r="MJ23" s="211"/>
      <c r="MK23" s="211"/>
      <c r="ML23" s="211"/>
      <c r="MM23" s="211"/>
      <c r="MN23" s="211"/>
      <c r="MO23" s="506">
        <f t="shared" si="107"/>
        <v>0.23442803546551755</v>
      </c>
      <c r="MP23" s="506">
        <f t="shared" si="107"/>
        <v>5.0517442565298117E-3</v>
      </c>
      <c r="MQ23" s="109"/>
      <c r="MR23" s="109"/>
      <c r="MS23" s="109"/>
      <c r="MT23" s="109"/>
      <c r="MU23" s="109"/>
      <c r="MV23" s="109"/>
      <c r="MW23" s="506">
        <f t="shared" si="108"/>
        <v>0.21257131745776653</v>
      </c>
      <c r="MX23" s="506">
        <f t="shared" si="108"/>
        <v>4.4708543331176262E-3</v>
      </c>
      <c r="MY23" s="109"/>
      <c r="MZ23" s="109"/>
      <c r="NA23" s="109"/>
      <c r="NB23" s="109"/>
      <c r="NC23" s="109"/>
      <c r="ND23" s="109"/>
    </row>
    <row r="24" spans="2:368">
      <c r="B24" s="245" t="s">
        <v>935</v>
      </c>
      <c r="C24" s="5">
        <f t="shared" si="202"/>
        <v>8.9999999999999993E-3</v>
      </c>
      <c r="D24" s="66">
        <f t="shared" si="203"/>
        <v>4.4999999999999996E-5</v>
      </c>
      <c r="E24" s="67">
        <v>44727</v>
      </c>
      <c r="F24" s="5" t="s">
        <v>210</v>
      </c>
      <c r="G24" s="5" t="s">
        <v>893</v>
      </c>
      <c r="H24" s="5">
        <v>1</v>
      </c>
      <c r="J24" s="327">
        <v>44644</v>
      </c>
      <c r="K24" s="67" t="s">
        <v>823</v>
      </c>
      <c r="L24" s="5">
        <v>2</v>
      </c>
      <c r="M24" s="5">
        <v>1.87</v>
      </c>
      <c r="N24" s="5">
        <v>30</v>
      </c>
      <c r="O24" s="6">
        <v>649.76370699999995</v>
      </c>
      <c r="P24" s="6">
        <v>0.19600000000000001</v>
      </c>
      <c r="Q24" s="6">
        <v>4.2248979999999996</v>
      </c>
      <c r="R24" s="6">
        <v>9.2420000000000002E-3</v>
      </c>
      <c r="S24" s="6">
        <v>120.762214</v>
      </c>
      <c r="T24" s="6">
        <v>0.109138</v>
      </c>
      <c r="U24" s="6">
        <v>149.15186199999999</v>
      </c>
      <c r="V24" s="6">
        <v>0.121479</v>
      </c>
      <c r="W24" s="6">
        <v>2.533007</v>
      </c>
      <c r="X24" s="6">
        <v>8.6079999999999993E-3</v>
      </c>
      <c r="Y24" s="6">
        <v>6.3067744999999995</v>
      </c>
      <c r="Z24" s="6">
        <v>0.93511705857555649</v>
      </c>
      <c r="AA24" s="6">
        <v>4.3458000000000004E-2</v>
      </c>
      <c r="AB24" s="6">
        <v>2.986365296923112E-2</v>
      </c>
      <c r="AC24" s="6">
        <v>2.21285175</v>
      </c>
      <c r="AD24" s="6">
        <v>2.0188658876193135</v>
      </c>
      <c r="AE24" s="6">
        <v>1.3901317499999999</v>
      </c>
      <c r="AF24" s="6">
        <v>1.1954009646957722</v>
      </c>
      <c r="AG24" s="6">
        <v>0.25606525000000002</v>
      </c>
      <c r="AH24" s="6">
        <v>0.21678044365882418</v>
      </c>
      <c r="AI24" s="133">
        <f t="shared" si="110"/>
        <v>643.45693249999999</v>
      </c>
      <c r="AJ24" s="133">
        <f t="shared" si="111"/>
        <v>0.95543702735397518</v>
      </c>
      <c r="AK24" s="133">
        <f t="shared" si="112"/>
        <v>4.1814399999999994</v>
      </c>
      <c r="AL24" s="133">
        <f t="shared" si="113"/>
        <v>3.1261035374194932E-2</v>
      </c>
      <c r="AM24" s="133">
        <f t="shared" si="114"/>
        <v>118.54936225</v>
      </c>
      <c r="AN24" s="133">
        <f t="shared" si="115"/>
        <v>2.0218136846002697</v>
      </c>
      <c r="AO24" s="133">
        <f t="shared" si="116"/>
        <v>147.76173025</v>
      </c>
      <c r="AP24" s="133">
        <f t="shared" si="117"/>
        <v>1.2015575782444148</v>
      </c>
      <c r="AQ24" s="133">
        <f t="shared" si="118"/>
        <v>2.2769417499999998</v>
      </c>
      <c r="AR24" s="133">
        <f t="shared" si="119"/>
        <v>0.21695128120598101</v>
      </c>
      <c r="AS24" s="5">
        <v>300.7</v>
      </c>
      <c r="AT24" s="5">
        <v>0.28000000000000003</v>
      </c>
      <c r="AU24" s="133">
        <f t="shared" si="120"/>
        <v>4.1998355059221648</v>
      </c>
      <c r="AV24" s="133">
        <f t="shared" si="121"/>
        <v>3.1261348535840505E-2</v>
      </c>
      <c r="AW24" s="133">
        <f t="shared" si="122"/>
        <v>119.59243616489002</v>
      </c>
      <c r="AX24" s="133">
        <f t="shared" si="123"/>
        <v>2.0218333819943619</v>
      </c>
      <c r="AY24" s="133">
        <f t="shared" si="124"/>
        <v>149.71188506548225</v>
      </c>
      <c r="AZ24" s="133">
        <f t="shared" si="125"/>
        <v>1.2015788642533172</v>
      </c>
      <c r="BA24" s="133">
        <f t="shared" si="126"/>
        <v>2.3170097604906936</v>
      </c>
      <c r="BB24" s="133">
        <f t="shared" si="127"/>
        <v>0.21695338109319937</v>
      </c>
      <c r="BC24" s="6"/>
      <c r="BD24" s="8"/>
      <c r="BE24" s="133">
        <f t="shared" si="128"/>
        <v>771.06961656816986</v>
      </c>
      <c r="BF24" s="133">
        <f t="shared" si="129"/>
        <v>6.1885598042599055</v>
      </c>
      <c r="BG24" s="133">
        <f t="shared" si="130"/>
        <v>4.2022971084701881</v>
      </c>
      <c r="BH24" s="133">
        <f t="shared" si="131"/>
        <v>3.1279671399938862E-2</v>
      </c>
      <c r="BI24" s="143">
        <f t="shared" si="132"/>
        <v>643.00148439900534</v>
      </c>
      <c r="BJ24" s="133">
        <f t="shared" si="133"/>
        <v>0.95544599312631295</v>
      </c>
      <c r="BK24" s="143">
        <f t="shared" si="134"/>
        <v>3.4976412884100139</v>
      </c>
      <c r="BL24" s="133">
        <f t="shared" si="135"/>
        <v>3.1786834120109339E-2</v>
      </c>
      <c r="BM24" s="143">
        <f t="shared" si="136"/>
        <v>119.52754387766211</v>
      </c>
      <c r="BN24" s="133">
        <f t="shared" si="137"/>
        <v>2.0218334396924806</v>
      </c>
      <c r="BO24" s="147">
        <f t="shared" si="138"/>
        <v>2.0480382036928866</v>
      </c>
      <c r="BP24" s="147">
        <f t="shared" si="139"/>
        <v>0.21696412092671488</v>
      </c>
      <c r="BR24" s="147">
        <f t="shared" si="140"/>
        <v>2.0288955147415377</v>
      </c>
      <c r="BS24" s="147">
        <f t="shared" si="141"/>
        <v>0.21702196825064754</v>
      </c>
      <c r="BT24" s="143">
        <f t="shared" si="142"/>
        <v>119.14251249959831</v>
      </c>
      <c r="BU24" s="147">
        <f t="shared" si="143"/>
        <v>0.39528601257957507</v>
      </c>
      <c r="BV24" s="143">
        <f t="shared" si="204"/>
        <v>43.462859792880977</v>
      </c>
      <c r="BW24" s="143">
        <f t="shared" si="144"/>
        <v>64.137108618794471</v>
      </c>
      <c r="BX24" s="3">
        <v>1.6986774770655257E-12</v>
      </c>
      <c r="BY24" s="3">
        <v>9.4454002365720605E-16</v>
      </c>
      <c r="BZ24" s="157">
        <f t="shared" si="145"/>
        <v>3.4464391142107164E-12</v>
      </c>
      <c r="CA24" s="157">
        <f t="shared" si="146"/>
        <v>3.6865531044989362E-13</v>
      </c>
      <c r="CB24" s="157">
        <f t="shared" si="147"/>
        <v>1.3097985909139011E-9</v>
      </c>
      <c r="CC24" s="158">
        <f t="shared" si="148"/>
        <v>1.053756580033479E-11</v>
      </c>
      <c r="CD24" s="157">
        <f t="shared" si="149"/>
        <v>2.0238470254406553E-10</v>
      </c>
      <c r="CE24" s="477">
        <f t="shared" si="150"/>
        <v>6.8082836118754619E-13</v>
      </c>
      <c r="CF24" s="157">
        <f t="shared" si="151"/>
        <v>5.9413644794765369E-12</v>
      </c>
      <c r="CG24" s="157">
        <f t="shared" si="152"/>
        <v>5.4096550311265827E-14</v>
      </c>
      <c r="CH24" s="157">
        <f t="shared" si="153"/>
        <v>1.0922521392682903E-9</v>
      </c>
      <c r="CI24" s="157">
        <f t="shared" si="154"/>
        <v>1.7329091395307826E-12</v>
      </c>
      <c r="CJ24" s="157">
        <f t="shared" si="155"/>
        <v>9.0294033042469484E-15</v>
      </c>
      <c r="CK24" s="157">
        <f t="shared" si="156"/>
        <v>3.0375190754161906E-17</v>
      </c>
      <c r="CL24" s="157">
        <f t="shared" si="205"/>
        <v>4.8730882084492263E-14</v>
      </c>
      <c r="CM24" s="157">
        <f t="shared" si="157"/>
        <v>7.7313830340467553E-17</v>
      </c>
      <c r="CN24" s="66">
        <v>5.1340830000000002E-3</v>
      </c>
      <c r="CO24" s="66">
        <v>7.5577700000000003E-6</v>
      </c>
      <c r="CP24" s="3">
        <v>1.1139738540500025E+19</v>
      </c>
      <c r="CQ24" s="60">
        <v>1.0453256904066513E+18</v>
      </c>
      <c r="CR24" s="3">
        <v>8.0438364680336474E+17</v>
      </c>
      <c r="CS24" s="3">
        <v>8.527140119058072E+16</v>
      </c>
      <c r="CT24" s="6">
        <v>0.49881143094597263</v>
      </c>
      <c r="CU24" s="6">
        <v>4.5926073391395927E-2</v>
      </c>
      <c r="CV24" s="4">
        <v>24.581879797320056</v>
      </c>
      <c r="CW24" s="4">
        <v>0.55629982285426871</v>
      </c>
      <c r="CX24" s="157">
        <f t="shared" si="158"/>
        <v>4.2550421512563112E-9</v>
      </c>
      <c r="CY24" s="157">
        <f t="shared" si="159"/>
        <v>5.525969077460531E-11</v>
      </c>
      <c r="CZ24" s="133">
        <f t="shared" si="160"/>
        <v>18.484990504718297</v>
      </c>
      <c r="DA24" s="133">
        <f t="shared" si="161"/>
        <v>0.25723965614289285</v>
      </c>
      <c r="DB24" s="159">
        <f t="shared" si="162"/>
        <v>1.8484990504718298E-3</v>
      </c>
      <c r="DC24" s="167">
        <f t="shared" si="163"/>
        <v>2.5723965614289283E-5</v>
      </c>
      <c r="DD24" s="157">
        <f t="shared" si="164"/>
        <v>6.5025716648286778E-9</v>
      </c>
      <c r="DE24" s="157">
        <f t="shared" si="165"/>
        <v>1.6049791224513427E-10</v>
      </c>
      <c r="DF24" s="147">
        <f t="shared" si="166"/>
        <v>25.61507480368568</v>
      </c>
      <c r="DG24" s="133">
        <f t="shared" si="167"/>
        <v>0.64507896711823254</v>
      </c>
      <c r="DH24" s="159">
        <f t="shared" si="168"/>
        <v>2.561507480368568E-3</v>
      </c>
      <c r="DI24" s="167">
        <f t="shared" si="169"/>
        <v>6.4507896711823255E-5</v>
      </c>
      <c r="DJ24" s="157">
        <f t="shared" si="170"/>
        <v>1.8344925586598387E-6</v>
      </c>
      <c r="DK24" s="157">
        <f t="shared" si="171"/>
        <v>1.7039624382607226E-7</v>
      </c>
      <c r="DL24" s="143">
        <f t="shared" si="172"/>
        <v>8169.606861231814</v>
      </c>
      <c r="DM24" s="143">
        <f t="shared" si="173"/>
        <v>759.93034338810048</v>
      </c>
      <c r="DN24" s="147">
        <f t="shared" si="174"/>
        <v>0.8169606861231814</v>
      </c>
      <c r="DO24" s="147">
        <f t="shared" si="175"/>
        <v>7.599303433881005E-2</v>
      </c>
      <c r="DP24" s="147">
        <f t="shared" si="176"/>
        <v>0.65436297676980981</v>
      </c>
      <c r="DQ24" s="147">
        <f t="shared" si="177"/>
        <v>9.1073407261630587E-3</v>
      </c>
      <c r="DR24" s="147">
        <f t="shared" si="178"/>
        <v>2.3194654735284232E-3</v>
      </c>
      <c r="DS24" s="147">
        <f t="shared" si="179"/>
        <v>8.657685323595992E-3</v>
      </c>
      <c r="DT24" s="147">
        <f t="shared" si="180"/>
        <v>0.72164499406648408</v>
      </c>
      <c r="DU24" s="147">
        <f t="shared" si="181"/>
        <v>1.0676722515745803E-2</v>
      </c>
      <c r="DV24" s="147">
        <f t="shared" si="182"/>
        <v>2.26265361585969E-3</v>
      </c>
      <c r="DW24" s="147">
        <f t="shared" si="183"/>
        <v>8.684060078058416E-3</v>
      </c>
      <c r="DX24" s="157">
        <f t="shared" si="184"/>
        <v>7.4940938133860872E-6</v>
      </c>
      <c r="DY24" s="157">
        <f t="shared" si="185"/>
        <v>1.8535261698071745E-7</v>
      </c>
      <c r="DZ24" s="147">
        <f>Ar40AC/Ar39_IC</f>
        <v>12.426334266153027</v>
      </c>
      <c r="EA24" s="147">
        <f t="shared" si="186"/>
        <v>18.337593715311044</v>
      </c>
      <c r="EB24" s="157">
        <f t="shared" si="187"/>
        <v>1.145250278428014E-5</v>
      </c>
      <c r="EC24" s="157">
        <f t="shared" si="188"/>
        <v>1.4983795425107927E-7</v>
      </c>
      <c r="ED24" s="143">
        <f t="shared" si="206"/>
        <v>111.44915462518843</v>
      </c>
      <c r="EE24" s="143">
        <f t="shared" si="189"/>
        <v>160.02275179413789</v>
      </c>
      <c r="EF24" s="143">
        <f t="shared" si="190"/>
        <v>160.02283141274461</v>
      </c>
      <c r="EG24" s="143">
        <f t="shared" si="207"/>
        <v>111.44915462518843</v>
      </c>
      <c r="EH24" s="147">
        <f t="shared" si="191"/>
        <v>160.02275179413789</v>
      </c>
      <c r="EI24" s="147">
        <f t="shared" si="192"/>
        <v>160.02283141274461</v>
      </c>
      <c r="EJ24" s="501">
        <f t="shared" si="208"/>
        <v>9.0352221062218074E-2</v>
      </c>
      <c r="EK24" s="143">
        <f t="shared" si="209"/>
        <v>111.44915462518843</v>
      </c>
      <c r="EL24" s="143">
        <f t="shared" si="193"/>
        <v>160.02275179413789</v>
      </c>
      <c r="EM24" s="147">
        <f t="shared" si="194"/>
        <v>1.7239139536742387</v>
      </c>
      <c r="EN24" s="147">
        <f t="shared" si="195"/>
        <v>0.18441723262601153</v>
      </c>
      <c r="EO24" s="143">
        <f t="shared" si="196"/>
        <v>316.92193103444151</v>
      </c>
      <c r="EP24" s="143">
        <f t="shared" si="197"/>
        <v>33.903006211705431</v>
      </c>
      <c r="EQ24" s="157">
        <f t="shared" si="198"/>
        <v>5.4395539874673177E-3</v>
      </c>
      <c r="ER24" s="157">
        <f t="shared" si="199"/>
        <v>5.0091497638415873E-5</v>
      </c>
      <c r="ES24" s="157">
        <f t="shared" si="200"/>
        <v>3.1553512145277348E-3</v>
      </c>
      <c r="ET24" s="157">
        <f t="shared" si="201"/>
        <v>3.3754651019913309E-4</v>
      </c>
      <c r="LQ24" s="214" t="str">
        <f t="shared" si="96"/>
        <v>B1x Plagioclase</v>
      </c>
      <c r="LR24" s="214" t="str">
        <f t="shared" si="97"/>
        <v>MN2022a</v>
      </c>
      <c r="LS24" s="211">
        <f t="shared" si="98"/>
        <v>18.484990504718297</v>
      </c>
      <c r="LT24" s="211">
        <f t="shared" si="99"/>
        <v>0.25723965614289285</v>
      </c>
      <c r="LU24" s="211">
        <f t="shared" si="100"/>
        <v>25.61507480368568</v>
      </c>
      <c r="LV24" s="211">
        <f t="shared" si="101"/>
        <v>0.64507896711823254</v>
      </c>
      <c r="LW24" s="211">
        <f t="shared" si="102"/>
        <v>8169.606861231814</v>
      </c>
      <c r="LX24" s="211">
        <f t="shared" si="103"/>
        <v>759.93034338810048</v>
      </c>
      <c r="LY24" s="211"/>
      <c r="LZ24" s="211"/>
      <c r="MA24" s="211"/>
      <c r="MB24" s="211"/>
      <c r="MC24" s="211"/>
      <c r="MD24" s="211"/>
      <c r="ME24" s="211"/>
      <c r="MF24" s="211"/>
      <c r="MG24" s="211"/>
      <c r="MH24" s="211"/>
      <c r="MI24" s="211"/>
      <c r="MJ24" s="211"/>
      <c r="MK24" s="211"/>
      <c r="ML24" s="211"/>
      <c r="MM24" s="211"/>
      <c r="MN24" s="211"/>
      <c r="MO24" s="506">
        <f t="shared" si="107"/>
        <v>0.72164499406648408</v>
      </c>
      <c r="MP24" s="506">
        <f t="shared" si="107"/>
        <v>1.0676722515745803E-2</v>
      </c>
      <c r="MQ24" s="109"/>
      <c r="MR24" s="109"/>
      <c r="MS24" s="109"/>
      <c r="MT24" s="109"/>
      <c r="MU24" s="109"/>
      <c r="MV24" s="109"/>
      <c r="MW24" s="506">
        <f t="shared" si="108"/>
        <v>0.65436297676980981</v>
      </c>
      <c r="MX24" s="506">
        <f t="shared" si="108"/>
        <v>9.1073407261630587E-3</v>
      </c>
      <c r="MY24" s="109"/>
      <c r="MZ24" s="109"/>
      <c r="NA24" s="109"/>
      <c r="NB24" s="109"/>
      <c r="NC24" s="109"/>
      <c r="ND24" s="109"/>
    </row>
    <row r="25" spans="2:368">
      <c r="B25" s="245" t="s">
        <v>935</v>
      </c>
      <c r="C25" s="5">
        <f t="shared" si="202"/>
        <v>8.9999999999999993E-3</v>
      </c>
      <c r="D25" s="66">
        <f t="shared" si="203"/>
        <v>4.4999999999999996E-5</v>
      </c>
      <c r="E25" s="67">
        <v>44727</v>
      </c>
      <c r="F25" s="5" t="s">
        <v>210</v>
      </c>
      <c r="G25" s="5" t="s">
        <v>893</v>
      </c>
      <c r="H25" s="5">
        <v>1</v>
      </c>
      <c r="J25" s="327">
        <v>44644</v>
      </c>
      <c r="K25" s="67" t="s">
        <v>823</v>
      </c>
      <c r="L25" s="5">
        <v>2.5</v>
      </c>
      <c r="M25" s="5">
        <v>2.64</v>
      </c>
      <c r="N25" s="5">
        <v>30</v>
      </c>
      <c r="O25" s="6">
        <v>354.205715</v>
      </c>
      <c r="P25" s="6">
        <v>0.15964700000000001</v>
      </c>
      <c r="Q25" s="6">
        <v>5.6166159999999996</v>
      </c>
      <c r="R25" s="6">
        <v>1.5499000000000001E-2</v>
      </c>
      <c r="S25" s="6">
        <v>74.817605999999998</v>
      </c>
      <c r="T25" s="6">
        <v>7.1393999999999999E-2</v>
      </c>
      <c r="U25" s="6">
        <v>150.43839299999999</v>
      </c>
      <c r="V25" s="6">
        <v>0.121104</v>
      </c>
      <c r="W25" s="6">
        <v>1.54423</v>
      </c>
      <c r="X25" s="6">
        <v>5.3229999999999996E-3</v>
      </c>
      <c r="Y25" s="6">
        <v>6.3067744999999995</v>
      </c>
      <c r="Z25" s="6">
        <v>0.93511705857555649</v>
      </c>
      <c r="AA25" s="6">
        <v>4.3458000000000004E-2</v>
      </c>
      <c r="AB25" s="6">
        <v>2.986365296923112E-2</v>
      </c>
      <c r="AC25" s="6">
        <v>2.21285175</v>
      </c>
      <c r="AD25" s="6">
        <v>2.0188658876193135</v>
      </c>
      <c r="AE25" s="6">
        <v>1.3901317499999999</v>
      </c>
      <c r="AF25" s="6">
        <v>1.1954009646957722</v>
      </c>
      <c r="AG25" s="6">
        <v>0.25606525000000002</v>
      </c>
      <c r="AH25" s="6">
        <v>0.21678044365882418</v>
      </c>
      <c r="AI25" s="133">
        <f t="shared" si="110"/>
        <v>347.89894049999998</v>
      </c>
      <c r="AJ25" s="133">
        <f t="shared" si="111"/>
        <v>0.94864697219144734</v>
      </c>
      <c r="AK25" s="133">
        <f t="shared" si="112"/>
        <v>5.5731579999999994</v>
      </c>
      <c r="AL25" s="133">
        <f t="shared" si="113"/>
        <v>3.3646051323545631E-2</v>
      </c>
      <c r="AM25" s="133">
        <f t="shared" si="114"/>
        <v>72.604754249999999</v>
      </c>
      <c r="AN25" s="133">
        <f t="shared" si="115"/>
        <v>2.0201278611585254</v>
      </c>
      <c r="AO25" s="133">
        <f t="shared" si="116"/>
        <v>149.04826125</v>
      </c>
      <c r="AP25" s="133">
        <f t="shared" si="117"/>
        <v>1.2015197231887551</v>
      </c>
      <c r="AQ25" s="133">
        <f t="shared" si="118"/>
        <v>1.28816475</v>
      </c>
      <c r="AR25" s="133">
        <f t="shared" si="119"/>
        <v>0.21684578640572347</v>
      </c>
      <c r="AS25" s="5">
        <v>300.7</v>
      </c>
      <c r="AT25" s="5">
        <v>0.28000000000000003</v>
      </c>
      <c r="AU25" s="133">
        <f t="shared" si="120"/>
        <v>5.5976761231810483</v>
      </c>
      <c r="AV25" s="133">
        <f t="shared" si="121"/>
        <v>3.3646394492538992E-2</v>
      </c>
      <c r="AW25" s="133">
        <f t="shared" si="122"/>
        <v>73.243577806852798</v>
      </c>
      <c r="AX25" s="133">
        <f t="shared" si="123"/>
        <v>2.020147459571354</v>
      </c>
      <c r="AY25" s="133">
        <f t="shared" si="124"/>
        <v>151.01539566243656</v>
      </c>
      <c r="AZ25" s="133">
        <f t="shared" si="125"/>
        <v>1.2015410193234553</v>
      </c>
      <c r="BA25" s="133">
        <f t="shared" si="126"/>
        <v>1.310832962182741</v>
      </c>
      <c r="BB25" s="133">
        <f t="shared" si="127"/>
        <v>0.21684788496276763</v>
      </c>
      <c r="BC25" s="6"/>
      <c r="BD25" s="8"/>
      <c r="BE25" s="133">
        <f t="shared" si="128"/>
        <v>777.78316115914538</v>
      </c>
      <c r="BF25" s="133">
        <f t="shared" si="129"/>
        <v>6.1883648893702503</v>
      </c>
      <c r="BG25" s="133">
        <f t="shared" si="130"/>
        <v>5.6009570263946156</v>
      </c>
      <c r="BH25" s="133">
        <f t="shared" si="131"/>
        <v>3.3666115276912059E-2</v>
      </c>
      <c r="BI25" s="143">
        <f t="shared" si="132"/>
        <v>347.26216371388119</v>
      </c>
      <c r="BJ25" s="133">
        <f t="shared" si="133"/>
        <v>0.94865738724831217</v>
      </c>
      <c r="BK25" s="143">
        <f t="shared" si="134"/>
        <v>4.890165913012523</v>
      </c>
      <c r="BL25" s="133">
        <f t="shared" si="135"/>
        <v>3.4137813104580375E-2</v>
      </c>
      <c r="BM25" s="143">
        <f t="shared" si="136"/>
        <v>73.157087274954094</v>
      </c>
      <c r="BN25" s="133">
        <f t="shared" si="137"/>
        <v>2.0201475264651116</v>
      </c>
      <c r="BO25" s="147">
        <f t="shared" si="138"/>
        <v>1.0395195253504137</v>
      </c>
      <c r="BP25" s="147">
        <f t="shared" si="139"/>
        <v>0.2168586293441099</v>
      </c>
      <c r="BR25" s="147">
        <f t="shared" si="140"/>
        <v>1.0277967381967152</v>
      </c>
      <c r="BS25" s="147">
        <f t="shared" si="141"/>
        <v>0.21691635216923352</v>
      </c>
      <c r="BT25" s="143">
        <f t="shared" si="142"/>
        <v>72.961657504821773</v>
      </c>
      <c r="BU25" s="147">
        <f t="shared" si="143"/>
        <v>0.39476436748342347</v>
      </c>
      <c r="BV25" s="143">
        <f t="shared" si="204"/>
        <v>43.548227576751856</v>
      </c>
      <c r="BW25" s="143">
        <f t="shared" si="144"/>
        <v>64.105801712357007</v>
      </c>
      <c r="BX25" s="3">
        <v>1.6986774770655257E-12</v>
      </c>
      <c r="BY25" s="3">
        <v>9.4454002365720605E-16</v>
      </c>
      <c r="BZ25" s="157">
        <f t="shared" si="145"/>
        <v>1.7458951701761728E-12</v>
      </c>
      <c r="CA25" s="157">
        <f t="shared" si="146"/>
        <v>3.6847220069186913E-13</v>
      </c>
      <c r="CB25" s="157">
        <f t="shared" si="147"/>
        <v>1.3212027379018663E-9</v>
      </c>
      <c r="CC25" s="158">
        <f t="shared" si="148"/>
        <v>1.0537675681364462E-11</v>
      </c>
      <c r="CD25" s="157">
        <f t="shared" si="149"/>
        <v>1.2393832429280963E-10</v>
      </c>
      <c r="CE25" s="477">
        <f t="shared" si="150"/>
        <v>6.7410924501902371E-13</v>
      </c>
      <c r="CF25" s="157">
        <f t="shared" si="151"/>
        <v>8.3068146955479456E-12</v>
      </c>
      <c r="CG25" s="157">
        <f t="shared" si="152"/>
        <v>5.8172798258923682E-14</v>
      </c>
      <c r="CH25" s="157">
        <f t="shared" si="153"/>
        <v>5.898864161378112E-10</v>
      </c>
      <c r="CI25" s="157">
        <f t="shared" si="154"/>
        <v>1.6445056320887314E-12</v>
      </c>
      <c r="CJ25" s="157">
        <f t="shared" si="155"/>
        <v>5.5295143398926812E-15</v>
      </c>
      <c r="CK25" s="157">
        <f t="shared" si="156"/>
        <v>3.0075416780473022E-17</v>
      </c>
      <c r="CL25" s="157">
        <f t="shared" si="205"/>
        <v>2.6317811020550995E-14</v>
      </c>
      <c r="CM25" s="157">
        <f t="shared" si="157"/>
        <v>7.3369699996731862E-17</v>
      </c>
      <c r="CN25" s="66">
        <v>5.1340830000000002E-3</v>
      </c>
      <c r="CO25" s="66">
        <v>7.5577700000000003E-6</v>
      </c>
      <c r="CP25" s="3">
        <v>1.1139738540500025E+19</v>
      </c>
      <c r="CQ25" s="60">
        <v>1.0453256904066513E+18</v>
      </c>
      <c r="CR25" s="3">
        <v>8.0438364680336474E+17</v>
      </c>
      <c r="CS25" s="3">
        <v>8.527140119058072E+16</v>
      </c>
      <c r="CT25" s="6">
        <v>0.49881143094597263</v>
      </c>
      <c r="CU25" s="6">
        <v>4.5926073391395927E-2</v>
      </c>
      <c r="CV25" s="4">
        <v>24.581879797320056</v>
      </c>
      <c r="CW25" s="4">
        <v>0.55629982285426871</v>
      </c>
      <c r="CX25" s="157">
        <f t="shared" si="158"/>
        <v>5.9491126649994732E-9</v>
      </c>
      <c r="CY25" s="157">
        <f t="shared" si="159"/>
        <v>6.9070923247026759E-11</v>
      </c>
      <c r="CZ25" s="133">
        <f t="shared" si="160"/>
        <v>25.844465745549879</v>
      </c>
      <c r="DA25" s="133">
        <f t="shared" si="161"/>
        <v>0.32670393221316546</v>
      </c>
      <c r="DB25" s="159">
        <f t="shared" si="162"/>
        <v>2.584446574554988E-3</v>
      </c>
      <c r="DC25" s="167">
        <f t="shared" si="163"/>
        <v>3.2670393221316549E-5</v>
      </c>
      <c r="DD25" s="157">
        <f t="shared" si="164"/>
        <v>3.9821084578133962E-9</v>
      </c>
      <c r="DE25" s="157">
        <f t="shared" si="165"/>
        <v>9.974993511731109E-11</v>
      </c>
      <c r="DF25" s="147">
        <f t="shared" si="166"/>
        <v>15.686410128317593</v>
      </c>
      <c r="DG25" s="133">
        <f t="shared" si="167"/>
        <v>0.40068841629830432</v>
      </c>
      <c r="DH25" s="159">
        <f t="shared" si="168"/>
        <v>1.5686410128317593E-3</v>
      </c>
      <c r="DI25" s="167">
        <f t="shared" si="169"/>
        <v>4.0068841629830434E-5</v>
      </c>
      <c r="DJ25" s="157">
        <f t="shared" si="170"/>
        <v>1.8504651081284466E-6</v>
      </c>
      <c r="DK25" s="157">
        <f t="shared" si="171"/>
        <v>1.7186877960699716E-7</v>
      </c>
      <c r="DL25" s="143">
        <f t="shared" si="172"/>
        <v>8240.7379481986827</v>
      </c>
      <c r="DM25" s="143">
        <f t="shared" si="173"/>
        <v>766.49767674910663</v>
      </c>
      <c r="DN25" s="147">
        <f t="shared" si="174"/>
        <v>0.82407379481986831</v>
      </c>
      <c r="DO25" s="147">
        <f t="shared" si="175"/>
        <v>7.6649767674910663E-2</v>
      </c>
      <c r="DP25" s="133">
        <f t="shared" si="176"/>
        <v>1.4939604804903213</v>
      </c>
      <c r="DQ25" s="133">
        <f t="shared" si="177"/>
        <v>1.7972793243317037E-2</v>
      </c>
      <c r="DR25" s="133">
        <f t="shared" si="178"/>
        <v>3.2149283111943586E-3</v>
      </c>
      <c r="DS25" s="133">
        <f t="shared" si="179"/>
        <v>8.6637777551689978E-3</v>
      </c>
      <c r="DT25" s="133">
        <f t="shared" si="180"/>
        <v>1.6475704469115371</v>
      </c>
      <c r="DU25" s="133">
        <f t="shared" si="181"/>
        <v>2.1479674470537859E-2</v>
      </c>
      <c r="DV25" s="133">
        <f t="shared" si="182"/>
        <v>3.1361834228934727E-3</v>
      </c>
      <c r="DW25" s="133">
        <f t="shared" si="183"/>
        <v>8.6911064502700822E-3</v>
      </c>
      <c r="DX25" s="157">
        <f t="shared" si="184"/>
        <v>6.6090141188676441E-6</v>
      </c>
      <c r="DY25" s="157">
        <f t="shared" si="185"/>
        <v>1.6657480203257677E-7</v>
      </c>
      <c r="DZ25" s="147">
        <f t="shared" ref="DZ25:DZ32" si="210">Ar40AC/Ar39_IC</f>
        <v>8.905265864471362</v>
      </c>
      <c r="EA25" s="147">
        <f t="shared" si="186"/>
        <v>13.109273527100182</v>
      </c>
      <c r="EB25" s="157">
        <f t="shared" si="187"/>
        <v>4.4238212490724995E-6</v>
      </c>
      <c r="EC25" s="157">
        <f t="shared" si="188"/>
        <v>5.282176963029383E-8</v>
      </c>
      <c r="ED25" s="143">
        <f t="shared" si="206"/>
        <v>80.562966037700619</v>
      </c>
      <c r="EE25" s="143">
        <f t="shared" si="189"/>
        <v>116.37549582454338</v>
      </c>
      <c r="EF25" s="143">
        <f t="shared" si="190"/>
        <v>116.37555401202228</v>
      </c>
      <c r="EG25" s="143">
        <f t="shared" si="207"/>
        <v>80.562966037700619</v>
      </c>
      <c r="EH25" s="147">
        <f t="shared" si="191"/>
        <v>116.37549582454338</v>
      </c>
      <c r="EI25" s="147">
        <f t="shared" si="192"/>
        <v>116.37555401202228</v>
      </c>
      <c r="EJ25" s="501">
        <f t="shared" si="208"/>
        <v>0.12632437553488654</v>
      </c>
      <c r="EK25" s="143">
        <f t="shared" si="209"/>
        <v>80.562966037700619</v>
      </c>
      <c r="EL25" s="143">
        <f t="shared" si="193"/>
        <v>116.37549582454338</v>
      </c>
      <c r="EM25" s="147">
        <f t="shared" si="194"/>
        <v>4.7579114928817461</v>
      </c>
      <c r="EN25" s="147">
        <f t="shared" si="195"/>
        <v>1.004240646457716</v>
      </c>
      <c r="EO25" s="143">
        <f t="shared" si="196"/>
        <v>337.87046680373578</v>
      </c>
      <c r="EP25" s="143">
        <f t="shared" si="197"/>
        <v>71.313486286910006</v>
      </c>
      <c r="EQ25" s="157">
        <f t="shared" si="198"/>
        <v>1.4082057949283714E-2</v>
      </c>
      <c r="ER25" s="157">
        <f t="shared" si="199"/>
        <v>1.0556468370247711E-4</v>
      </c>
      <c r="ES25" s="157">
        <f t="shared" si="200"/>
        <v>2.9597141456606979E-3</v>
      </c>
      <c r="ET25" s="157">
        <f t="shared" si="201"/>
        <v>6.2469956648313367E-4</v>
      </c>
      <c r="LQ25" s="214" t="str">
        <f t="shared" si="96"/>
        <v>B1x Plagioclase</v>
      </c>
      <c r="LR25" s="214" t="str">
        <f t="shared" si="97"/>
        <v>MN2022a</v>
      </c>
      <c r="LS25" s="211">
        <f t="shared" si="98"/>
        <v>25.844465745549879</v>
      </c>
      <c r="LT25" s="211">
        <f t="shared" si="99"/>
        <v>0.32670393221316546</v>
      </c>
      <c r="LU25" s="211">
        <f t="shared" si="100"/>
        <v>15.686410128317593</v>
      </c>
      <c r="LV25" s="211">
        <f t="shared" si="101"/>
        <v>0.40068841629830432</v>
      </c>
      <c r="LW25" s="211">
        <f t="shared" si="102"/>
        <v>8240.7379481986827</v>
      </c>
      <c r="LX25" s="211">
        <f t="shared" si="103"/>
        <v>766.49767674910663</v>
      </c>
      <c r="LY25" s="211"/>
      <c r="LZ25" s="211"/>
      <c r="MA25" s="211"/>
      <c r="MB25" s="211"/>
      <c r="MC25" s="211"/>
      <c r="MD25" s="211"/>
      <c r="ME25" s="211"/>
      <c r="MF25" s="211"/>
      <c r="MG25" s="211"/>
      <c r="MH25" s="211"/>
      <c r="MI25" s="211"/>
      <c r="MJ25" s="211"/>
      <c r="MK25" s="211"/>
      <c r="ML25" s="211"/>
      <c r="MM25" s="211"/>
      <c r="MN25" s="211"/>
      <c r="MO25" s="506">
        <f t="shared" si="107"/>
        <v>1.6475704469115371</v>
      </c>
      <c r="MP25" s="506">
        <f t="shared" si="107"/>
        <v>2.1479674470537859E-2</v>
      </c>
      <c r="MQ25" s="109"/>
      <c r="MR25" s="109"/>
      <c r="MS25" s="109"/>
      <c r="MT25" s="109"/>
      <c r="MU25" s="109"/>
      <c r="MV25" s="109"/>
      <c r="MW25" s="506">
        <f t="shared" si="108"/>
        <v>1.4939604804903213</v>
      </c>
      <c r="MX25" s="506">
        <f t="shared" si="108"/>
        <v>1.7972793243317037E-2</v>
      </c>
      <c r="MY25" s="109"/>
      <c r="MZ25" s="109"/>
      <c r="NA25" s="109"/>
      <c r="NB25" s="109"/>
      <c r="NC25" s="109"/>
      <c r="ND25" s="109"/>
    </row>
    <row r="26" spans="2:368" s="484" customFormat="1">
      <c r="B26" s="485" t="s">
        <v>935</v>
      </c>
      <c r="C26" s="117">
        <f t="shared" si="202"/>
        <v>8.9999999999999993E-3</v>
      </c>
      <c r="D26" s="486">
        <f t="shared" si="203"/>
        <v>4.4999999999999996E-5</v>
      </c>
      <c r="E26" s="487">
        <v>44727</v>
      </c>
      <c r="F26" s="117" t="s">
        <v>210</v>
      </c>
      <c r="G26" s="117" t="s">
        <v>893</v>
      </c>
      <c r="H26" s="117">
        <v>1</v>
      </c>
      <c r="I26" s="117"/>
      <c r="J26" s="488">
        <v>44644</v>
      </c>
      <c r="K26" s="487" t="s">
        <v>823</v>
      </c>
      <c r="L26" s="117">
        <v>3</v>
      </c>
      <c r="M26" s="117">
        <v>2.95</v>
      </c>
      <c r="N26" s="117">
        <v>30</v>
      </c>
      <c r="O26" s="118">
        <v>353.90565400000003</v>
      </c>
      <c r="P26" s="118">
        <v>0.19797400000000001</v>
      </c>
      <c r="Q26" s="118">
        <v>5.4237039999999999</v>
      </c>
      <c r="R26" s="118">
        <v>1.2108000000000001E-2</v>
      </c>
      <c r="S26" s="118">
        <v>47.710501999999998</v>
      </c>
      <c r="T26" s="118">
        <v>3.6671000000000002E-2</v>
      </c>
      <c r="U26" s="118">
        <v>113.067127</v>
      </c>
      <c r="V26" s="118">
        <v>0.13719799999999999</v>
      </c>
      <c r="W26" s="118">
        <v>1.510005</v>
      </c>
      <c r="X26" s="118">
        <v>6.607E-3</v>
      </c>
      <c r="Y26" s="118">
        <v>6.3067744999999995</v>
      </c>
      <c r="Z26" s="118">
        <v>0.93511705857555649</v>
      </c>
      <c r="AA26" s="118">
        <v>4.3458000000000004E-2</v>
      </c>
      <c r="AB26" s="118">
        <v>2.986365296923112E-2</v>
      </c>
      <c r="AC26" s="118">
        <v>2.21285175</v>
      </c>
      <c r="AD26" s="118">
        <v>2.0188658876193135</v>
      </c>
      <c r="AE26" s="118">
        <v>1.3901317499999999</v>
      </c>
      <c r="AF26" s="118">
        <v>1.1954009646957722</v>
      </c>
      <c r="AG26" s="118">
        <v>0.25606525000000002</v>
      </c>
      <c r="AH26" s="118">
        <v>0.21678044365882418</v>
      </c>
      <c r="AI26" s="489">
        <f t="shared" si="110"/>
        <v>347.59887950000001</v>
      </c>
      <c r="AJ26" s="489">
        <f t="shared" si="111"/>
        <v>0.95584392968465348</v>
      </c>
      <c r="AK26" s="489">
        <f t="shared" si="112"/>
        <v>5.3802459999999996</v>
      </c>
      <c r="AL26" s="489">
        <f t="shared" si="113"/>
        <v>3.222485737232466E-2</v>
      </c>
      <c r="AM26" s="489">
        <f t="shared" si="114"/>
        <v>45.49765025</v>
      </c>
      <c r="AN26" s="489">
        <f t="shared" si="115"/>
        <v>2.0191989090810045</v>
      </c>
      <c r="AO26" s="489">
        <f t="shared" si="116"/>
        <v>111.67699525</v>
      </c>
      <c r="AP26" s="489">
        <f t="shared" si="117"/>
        <v>1.2032484189059143</v>
      </c>
      <c r="AQ26" s="489">
        <f t="shared" si="118"/>
        <v>1.25393975</v>
      </c>
      <c r="AR26" s="489">
        <f t="shared" si="119"/>
        <v>0.21688110383783241</v>
      </c>
      <c r="AS26" s="117">
        <v>300.7</v>
      </c>
      <c r="AT26" s="117">
        <v>0.28000000000000003</v>
      </c>
      <c r="AU26" s="489">
        <f t="shared" si="120"/>
        <v>5.4039154409475465</v>
      </c>
      <c r="AV26" s="489">
        <f t="shared" si="121"/>
        <v>3.2225186315133408E-2</v>
      </c>
      <c r="AW26" s="489">
        <f t="shared" si="122"/>
        <v>45.897967984856173</v>
      </c>
      <c r="AX26" s="489">
        <f t="shared" si="123"/>
        <v>2.0192184683389511</v>
      </c>
      <c r="AY26" s="489">
        <f t="shared" si="124"/>
        <v>113.1509048319797</v>
      </c>
      <c r="AZ26" s="489">
        <f t="shared" si="125"/>
        <v>1.2032694697769255</v>
      </c>
      <c r="BA26" s="489">
        <f t="shared" si="126"/>
        <v>1.2760056948392555</v>
      </c>
      <c r="BB26" s="489">
        <f t="shared" si="127"/>
        <v>0.21688320272898057</v>
      </c>
      <c r="BC26" s="118"/>
      <c r="BD26" s="490"/>
      <c r="BE26" s="489">
        <f t="shared" si="128"/>
        <v>582.76752553730216</v>
      </c>
      <c r="BF26" s="489">
        <f t="shared" si="129"/>
        <v>6.1972670258160738</v>
      </c>
      <c r="BG26" s="489">
        <f t="shared" si="130"/>
        <v>5.407082777382505</v>
      </c>
      <c r="BH26" s="489">
        <f t="shared" si="131"/>
        <v>3.2244074102674609E-2</v>
      </c>
      <c r="BI26" s="247">
        <f t="shared" si="132"/>
        <v>346.96414133407109</v>
      </c>
      <c r="BJ26" s="489">
        <f t="shared" si="133"/>
        <v>0.95585343581535354</v>
      </c>
      <c r="BK26" s="247">
        <f t="shared" si="134"/>
        <v>4.8745102057389422</v>
      </c>
      <c r="BL26" s="489">
        <f t="shared" si="135"/>
        <v>3.2737674985166193E-2</v>
      </c>
      <c r="BM26" s="247">
        <f t="shared" si="136"/>
        <v>45.814471278269728</v>
      </c>
      <c r="BN26" s="489">
        <f t="shared" si="137"/>
        <v>2.0192185297291676</v>
      </c>
      <c r="BO26" s="168">
        <f t="shared" si="138"/>
        <v>1.0727193958762411</v>
      </c>
      <c r="BP26" s="168">
        <f t="shared" si="139"/>
        <v>0.21689397628938586</v>
      </c>
      <c r="BQ26" s="117"/>
      <c r="BR26" s="168">
        <f t="shared" si="140"/>
        <v>1.0653907637790312</v>
      </c>
      <c r="BS26" s="168">
        <f t="shared" si="141"/>
        <v>0.2169516554441682</v>
      </c>
      <c r="BT26" s="247">
        <f t="shared" si="142"/>
        <v>45.612799929305019</v>
      </c>
      <c r="BU26" s="168">
        <f t="shared" si="143"/>
        <v>0.39464714401713302</v>
      </c>
      <c r="BV26" s="247">
        <f t="shared" si="204"/>
        <v>32.141170637367395</v>
      </c>
      <c r="BW26" s="247">
        <f t="shared" si="144"/>
        <v>64.116339563709587</v>
      </c>
      <c r="BX26" s="491">
        <v>1.6986774770655257E-12</v>
      </c>
      <c r="BY26" s="491">
        <v>9.4454002365720605E-16</v>
      </c>
      <c r="BZ26" s="482">
        <f t="shared" si="145"/>
        <v>1.8097552947050782E-12</v>
      </c>
      <c r="CA26" s="482">
        <f t="shared" si="146"/>
        <v>3.685322646111658E-13</v>
      </c>
      <c r="CB26" s="482">
        <f t="shared" si="147"/>
        <v>9.8993406999542367E-10</v>
      </c>
      <c r="CC26" s="492">
        <f t="shared" si="148"/>
        <v>1.0541539070194769E-11</v>
      </c>
      <c r="CD26" s="482">
        <f t="shared" si="149"/>
        <v>7.7481435905806438E-11</v>
      </c>
      <c r="CE26" s="497">
        <f t="shared" si="150"/>
        <v>6.7176119704976467E-13</v>
      </c>
      <c r="CF26" s="482">
        <f t="shared" si="151"/>
        <v>8.2802206982147835E-12</v>
      </c>
      <c r="CG26" s="482">
        <f t="shared" si="152"/>
        <v>5.5801021716310988E-14</v>
      </c>
      <c r="CH26" s="482">
        <f t="shared" si="153"/>
        <v>5.8938017223356634E-10</v>
      </c>
      <c r="CI26" s="482">
        <f t="shared" si="154"/>
        <v>1.6564298664197231E-12</v>
      </c>
      <c r="CJ26" s="482">
        <f t="shared" si="155"/>
        <v>3.4568380148858305E-15</v>
      </c>
      <c r="CK26" s="482">
        <f t="shared" si="156"/>
        <v>2.9970658402691416E-17</v>
      </c>
      <c r="CL26" s="482">
        <f t="shared" si="205"/>
        <v>2.629522492424884E-14</v>
      </c>
      <c r="CM26" s="482">
        <f t="shared" si="157"/>
        <v>7.3901700274691282E-17</v>
      </c>
      <c r="CN26" s="486">
        <v>5.1340830000000002E-3</v>
      </c>
      <c r="CO26" s="486">
        <v>7.5577700000000003E-6</v>
      </c>
      <c r="CP26" s="491">
        <v>1.1139738540500025E+19</v>
      </c>
      <c r="CQ26" s="493">
        <v>1.0453256904066513E+18</v>
      </c>
      <c r="CR26" s="491">
        <v>8.0438364680336474E+17</v>
      </c>
      <c r="CS26" s="491">
        <v>8.527140119058072E+16</v>
      </c>
      <c r="CT26" s="118">
        <v>0.49881143094597263</v>
      </c>
      <c r="CU26" s="118">
        <v>4.5926073391395927E-2</v>
      </c>
      <c r="CV26" s="267">
        <v>24.581879797320056</v>
      </c>
      <c r="CW26" s="267">
        <v>0.55629982285426871</v>
      </c>
      <c r="CX26" s="482">
        <f t="shared" si="158"/>
        <v>5.9300667741079289E-9</v>
      </c>
      <c r="CY26" s="482">
        <f t="shared" si="159"/>
        <v>6.7917169167019266E-11</v>
      </c>
      <c r="CZ26" s="489">
        <f t="shared" si="160"/>
        <v>25.761725528233786</v>
      </c>
      <c r="DA26" s="489">
        <f t="shared" si="161"/>
        <v>0.32194082273069791</v>
      </c>
      <c r="DB26" s="494">
        <f t="shared" si="162"/>
        <v>2.5761725528233785E-3</v>
      </c>
      <c r="DC26" s="495">
        <f t="shared" si="163"/>
        <v>3.219408227306979E-5</v>
      </c>
      <c r="DD26" s="482">
        <f t="shared" si="164"/>
        <v>2.4894598422607404E-9</v>
      </c>
      <c r="DE26" s="482">
        <f t="shared" si="165"/>
        <v>6.4585225146235771E-11</v>
      </c>
      <c r="DF26" s="168">
        <f t="shared" si="166"/>
        <v>9.8065355319633376</v>
      </c>
      <c r="DG26" s="489">
        <f t="shared" si="167"/>
        <v>0.25909743479779057</v>
      </c>
      <c r="DH26" s="494">
        <f t="shared" si="168"/>
        <v>9.8065355319633374E-4</v>
      </c>
      <c r="DI26" s="495">
        <f t="shared" si="169"/>
        <v>2.5909743479779056E-5</v>
      </c>
      <c r="DJ26" s="482">
        <f t="shared" si="170"/>
        <v>1.3864930818892812E-6</v>
      </c>
      <c r="DK26" s="482">
        <f t="shared" si="171"/>
        <v>1.2914670061549634E-7</v>
      </c>
      <c r="DL26" s="247">
        <f t="shared" si="172"/>
        <v>6174.5158580135994</v>
      </c>
      <c r="DM26" s="247">
        <f t="shared" si="173"/>
        <v>575.96164490433603</v>
      </c>
      <c r="DN26" s="168">
        <f t="shared" si="174"/>
        <v>0.61745158580135995</v>
      </c>
      <c r="DO26" s="168">
        <f t="shared" si="175"/>
        <v>5.7596164490433602E-2</v>
      </c>
      <c r="DP26" s="489">
        <f t="shared" si="176"/>
        <v>2.3820696656519225</v>
      </c>
      <c r="DQ26" s="489">
        <f t="shared" si="177"/>
        <v>2.7954953438275015E-2</v>
      </c>
      <c r="DR26" s="489">
        <f t="shared" si="178"/>
        <v>4.2770258658827382E-3</v>
      </c>
      <c r="DS26" s="489">
        <f t="shared" si="179"/>
        <v>8.7252180717633139E-3</v>
      </c>
      <c r="DT26" s="489">
        <f t="shared" si="180"/>
        <v>2.6269955831257876</v>
      </c>
      <c r="DU26" s="489">
        <f t="shared" si="181"/>
        <v>3.3527274488845973E-2</v>
      </c>
      <c r="DV26" s="489">
        <f t="shared" si="182"/>
        <v>4.1722664773463838E-3</v>
      </c>
      <c r="DW26" s="489">
        <f t="shared" si="183"/>
        <v>8.7533834257343714E-3</v>
      </c>
      <c r="DX26" s="482">
        <f t="shared" si="184"/>
        <v>1.0562622653261799E-5</v>
      </c>
      <c r="DY26" s="482">
        <f t="shared" si="185"/>
        <v>2.7563432335679505E-7</v>
      </c>
      <c r="DZ26" s="168">
        <f t="shared" si="210"/>
        <v>6.5937231189969401</v>
      </c>
      <c r="EA26" s="168">
        <f t="shared" si="186"/>
        <v>13.153465729740166</v>
      </c>
      <c r="EB26" s="482">
        <f t="shared" si="187"/>
        <v>4.434220713847608E-6</v>
      </c>
      <c r="EC26" s="482">
        <f t="shared" si="188"/>
        <v>5.2291917378384586E-8</v>
      </c>
      <c r="ED26" s="247">
        <f t="shared" si="206"/>
        <v>59.994829016258528</v>
      </c>
      <c r="EE26" s="247">
        <f t="shared" si="189"/>
        <v>118.10818915541455</v>
      </c>
      <c r="EF26" s="247">
        <f t="shared" si="190"/>
        <v>118.1082213136748</v>
      </c>
      <c r="EG26" s="247">
        <f t="shared" si="207"/>
        <v>59.994829016258528</v>
      </c>
      <c r="EH26" s="168">
        <f t="shared" si="191"/>
        <v>118.10818915541455</v>
      </c>
      <c r="EI26" s="168">
        <f t="shared" si="192"/>
        <v>118.1082213136748</v>
      </c>
      <c r="EJ26" s="503">
        <f t="shared" si="208"/>
        <v>0.12591995215128937</v>
      </c>
      <c r="EK26" s="247">
        <f t="shared" si="209"/>
        <v>59.994829016258528</v>
      </c>
      <c r="EL26" s="247">
        <f t="shared" si="193"/>
        <v>118.10818915541455</v>
      </c>
      <c r="EM26" s="168">
        <f t="shared" si="194"/>
        <v>4.5753261352188206</v>
      </c>
      <c r="EN26" s="168">
        <f t="shared" si="195"/>
        <v>0.93178526163628961</v>
      </c>
      <c r="EO26" s="247">
        <f t="shared" si="196"/>
        <v>325.66843371474323</v>
      </c>
      <c r="EP26" s="247">
        <f t="shared" si="197"/>
        <v>66.323806816682733</v>
      </c>
      <c r="EQ26" s="482">
        <f t="shared" si="198"/>
        <v>1.4049031657843762E-2</v>
      </c>
      <c r="ER26" s="482">
        <f t="shared" si="199"/>
        <v>1.0198420392084729E-4</v>
      </c>
      <c r="ES26" s="482">
        <f t="shared" si="200"/>
        <v>3.0706076993507808E-3</v>
      </c>
      <c r="ET26" s="482">
        <f t="shared" si="201"/>
        <v>6.253427436567065E-4</v>
      </c>
      <c r="EU26" s="117"/>
      <c r="EV26" s="117"/>
      <c r="EW26" s="117"/>
      <c r="EX26" s="117"/>
      <c r="EY26" s="117"/>
      <c r="EZ26" s="117"/>
      <c r="FA26" s="117"/>
      <c r="FB26" s="117"/>
      <c r="FC26" s="117"/>
      <c r="FD26" s="117"/>
      <c r="FE26" s="117"/>
      <c r="FF26" s="117"/>
      <c r="FG26" s="117"/>
      <c r="FH26" s="117"/>
      <c r="FI26" s="117"/>
      <c r="FJ26" s="117"/>
      <c r="FK26" s="161"/>
      <c r="FL26" s="161"/>
      <c r="FM26" s="161"/>
      <c r="FN26" s="161"/>
      <c r="FO26" s="161"/>
      <c r="FP26" s="161"/>
      <c r="FQ26" s="161"/>
      <c r="FR26" s="161"/>
      <c r="FS26" s="161"/>
      <c r="FT26" s="161"/>
      <c r="FU26" s="161"/>
      <c r="FV26" s="161"/>
      <c r="FW26" s="161"/>
      <c r="FX26" s="161"/>
      <c r="FY26" s="161"/>
      <c r="FZ26" s="161"/>
      <c r="GA26" s="117"/>
      <c r="GB26" s="117"/>
      <c r="GC26" s="117"/>
      <c r="GD26" s="117"/>
      <c r="GE26" s="161"/>
      <c r="GF26" s="161"/>
      <c r="GG26" s="161"/>
      <c r="GH26" s="161"/>
      <c r="GI26" s="161"/>
      <c r="GJ26" s="161"/>
      <c r="GK26" s="161"/>
      <c r="GL26" s="161"/>
      <c r="GM26" s="161"/>
      <c r="GN26" s="161"/>
      <c r="GO26" s="161"/>
      <c r="GP26" s="161"/>
      <c r="GQ26" s="161"/>
      <c r="GR26" s="161"/>
      <c r="GS26" s="161"/>
      <c r="GT26" s="161"/>
      <c r="GU26" s="117"/>
      <c r="GV26" s="117"/>
      <c r="GW26" s="161"/>
      <c r="GX26" s="161"/>
      <c r="GY26" s="161"/>
      <c r="GZ26" s="161"/>
      <c r="HA26" s="161"/>
      <c r="HB26" s="161"/>
      <c r="HC26" s="117"/>
      <c r="HD26" s="117"/>
      <c r="HE26" s="161"/>
      <c r="HF26" s="161"/>
      <c r="HG26" s="161"/>
      <c r="HH26" s="161"/>
      <c r="HI26" s="161"/>
      <c r="HJ26" s="161"/>
      <c r="HK26" s="117"/>
      <c r="HL26" s="117"/>
      <c r="HM26" s="117"/>
      <c r="HN26" s="117"/>
      <c r="HO26" s="117"/>
      <c r="HP26" s="117"/>
      <c r="HQ26" s="117"/>
      <c r="HR26" s="117"/>
      <c r="HS26" s="117"/>
      <c r="HT26" s="117"/>
      <c r="HU26" s="117"/>
      <c r="HV26" s="117"/>
      <c r="HW26" s="117"/>
      <c r="HX26" s="117"/>
      <c r="HY26" s="117"/>
      <c r="HZ26" s="117"/>
      <c r="IA26" s="117"/>
      <c r="IB26" s="117"/>
      <c r="IC26" s="117"/>
      <c r="ID26" s="117"/>
      <c r="IE26" s="117"/>
      <c r="IF26" s="117"/>
      <c r="IG26" s="117"/>
      <c r="IH26" s="117"/>
      <c r="II26" s="117"/>
      <c r="IJ26" s="117"/>
      <c r="IK26" s="117"/>
      <c r="IL26" s="117"/>
      <c r="IM26" s="117"/>
      <c r="IN26" s="117"/>
      <c r="IO26" s="117"/>
      <c r="IP26" s="117"/>
      <c r="IQ26" s="117"/>
      <c r="IR26" s="117"/>
      <c r="IS26" s="117"/>
      <c r="IT26" s="117"/>
      <c r="IU26" s="161"/>
      <c r="IV26" s="161"/>
      <c r="IW26" s="161"/>
      <c r="IX26" s="161"/>
      <c r="IY26" s="161"/>
      <c r="IZ26" s="161"/>
      <c r="JA26" s="161"/>
      <c r="JB26" s="161"/>
      <c r="JC26" s="161"/>
      <c r="JD26" s="161"/>
      <c r="JE26" s="161"/>
      <c r="JF26" s="161"/>
      <c r="JG26" s="161"/>
      <c r="JH26" s="161"/>
      <c r="JI26" s="161"/>
      <c r="JJ26" s="161"/>
      <c r="JK26" s="161"/>
      <c r="JL26" s="161"/>
      <c r="JM26" s="161"/>
      <c r="JN26" s="161"/>
      <c r="JO26" s="161"/>
      <c r="JP26" s="161"/>
      <c r="JQ26" s="161"/>
      <c r="JR26" s="161"/>
      <c r="JS26" s="161"/>
      <c r="JT26" s="161"/>
      <c r="JU26" s="117"/>
      <c r="JV26" s="117"/>
      <c r="JW26" s="117"/>
      <c r="JX26" s="117"/>
      <c r="JY26" s="161"/>
      <c r="JZ26" s="161"/>
      <c r="KA26" s="161"/>
      <c r="KB26" s="161"/>
      <c r="KC26" s="117"/>
      <c r="KD26" s="117"/>
      <c r="KE26" s="161"/>
      <c r="KF26" s="161"/>
      <c r="KG26" s="161"/>
      <c r="KH26" s="161"/>
      <c r="KI26" s="161"/>
      <c r="KJ26" s="161"/>
      <c r="KK26" s="161"/>
      <c r="KL26" s="161"/>
      <c r="KM26" s="161"/>
      <c r="KN26" s="161"/>
      <c r="KO26" s="161"/>
      <c r="KP26" s="161"/>
      <c r="KQ26" s="161"/>
      <c r="KR26" s="161"/>
      <c r="KS26" s="161"/>
      <c r="KT26" s="161"/>
      <c r="KU26" s="117"/>
      <c r="KV26" s="117"/>
      <c r="KW26" s="161"/>
      <c r="KX26" s="161"/>
      <c r="KY26" s="161"/>
      <c r="KZ26" s="161"/>
      <c r="LA26" s="161"/>
      <c r="LB26" s="161"/>
      <c r="LC26" s="161"/>
      <c r="LD26" s="161"/>
      <c r="LE26" s="161"/>
      <c r="LF26" s="161"/>
      <c r="LG26" s="161"/>
      <c r="LH26" s="161"/>
      <c r="LI26" s="161"/>
      <c r="LJ26" s="161"/>
      <c r="LK26" s="161"/>
      <c r="LL26" s="161"/>
      <c r="LM26" s="161"/>
      <c r="LN26" s="161"/>
      <c r="LQ26" s="214" t="str">
        <f t="shared" si="96"/>
        <v>B1x Plagioclase</v>
      </c>
      <c r="LR26" s="214" t="str">
        <f t="shared" si="97"/>
        <v>MN2022a</v>
      </c>
      <c r="LS26" s="211">
        <f t="shared" si="98"/>
        <v>25.761725528233786</v>
      </c>
      <c r="LT26" s="211">
        <f t="shared" si="99"/>
        <v>0.32194082273069791</v>
      </c>
      <c r="LU26" s="211">
        <f t="shared" si="100"/>
        <v>9.8065355319633376</v>
      </c>
      <c r="LV26" s="211">
        <f t="shared" si="101"/>
        <v>0.25909743479779057</v>
      </c>
      <c r="LW26" s="211">
        <f t="shared" si="102"/>
        <v>6174.5158580135994</v>
      </c>
      <c r="LX26" s="211">
        <f t="shared" si="103"/>
        <v>575.96164490433603</v>
      </c>
      <c r="LY26" s="211"/>
      <c r="LZ26" s="211"/>
      <c r="MA26" s="211"/>
      <c r="MB26" s="211"/>
      <c r="MC26" s="211"/>
      <c r="MD26" s="211"/>
      <c r="ME26" s="211"/>
      <c r="MF26" s="211"/>
      <c r="MG26" s="211"/>
      <c r="MH26" s="211"/>
      <c r="MI26" s="211"/>
      <c r="MJ26" s="211"/>
      <c r="MK26" s="211"/>
      <c r="ML26" s="211"/>
      <c r="MM26" s="211"/>
      <c r="MN26" s="211"/>
      <c r="MO26" s="506">
        <f t="shared" si="107"/>
        <v>2.6269955831257876</v>
      </c>
      <c r="MP26" s="506">
        <f t="shared" si="107"/>
        <v>3.3527274488845973E-2</v>
      </c>
      <c r="MQ26" s="109"/>
      <c r="MR26" s="109"/>
      <c r="MS26" s="109"/>
      <c r="MT26" s="109"/>
      <c r="MU26" s="109"/>
      <c r="MV26" s="109"/>
      <c r="MW26" s="506">
        <f t="shared" si="108"/>
        <v>2.3820696656519225</v>
      </c>
      <c r="MX26" s="506">
        <f t="shared" si="108"/>
        <v>2.7954953438275015E-2</v>
      </c>
      <c r="MY26" s="109"/>
      <c r="MZ26" s="109"/>
      <c r="NA26" s="109"/>
      <c r="NB26" s="109"/>
      <c r="NC26" s="109"/>
      <c r="ND26" s="109"/>
    </row>
    <row r="27" spans="2:368" s="484" customFormat="1">
      <c r="B27" s="485" t="s">
        <v>935</v>
      </c>
      <c r="C27" s="117">
        <f t="shared" si="202"/>
        <v>8.9999999999999993E-3</v>
      </c>
      <c r="D27" s="486">
        <f t="shared" si="203"/>
        <v>4.4999999999999996E-5</v>
      </c>
      <c r="E27" s="487">
        <v>44727</v>
      </c>
      <c r="F27" s="117" t="s">
        <v>210</v>
      </c>
      <c r="G27" s="117" t="s">
        <v>893</v>
      </c>
      <c r="H27" s="117">
        <v>1</v>
      </c>
      <c r="I27" s="117"/>
      <c r="J27" s="488">
        <v>44644</v>
      </c>
      <c r="K27" s="487" t="s">
        <v>823</v>
      </c>
      <c r="L27" s="117">
        <v>4</v>
      </c>
      <c r="M27" s="117">
        <v>4.2</v>
      </c>
      <c r="N27" s="117">
        <v>30</v>
      </c>
      <c r="O27" s="118">
        <v>403.96162199999998</v>
      </c>
      <c r="P27" s="118">
        <v>0.200404</v>
      </c>
      <c r="Q27" s="118">
        <v>6.3819980000000003</v>
      </c>
      <c r="R27" s="118">
        <v>2.443E-2</v>
      </c>
      <c r="S27" s="118">
        <v>95.774589000000006</v>
      </c>
      <c r="T27" s="118">
        <v>5.8157E-2</v>
      </c>
      <c r="U27" s="118">
        <v>137.61354900000001</v>
      </c>
      <c r="V27" s="118">
        <v>0.13880999999999999</v>
      </c>
      <c r="W27" s="118">
        <v>1.71854</v>
      </c>
      <c r="X27" s="118">
        <v>6.5250000000000004E-3</v>
      </c>
      <c r="Y27" s="118">
        <v>6.3067744999999995</v>
      </c>
      <c r="Z27" s="118">
        <v>0.93511705857555649</v>
      </c>
      <c r="AA27" s="118">
        <v>4.3458000000000004E-2</v>
      </c>
      <c r="AB27" s="118">
        <v>2.986365296923112E-2</v>
      </c>
      <c r="AC27" s="118">
        <v>2.21285175</v>
      </c>
      <c r="AD27" s="118">
        <v>2.0188658876193135</v>
      </c>
      <c r="AE27" s="118">
        <v>1.3901317499999999</v>
      </c>
      <c r="AF27" s="118">
        <v>1.1954009646957722</v>
      </c>
      <c r="AG27" s="118">
        <v>0.25606525000000002</v>
      </c>
      <c r="AH27" s="118">
        <v>0.21678044365882418</v>
      </c>
      <c r="AI27" s="489">
        <f t="shared" si="110"/>
        <v>397.65484749999996</v>
      </c>
      <c r="AJ27" s="489">
        <f t="shared" si="111"/>
        <v>0.95635018505514013</v>
      </c>
      <c r="AK27" s="489">
        <f t="shared" si="112"/>
        <v>6.3385400000000001</v>
      </c>
      <c r="AL27" s="489">
        <f t="shared" si="113"/>
        <v>3.8583191530336972E-2</v>
      </c>
      <c r="AM27" s="489">
        <f t="shared" si="114"/>
        <v>93.561737250000007</v>
      </c>
      <c r="AN27" s="489">
        <f t="shared" si="115"/>
        <v>2.019703371498379</v>
      </c>
      <c r="AO27" s="489">
        <f t="shared" si="116"/>
        <v>136.22341725000001</v>
      </c>
      <c r="AP27" s="489">
        <f t="shared" si="117"/>
        <v>1.2034332895909032</v>
      </c>
      <c r="AQ27" s="489">
        <f t="shared" si="118"/>
        <v>1.4624747499999999</v>
      </c>
      <c r="AR27" s="489">
        <f t="shared" si="119"/>
        <v>0.21687862130213906</v>
      </c>
      <c r="AS27" s="117">
        <v>300.7</v>
      </c>
      <c r="AT27" s="117">
        <v>0.28000000000000003</v>
      </c>
      <c r="AU27" s="489">
        <f t="shared" si="120"/>
        <v>6.3664252859560069</v>
      </c>
      <c r="AV27" s="489">
        <f t="shared" si="121"/>
        <v>3.858358472588784E-2</v>
      </c>
      <c r="AW27" s="489">
        <f t="shared" si="122"/>
        <v>94.384953889086304</v>
      </c>
      <c r="AX27" s="489">
        <f t="shared" si="123"/>
        <v>2.0197229986430836</v>
      </c>
      <c r="AY27" s="489">
        <f t="shared" si="124"/>
        <v>138.02128976192895</v>
      </c>
      <c r="AZ27" s="489">
        <f t="shared" si="125"/>
        <v>1.2034545147448885</v>
      </c>
      <c r="BA27" s="489">
        <f t="shared" si="126"/>
        <v>1.4882103462774958</v>
      </c>
      <c r="BB27" s="489">
        <f t="shared" si="127"/>
        <v>0.21688072021899715</v>
      </c>
      <c r="BC27" s="118"/>
      <c r="BD27" s="490"/>
      <c r="BE27" s="489">
        <f t="shared" si="128"/>
        <v>710.85888023136033</v>
      </c>
      <c r="BF27" s="489">
        <f t="shared" si="129"/>
        <v>6.1982200734143502</v>
      </c>
      <c r="BG27" s="489">
        <f t="shared" si="130"/>
        <v>6.3701567675065611</v>
      </c>
      <c r="BH27" s="489">
        <f t="shared" si="131"/>
        <v>3.8606199290277136E-2</v>
      </c>
      <c r="BI27" s="247">
        <f t="shared" si="132"/>
        <v>396.90994477524214</v>
      </c>
      <c r="BJ27" s="489">
        <f t="shared" si="133"/>
        <v>0.95636368218002554</v>
      </c>
      <c r="BK27" s="247">
        <f t="shared" si="134"/>
        <v>5.7205256104316522</v>
      </c>
      <c r="BL27" s="489">
        <f t="shared" si="135"/>
        <v>3.9019527655094664E-2</v>
      </c>
      <c r="BM27" s="247">
        <f t="shared" si="136"/>
        <v>94.286585298771584</v>
      </c>
      <c r="BN27" s="489">
        <f t="shared" si="137"/>
        <v>2.0197230866273332</v>
      </c>
      <c r="BO27" s="168">
        <f t="shared" si="138"/>
        <v>1.2402420492897868</v>
      </c>
      <c r="BP27" s="168">
        <f t="shared" si="139"/>
        <v>0.21689149721655257</v>
      </c>
      <c r="BQ27" s="117"/>
      <c r="BR27" s="168">
        <f t="shared" si="140"/>
        <v>1.2251304378265455</v>
      </c>
      <c r="BS27" s="168">
        <f t="shared" si="141"/>
        <v>0.21694920453693092</v>
      </c>
      <c r="BT27" s="247">
        <f t="shared" si="142"/>
        <v>94.05341967495184</v>
      </c>
      <c r="BU27" s="168">
        <f t="shared" si="143"/>
        <v>0.39474124548666101</v>
      </c>
      <c r="BV27" s="247">
        <f t="shared" si="204"/>
        <v>34.883900397497939</v>
      </c>
      <c r="BW27" s="247">
        <f t="shared" si="144"/>
        <v>64.115623010033161</v>
      </c>
      <c r="BX27" s="491">
        <v>1.6986774770655257E-12</v>
      </c>
      <c r="BY27" s="491">
        <v>9.4454002365720605E-16</v>
      </c>
      <c r="BZ27" s="482">
        <f t="shared" si="145"/>
        <v>2.0811014812033793E-12</v>
      </c>
      <c r="CA27" s="482">
        <f t="shared" si="146"/>
        <v>3.6852854420668833E-13</v>
      </c>
      <c r="CB27" s="482">
        <f t="shared" si="147"/>
        <v>1.2075199692210319E-9</v>
      </c>
      <c r="CC27" s="492">
        <f t="shared" si="148"/>
        <v>1.0550164272770089E-11</v>
      </c>
      <c r="CD27" s="482">
        <f t="shared" si="149"/>
        <v>1.5976642564283228E-10</v>
      </c>
      <c r="CE27" s="497">
        <f t="shared" si="150"/>
        <v>6.7639732807284127E-13</v>
      </c>
      <c r="CF27" s="482">
        <f t="shared" si="151"/>
        <v>9.7173280114167648E-12</v>
      </c>
      <c r="CG27" s="482">
        <f t="shared" si="152"/>
        <v>6.6501464797170017E-14</v>
      </c>
      <c r="CH27" s="482">
        <f t="shared" si="153"/>
        <v>6.7422198361302545E-10</v>
      </c>
      <c r="CI27" s="482">
        <f t="shared" si="154"/>
        <v>1.6672498038778295E-12</v>
      </c>
      <c r="CJ27" s="482">
        <f t="shared" si="155"/>
        <v>7.1279868165580136E-15</v>
      </c>
      <c r="CK27" s="482">
        <f t="shared" si="156"/>
        <v>3.0177499828907315E-17</v>
      </c>
      <c r="CL27" s="482">
        <f t="shared" si="205"/>
        <v>3.0080446447309293E-14</v>
      </c>
      <c r="CM27" s="482">
        <f t="shared" si="157"/>
        <v>7.4384432780640475E-17</v>
      </c>
      <c r="CN27" s="486">
        <v>5.1340830000000002E-3</v>
      </c>
      <c r="CO27" s="486">
        <v>7.5577700000000003E-6</v>
      </c>
      <c r="CP27" s="491">
        <v>1.1139738540500025E+19</v>
      </c>
      <c r="CQ27" s="493">
        <v>1.0453256904066513E+18</v>
      </c>
      <c r="CR27" s="491">
        <v>8.0438364680336474E+17</v>
      </c>
      <c r="CS27" s="491">
        <v>8.527140119058072E+16</v>
      </c>
      <c r="CT27" s="118">
        <v>0.49881143094597263</v>
      </c>
      <c r="CU27" s="118">
        <v>4.5926073391395927E-2</v>
      </c>
      <c r="CV27" s="267">
        <v>24.581879797320056</v>
      </c>
      <c r="CW27" s="267">
        <v>0.55629982285426871</v>
      </c>
      <c r="CX27" s="482">
        <f t="shared" si="158"/>
        <v>6.9592835835927252E-9</v>
      </c>
      <c r="CY27" s="482">
        <f t="shared" si="159"/>
        <v>8.0134974274701021E-11</v>
      </c>
      <c r="CZ27" s="489">
        <f t="shared" si="160"/>
        <v>30.232906370709276</v>
      </c>
      <c r="DA27" s="489">
        <f t="shared" si="161"/>
        <v>0.37952995880777063</v>
      </c>
      <c r="DB27" s="494">
        <f t="shared" si="162"/>
        <v>3.0232906370709278E-3</v>
      </c>
      <c r="DC27" s="495">
        <f t="shared" si="163"/>
        <v>3.795299588077706E-5</v>
      </c>
      <c r="DD27" s="482">
        <f t="shared" si="164"/>
        <v>5.1332567101994251E-9</v>
      </c>
      <c r="DE27" s="482">
        <f t="shared" si="165"/>
        <v>1.2738538784499004E-10</v>
      </c>
      <c r="DF27" s="168">
        <f t="shared" si="166"/>
        <v>20.221038905188916</v>
      </c>
      <c r="DG27" s="489">
        <f t="shared" si="167"/>
        <v>0.51188364070415993</v>
      </c>
      <c r="DH27" s="494">
        <f t="shared" si="168"/>
        <v>2.0221038905188916E-3</v>
      </c>
      <c r="DI27" s="495">
        <f t="shared" si="169"/>
        <v>5.1188364070415991E-5</v>
      </c>
      <c r="DJ27" s="482">
        <f t="shared" si="170"/>
        <v>1.6912420072337322E-6</v>
      </c>
      <c r="DK27" s="482">
        <f t="shared" si="171"/>
        <v>1.5719613519883867E-7</v>
      </c>
      <c r="DL27" s="247">
        <f t="shared" si="172"/>
        <v>7531.6644055475535</v>
      </c>
      <c r="DM27" s="247">
        <f t="shared" si="173"/>
        <v>701.05935601601925</v>
      </c>
      <c r="DN27" s="168">
        <f t="shared" si="174"/>
        <v>0.75316644055475535</v>
      </c>
      <c r="DO27" s="168">
        <f t="shared" si="175"/>
        <v>7.0105935601601929E-2</v>
      </c>
      <c r="DP27" s="489">
        <f t="shared" si="176"/>
        <v>1.3557248305476544</v>
      </c>
      <c r="DQ27" s="489">
        <f t="shared" si="177"/>
        <v>1.6226761542138451E-2</v>
      </c>
      <c r="DR27" s="489">
        <f t="shared" si="178"/>
        <v>4.1148951798894986E-3</v>
      </c>
      <c r="DS27" s="489">
        <f t="shared" si="179"/>
        <v>8.6865561880420886E-3</v>
      </c>
      <c r="DT27" s="489">
        <f t="shared" si="180"/>
        <v>1.495121319555506</v>
      </c>
      <c r="DU27" s="489">
        <f t="shared" si="181"/>
        <v>1.9409882562062317E-2</v>
      </c>
      <c r="DV27" s="489">
        <f t="shared" si="182"/>
        <v>4.0141069414140126E-3</v>
      </c>
      <c r="DW27" s="489">
        <f t="shared" si="183"/>
        <v>8.7145750722832094E-3</v>
      </c>
      <c r="DX27" s="482">
        <f t="shared" si="184"/>
        <v>5.8599146985073882E-6</v>
      </c>
      <c r="DY27" s="482">
        <f t="shared" si="185"/>
        <v>1.4613812357684056E-7</v>
      </c>
      <c r="DZ27" s="168">
        <f t="shared" si="210"/>
        <v>6.0980236385771054</v>
      </c>
      <c r="EA27" s="168">
        <f t="shared" si="186"/>
        <v>11.208072280900197</v>
      </c>
      <c r="EB27" s="482">
        <f t="shared" si="187"/>
        <v>4.3223481391428347E-6</v>
      </c>
      <c r="EC27" s="482">
        <f t="shared" si="188"/>
        <v>5.0905870522886406E-8</v>
      </c>
      <c r="ED27" s="247">
        <f t="shared" si="206"/>
        <v>55.55335238762914</v>
      </c>
      <c r="EE27" s="247">
        <f t="shared" si="189"/>
        <v>100.88837487855854</v>
      </c>
      <c r="EF27" s="247">
        <f t="shared" si="190"/>
        <v>100.88840723710416</v>
      </c>
      <c r="EG27" s="247">
        <f t="shared" si="207"/>
        <v>55.55335238762914</v>
      </c>
      <c r="EH27" s="168">
        <f t="shared" si="191"/>
        <v>100.88837487855854</v>
      </c>
      <c r="EI27" s="168">
        <f t="shared" si="192"/>
        <v>100.88840723710416</v>
      </c>
      <c r="EJ27" s="503">
        <f t="shared" si="208"/>
        <v>0.14777450056370992</v>
      </c>
      <c r="EK27" s="247">
        <f t="shared" si="209"/>
        <v>55.55335238762914</v>
      </c>
      <c r="EL27" s="247">
        <f t="shared" si="193"/>
        <v>100.88837487855854</v>
      </c>
      <c r="EM27" s="168">
        <f t="shared" si="194"/>
        <v>4.6693196363484413</v>
      </c>
      <c r="EN27" s="168">
        <f t="shared" si="195"/>
        <v>0.82693150162941298</v>
      </c>
      <c r="EO27" s="247">
        <f t="shared" si="196"/>
        <v>323.97362151852502</v>
      </c>
      <c r="EP27" s="247">
        <f t="shared" si="197"/>
        <v>57.375381039483216</v>
      </c>
      <c r="EQ27" s="482">
        <f t="shared" si="198"/>
        <v>1.4412653766261789E-2</v>
      </c>
      <c r="ER27" s="482">
        <f t="shared" si="199"/>
        <v>1.0426179802340823E-4</v>
      </c>
      <c r="ES27" s="482">
        <f t="shared" si="200"/>
        <v>3.0866710546149181E-3</v>
      </c>
      <c r="ET27" s="482">
        <f t="shared" si="201"/>
        <v>5.466461345586674E-4</v>
      </c>
      <c r="EU27" s="117"/>
      <c r="EV27" s="117"/>
      <c r="EW27" s="117"/>
      <c r="EX27" s="117"/>
      <c r="EY27" s="117"/>
      <c r="EZ27" s="117"/>
      <c r="FA27" s="117"/>
      <c r="FB27" s="117"/>
      <c r="FC27" s="117"/>
      <c r="FD27" s="117"/>
      <c r="FE27" s="117"/>
      <c r="FF27" s="117"/>
      <c r="FG27" s="117"/>
      <c r="FH27" s="117"/>
      <c r="FI27" s="117"/>
      <c r="FJ27" s="117"/>
      <c r="FK27" s="161"/>
      <c r="FL27" s="161"/>
      <c r="FM27" s="161"/>
      <c r="FN27" s="161"/>
      <c r="FO27" s="161"/>
      <c r="FP27" s="161"/>
      <c r="FQ27" s="161"/>
      <c r="FR27" s="161"/>
      <c r="FS27" s="161"/>
      <c r="FT27" s="161"/>
      <c r="FU27" s="161"/>
      <c r="FV27" s="161"/>
      <c r="FW27" s="161"/>
      <c r="FX27" s="161"/>
      <c r="FY27" s="161"/>
      <c r="FZ27" s="161"/>
      <c r="GA27" s="117"/>
      <c r="GB27" s="117"/>
      <c r="GC27" s="117"/>
      <c r="GD27" s="117"/>
      <c r="GE27" s="161"/>
      <c r="GF27" s="161"/>
      <c r="GG27" s="161"/>
      <c r="GH27" s="161"/>
      <c r="GI27" s="161"/>
      <c r="GJ27" s="161"/>
      <c r="GK27" s="161"/>
      <c r="GL27" s="161"/>
      <c r="GM27" s="161"/>
      <c r="GN27" s="161"/>
      <c r="GO27" s="161"/>
      <c r="GP27" s="161"/>
      <c r="GQ27" s="161"/>
      <c r="GR27" s="161"/>
      <c r="GS27" s="161"/>
      <c r="GT27" s="161"/>
      <c r="GU27" s="117"/>
      <c r="GV27" s="117"/>
      <c r="GW27" s="161"/>
      <c r="GX27" s="161"/>
      <c r="GY27" s="161"/>
      <c r="GZ27" s="161"/>
      <c r="HA27" s="161"/>
      <c r="HB27" s="161"/>
      <c r="HC27" s="117"/>
      <c r="HD27" s="117"/>
      <c r="HE27" s="161"/>
      <c r="HF27" s="161"/>
      <c r="HG27" s="161"/>
      <c r="HH27" s="161"/>
      <c r="HI27" s="161"/>
      <c r="HJ27" s="161"/>
      <c r="HK27" s="117"/>
      <c r="HL27" s="117"/>
      <c r="HM27" s="117"/>
      <c r="HN27" s="117"/>
      <c r="HO27" s="117"/>
      <c r="HP27" s="117"/>
      <c r="HQ27" s="117"/>
      <c r="HR27" s="117"/>
      <c r="HS27" s="117"/>
      <c r="HT27" s="117"/>
      <c r="HU27" s="117"/>
      <c r="HV27" s="117"/>
      <c r="HW27" s="117"/>
      <c r="HX27" s="117"/>
      <c r="HY27" s="117"/>
      <c r="HZ27" s="117"/>
      <c r="IA27" s="117"/>
      <c r="IB27" s="117"/>
      <c r="IC27" s="117"/>
      <c r="ID27" s="117"/>
      <c r="IE27" s="117"/>
      <c r="IF27" s="117"/>
      <c r="IG27" s="117"/>
      <c r="IH27" s="117"/>
      <c r="II27" s="117"/>
      <c r="IJ27" s="117"/>
      <c r="IK27" s="117"/>
      <c r="IL27" s="117"/>
      <c r="IM27" s="117"/>
      <c r="IN27" s="117"/>
      <c r="IO27" s="117"/>
      <c r="IP27" s="117"/>
      <c r="IQ27" s="117"/>
      <c r="IR27" s="117"/>
      <c r="IS27" s="117"/>
      <c r="IT27" s="117"/>
      <c r="IU27" s="161"/>
      <c r="IV27" s="161"/>
      <c r="IW27" s="161"/>
      <c r="IX27" s="161"/>
      <c r="IY27" s="161"/>
      <c r="IZ27" s="161"/>
      <c r="JA27" s="161"/>
      <c r="JB27" s="161"/>
      <c r="JC27" s="161"/>
      <c r="JD27" s="161"/>
      <c r="JE27" s="161"/>
      <c r="JF27" s="161"/>
      <c r="JG27" s="161"/>
      <c r="JH27" s="161"/>
      <c r="JI27" s="161"/>
      <c r="JJ27" s="161"/>
      <c r="JK27" s="161"/>
      <c r="JL27" s="161"/>
      <c r="JM27" s="161"/>
      <c r="JN27" s="161"/>
      <c r="JO27" s="161"/>
      <c r="JP27" s="161"/>
      <c r="JQ27" s="161"/>
      <c r="JR27" s="161"/>
      <c r="JS27" s="161"/>
      <c r="JT27" s="161"/>
      <c r="JU27" s="117"/>
      <c r="JV27" s="117"/>
      <c r="JW27" s="117"/>
      <c r="JX27" s="117"/>
      <c r="JY27" s="161"/>
      <c r="JZ27" s="161"/>
      <c r="KA27" s="161"/>
      <c r="KB27" s="161"/>
      <c r="KC27" s="117"/>
      <c r="KD27" s="117"/>
      <c r="KE27" s="161"/>
      <c r="KF27" s="161"/>
      <c r="KG27" s="161"/>
      <c r="KH27" s="161"/>
      <c r="KI27" s="161"/>
      <c r="KJ27" s="161"/>
      <c r="KK27" s="161"/>
      <c r="KL27" s="161"/>
      <c r="KM27" s="161"/>
      <c r="KN27" s="161"/>
      <c r="KO27" s="161"/>
      <c r="KP27" s="161"/>
      <c r="KQ27" s="161"/>
      <c r="KR27" s="161"/>
      <c r="KS27" s="161"/>
      <c r="KT27" s="161"/>
      <c r="KU27" s="117"/>
      <c r="KV27" s="117"/>
      <c r="KW27" s="161"/>
      <c r="KX27" s="161"/>
      <c r="KY27" s="161"/>
      <c r="KZ27" s="161"/>
      <c r="LA27" s="161"/>
      <c r="LB27" s="161"/>
      <c r="LC27" s="161"/>
      <c r="LD27" s="161"/>
      <c r="LE27" s="161"/>
      <c r="LF27" s="161"/>
      <c r="LG27" s="161"/>
      <c r="LH27" s="161"/>
      <c r="LI27" s="161"/>
      <c r="LJ27" s="161"/>
      <c r="LK27" s="161"/>
      <c r="LL27" s="161"/>
      <c r="LM27" s="161"/>
      <c r="LN27" s="161"/>
      <c r="LQ27" s="214" t="str">
        <f t="shared" si="96"/>
        <v>B1x Plagioclase</v>
      </c>
      <c r="LR27" s="214" t="str">
        <f t="shared" si="97"/>
        <v>MN2022a</v>
      </c>
      <c r="LS27" s="211">
        <f t="shared" si="98"/>
        <v>30.232906370709276</v>
      </c>
      <c r="LT27" s="211">
        <f t="shared" si="99"/>
        <v>0.37952995880777063</v>
      </c>
      <c r="LU27" s="211">
        <f t="shared" si="100"/>
        <v>20.221038905188916</v>
      </c>
      <c r="LV27" s="211">
        <f t="shared" si="101"/>
        <v>0.51188364070415993</v>
      </c>
      <c r="LW27" s="211">
        <f t="shared" si="102"/>
        <v>7531.6644055475535</v>
      </c>
      <c r="LX27" s="211">
        <f t="shared" si="103"/>
        <v>701.05935601601925</v>
      </c>
      <c r="LY27" s="211"/>
      <c r="LZ27" s="211"/>
      <c r="MA27" s="211"/>
      <c r="MB27" s="211"/>
      <c r="MC27" s="211"/>
      <c r="MD27" s="211"/>
      <c r="ME27" s="211"/>
      <c r="MF27" s="211"/>
      <c r="MG27" s="211"/>
      <c r="MH27" s="211"/>
      <c r="MI27" s="211"/>
      <c r="MJ27" s="211"/>
      <c r="MK27" s="211"/>
      <c r="ML27" s="211"/>
      <c r="MM27" s="211"/>
      <c r="MN27" s="211"/>
      <c r="MO27" s="506">
        <f t="shared" si="107"/>
        <v>1.495121319555506</v>
      </c>
      <c r="MP27" s="506">
        <f t="shared" si="107"/>
        <v>1.9409882562062317E-2</v>
      </c>
      <c r="MQ27" s="109"/>
      <c r="MR27" s="109"/>
      <c r="MS27" s="109"/>
      <c r="MT27" s="109"/>
      <c r="MU27" s="109"/>
      <c r="MV27" s="109"/>
      <c r="MW27" s="506">
        <f t="shared" si="108"/>
        <v>1.3557248305476544</v>
      </c>
      <c r="MX27" s="506">
        <f t="shared" si="108"/>
        <v>1.6226761542138451E-2</v>
      </c>
      <c r="MY27" s="109"/>
      <c r="MZ27" s="109"/>
      <c r="NA27" s="109"/>
      <c r="NB27" s="109"/>
      <c r="NC27" s="109"/>
      <c r="ND27" s="109"/>
    </row>
    <row r="28" spans="2:368">
      <c r="B28" s="245" t="s">
        <v>935</v>
      </c>
      <c r="C28" s="5">
        <f t="shared" si="202"/>
        <v>8.9999999999999993E-3</v>
      </c>
      <c r="D28" s="66">
        <f t="shared" si="203"/>
        <v>4.4999999999999996E-5</v>
      </c>
      <c r="E28" s="67">
        <v>44727</v>
      </c>
      <c r="F28" s="5" t="s">
        <v>210</v>
      </c>
      <c r="G28" s="5" t="s">
        <v>893</v>
      </c>
      <c r="H28" s="5">
        <v>1</v>
      </c>
      <c r="J28" s="327">
        <v>44644</v>
      </c>
      <c r="K28" s="67" t="s">
        <v>823</v>
      </c>
      <c r="L28" s="5">
        <v>5</v>
      </c>
      <c r="M28" s="5">
        <v>4.82</v>
      </c>
      <c r="N28" s="5">
        <v>30</v>
      </c>
      <c r="O28" s="6">
        <v>157.320885</v>
      </c>
      <c r="P28" s="6">
        <v>0.14968999999999999</v>
      </c>
      <c r="Q28" s="6">
        <v>3.4549430000000001</v>
      </c>
      <c r="R28" s="6">
        <v>1.2245000000000001E-2</v>
      </c>
      <c r="S28" s="6">
        <v>42.999744</v>
      </c>
      <c r="T28" s="6">
        <v>5.033E-2</v>
      </c>
      <c r="U28" s="6">
        <v>65.398022999999995</v>
      </c>
      <c r="V28" s="6">
        <v>0.14809600000000001</v>
      </c>
      <c r="W28" s="6">
        <v>0.78941899999999998</v>
      </c>
      <c r="X28" s="6">
        <v>4.5129999999999997E-3</v>
      </c>
      <c r="Y28" s="6">
        <v>6.3067744999999995</v>
      </c>
      <c r="Z28" s="6">
        <v>0.93511705857555649</v>
      </c>
      <c r="AA28" s="6">
        <v>4.3458000000000004E-2</v>
      </c>
      <c r="AB28" s="6">
        <v>2.986365296923112E-2</v>
      </c>
      <c r="AC28" s="6">
        <v>2.21285175</v>
      </c>
      <c r="AD28" s="6">
        <v>2.0188658876193135</v>
      </c>
      <c r="AE28" s="6">
        <v>1.3901317499999999</v>
      </c>
      <c r="AF28" s="6">
        <v>1.1954009646957722</v>
      </c>
      <c r="AG28" s="6">
        <v>0.25606525000000002</v>
      </c>
      <c r="AH28" s="6">
        <v>0.21678044365882418</v>
      </c>
      <c r="AI28" s="133">
        <f t="shared" si="110"/>
        <v>151.01411050000002</v>
      </c>
      <c r="AJ28" s="133">
        <f t="shared" si="111"/>
        <v>0.94702217996148363</v>
      </c>
      <c r="AK28" s="133">
        <f t="shared" si="112"/>
        <v>3.4114849999999999</v>
      </c>
      <c r="AL28" s="133">
        <f t="shared" si="113"/>
        <v>3.2276582744563694E-2</v>
      </c>
      <c r="AM28" s="133">
        <f t="shared" si="114"/>
        <v>40.786892250000001</v>
      </c>
      <c r="AN28" s="133">
        <f t="shared" si="115"/>
        <v>2.0194931495533521</v>
      </c>
      <c r="AO28" s="133">
        <f t="shared" si="116"/>
        <v>64.00789125</v>
      </c>
      <c r="AP28" s="133">
        <f t="shared" si="117"/>
        <v>1.204539701135493</v>
      </c>
      <c r="AQ28" s="133">
        <f t="shared" si="118"/>
        <v>0.53335374999999996</v>
      </c>
      <c r="AR28" s="133">
        <f t="shared" si="119"/>
        <v>0.21682741506072667</v>
      </c>
      <c r="AS28" s="5">
        <v>300.7</v>
      </c>
      <c r="AT28" s="5">
        <v>0.28000000000000003</v>
      </c>
      <c r="AU28" s="133">
        <f t="shared" si="120"/>
        <v>3.426493225042301</v>
      </c>
      <c r="AV28" s="133">
        <f t="shared" si="121"/>
        <v>3.2276901949808243E-2</v>
      </c>
      <c r="AW28" s="133">
        <f t="shared" si="122"/>
        <v>41.145761691116753</v>
      </c>
      <c r="AX28" s="133">
        <f t="shared" si="123"/>
        <v>2.019512707823532</v>
      </c>
      <c r="AY28" s="133">
        <f t="shared" si="124"/>
        <v>64.852665449238586</v>
      </c>
      <c r="AZ28" s="133">
        <f t="shared" si="125"/>
        <v>1.2045605385024745</v>
      </c>
      <c r="BA28" s="133">
        <f t="shared" si="126"/>
        <v>0.54273933206429781</v>
      </c>
      <c r="BB28" s="133">
        <f t="shared" si="127"/>
        <v>0.21682951331926906</v>
      </c>
      <c r="BC28" s="6"/>
      <c r="BD28" s="8"/>
      <c r="BE28" s="133">
        <f t="shared" si="128"/>
        <v>334.0143627174034</v>
      </c>
      <c r="BF28" s="133">
        <f t="shared" si="129"/>
        <v>6.2039164903307764</v>
      </c>
      <c r="BG28" s="133">
        <f t="shared" si="130"/>
        <v>3.4285015571404642</v>
      </c>
      <c r="BH28" s="133">
        <f t="shared" si="131"/>
        <v>3.2295820048855194E-2</v>
      </c>
      <c r="BI28" s="143">
        <f t="shared" si="132"/>
        <v>150.60741320344567</v>
      </c>
      <c r="BJ28" s="133">
        <f t="shared" si="133"/>
        <v>0.94703180515747754</v>
      </c>
      <c r="BK28" s="143">
        <f t="shared" si="134"/>
        <v>3.1232565317690102</v>
      </c>
      <c r="BL28" s="133">
        <f t="shared" si="135"/>
        <v>3.2789692118155911E-2</v>
      </c>
      <c r="BM28" s="143">
        <f t="shared" si="136"/>
        <v>41.092818431260412</v>
      </c>
      <c r="BN28" s="133">
        <f t="shared" si="137"/>
        <v>2.0195127694019739</v>
      </c>
      <c r="BO28" s="147">
        <f t="shared" si="138"/>
        <v>0.42622538675702004</v>
      </c>
      <c r="BP28" s="147">
        <f t="shared" si="139"/>
        <v>0.21684031268410489</v>
      </c>
      <c r="BR28" s="147">
        <f t="shared" si="140"/>
        <v>0.41963585701392137</v>
      </c>
      <c r="BS28" s="147">
        <f t="shared" si="141"/>
        <v>0.21689799437278592</v>
      </c>
      <c r="BT28" s="143">
        <f t="shared" si="142"/>
        <v>41.012688017807712</v>
      </c>
      <c r="BU28" s="147">
        <f t="shared" si="143"/>
        <v>0.39460699455779724</v>
      </c>
      <c r="BV28" s="143">
        <f t="shared" si="204"/>
        <v>26.605017455831913</v>
      </c>
      <c r="BW28" s="143">
        <f t="shared" si="144"/>
        <v>64.100353540278036</v>
      </c>
      <c r="BX28" s="3">
        <v>1.6986774770655257E-12</v>
      </c>
      <c r="BY28" s="3">
        <v>9.4454002365720605E-16</v>
      </c>
      <c r="BZ28" s="157">
        <f t="shared" si="145"/>
        <v>7.1282597887863758E-13</v>
      </c>
      <c r="CA28" s="157">
        <f t="shared" si="146"/>
        <v>3.6843995106278003E-13</v>
      </c>
      <c r="CB28" s="157">
        <f t="shared" si="147"/>
        <v>5.6738267496444817E-10</v>
      </c>
      <c r="CC28" s="158">
        <f t="shared" si="148"/>
        <v>1.0543174569080832E-11</v>
      </c>
      <c r="CD28" s="157">
        <f t="shared" si="149"/>
        <v>6.9667329409765119E-11</v>
      </c>
      <c r="CE28" s="477">
        <f t="shared" si="150"/>
        <v>6.7142844529506171E-13</v>
      </c>
      <c r="CF28" s="157">
        <f t="shared" si="151"/>
        <v>5.3054055256138063E-12</v>
      </c>
      <c r="CG28" s="157">
        <f t="shared" si="152"/>
        <v>5.5777179567344926E-14</v>
      </c>
      <c r="CH28" s="157">
        <f t="shared" si="153"/>
        <v>2.5583342068779424E-10</v>
      </c>
      <c r="CI28" s="157">
        <f t="shared" si="154"/>
        <v>1.6149790208715503E-12</v>
      </c>
      <c r="CJ28" s="157">
        <f t="shared" si="155"/>
        <v>3.1082112751759426E-15</v>
      </c>
      <c r="CK28" s="157">
        <f t="shared" si="156"/>
        <v>2.9955812654224464E-17</v>
      </c>
      <c r="CL28" s="157">
        <f t="shared" si="205"/>
        <v>1.1414020452421318E-14</v>
      </c>
      <c r="CM28" s="157">
        <f t="shared" si="157"/>
        <v>7.2052367523784477E-17</v>
      </c>
      <c r="CN28" s="66">
        <v>5.1340830000000002E-3</v>
      </c>
      <c r="CO28" s="66">
        <v>7.5577700000000003E-6</v>
      </c>
      <c r="CP28" s="3">
        <v>1.1139738540500025E+19</v>
      </c>
      <c r="CQ28" s="60">
        <v>1.0453256904066513E+18</v>
      </c>
      <c r="CR28" s="3">
        <v>8.0438364680336474E+17</v>
      </c>
      <c r="CS28" s="3">
        <v>8.527140119058072E+16</v>
      </c>
      <c r="CT28" s="6">
        <v>0.49881143094597263</v>
      </c>
      <c r="CU28" s="6">
        <v>4.5926073391395927E-2</v>
      </c>
      <c r="CV28" s="4">
        <v>24.581879797320056</v>
      </c>
      <c r="CW28" s="4">
        <v>0.55629982285426871</v>
      </c>
      <c r="CX28" s="157">
        <f t="shared" si="158"/>
        <v>3.799585805411459E-9</v>
      </c>
      <c r="CY28" s="157">
        <f t="shared" si="159"/>
        <v>5.3232922662273485E-11</v>
      </c>
      <c r="CZ28" s="133">
        <f t="shared" si="160"/>
        <v>16.506371743968764</v>
      </c>
      <c r="DA28" s="133">
        <f t="shared" si="161"/>
        <v>0.24554327934831782</v>
      </c>
      <c r="DB28" s="159">
        <f t="shared" si="162"/>
        <v>1.6506371743968764E-3</v>
      </c>
      <c r="DC28" s="167">
        <f t="shared" si="163"/>
        <v>2.4554327934831782E-5</v>
      </c>
      <c r="DD28" s="157">
        <f t="shared" si="164"/>
        <v>2.238394485796614E-9</v>
      </c>
      <c r="DE28" s="157">
        <f t="shared" si="165"/>
        <v>5.8831011247974777E-11</v>
      </c>
      <c r="DF28" s="147">
        <f t="shared" si="166"/>
        <v>8.817533300549707</v>
      </c>
      <c r="DG28" s="133">
        <f t="shared" si="167"/>
        <v>0.23590476503409796</v>
      </c>
      <c r="DH28" s="159">
        <f t="shared" si="168"/>
        <v>8.8175333005497064E-4</v>
      </c>
      <c r="DI28" s="167">
        <f t="shared" si="169"/>
        <v>2.3590476503409795E-5</v>
      </c>
      <c r="DJ28" s="157">
        <f t="shared" si="170"/>
        <v>7.9467125889068428E-7</v>
      </c>
      <c r="DK28" s="157">
        <f t="shared" si="171"/>
        <v>7.5003383316216047E-8</v>
      </c>
      <c r="DL28" s="143">
        <f t="shared" si="172"/>
        <v>3538.9360062598471</v>
      </c>
      <c r="DM28" s="143">
        <f t="shared" si="173"/>
        <v>334.48361910405055</v>
      </c>
      <c r="DN28" s="147">
        <f t="shared" si="174"/>
        <v>0.35389360062598468</v>
      </c>
      <c r="DO28" s="147">
        <f t="shared" si="175"/>
        <v>3.3448361910405053E-2</v>
      </c>
      <c r="DP28" s="133">
        <f t="shared" si="176"/>
        <v>1.6974603134171136</v>
      </c>
      <c r="DQ28" s="133">
        <f t="shared" si="177"/>
        <v>2.4472522511525829E-2</v>
      </c>
      <c r="DR28" s="133">
        <f t="shared" si="178"/>
        <v>4.7813303462307969E-3</v>
      </c>
      <c r="DS28" s="133">
        <f t="shared" si="179"/>
        <v>8.9751204356864744E-3</v>
      </c>
      <c r="DT28" s="133">
        <f t="shared" si="180"/>
        <v>1.8719942620392163</v>
      </c>
      <c r="DU28" s="133">
        <f t="shared" si="181"/>
        <v>2.8562941546759531E-2</v>
      </c>
      <c r="DV28" s="133">
        <f t="shared" si="182"/>
        <v>4.6642187693621663E-3</v>
      </c>
      <c r="DW28" s="133">
        <f t="shared" si="183"/>
        <v>9.0025264070396592E-3</v>
      </c>
      <c r="DX28" s="157">
        <f t="shared" si="184"/>
        <v>5.0991996830081646E-6</v>
      </c>
      <c r="DY28" s="157">
        <f t="shared" si="185"/>
        <v>1.3783208957450374E-7</v>
      </c>
      <c r="DZ28" s="147">
        <f t="shared" si="210"/>
        <v>8.5183580615976009</v>
      </c>
      <c r="EA28" s="147">
        <f t="shared" si="186"/>
        <v>20.52375827443306</v>
      </c>
      <c r="EB28" s="157">
        <f t="shared" si="187"/>
        <v>3.0040170263203958E-6</v>
      </c>
      <c r="EC28" s="157">
        <f t="shared" si="188"/>
        <v>4.6161744953092978E-8</v>
      </c>
      <c r="ED28" s="143">
        <f t="shared" si="206"/>
        <v>77.136572523548878</v>
      </c>
      <c r="EE28" s="143">
        <f t="shared" si="189"/>
        <v>182.54316090425564</v>
      </c>
      <c r="EF28" s="143">
        <f t="shared" si="190"/>
        <v>182.54319497605761</v>
      </c>
      <c r="EG28" s="143">
        <f t="shared" si="207"/>
        <v>77.136572523548878</v>
      </c>
      <c r="EH28" s="147">
        <f t="shared" si="191"/>
        <v>182.54316090425564</v>
      </c>
      <c r="EI28" s="147">
        <f t="shared" si="192"/>
        <v>182.54319497605761</v>
      </c>
      <c r="EJ28" s="501">
        <f t="shared" si="208"/>
        <v>8.0680990794425297E-2</v>
      </c>
      <c r="EK28" s="143">
        <f t="shared" si="209"/>
        <v>77.136572523548878</v>
      </c>
      <c r="EL28" s="143">
        <f t="shared" si="193"/>
        <v>182.54316090425564</v>
      </c>
      <c r="EM28" s="147">
        <f t="shared" si="194"/>
        <v>7.442778017097325</v>
      </c>
      <c r="EN28" s="147">
        <f t="shared" si="195"/>
        <v>3.8472476921159688</v>
      </c>
      <c r="EO28" s="143">
        <f t="shared" si="196"/>
        <v>358.90024812262243</v>
      </c>
      <c r="EP28" s="143">
        <f t="shared" si="197"/>
        <v>185.51919029665078</v>
      </c>
      <c r="EQ28" s="157">
        <f t="shared" si="198"/>
        <v>2.0737734387284164E-2</v>
      </c>
      <c r="ER28" s="157">
        <f t="shared" si="199"/>
        <v>2.5378082722845826E-4</v>
      </c>
      <c r="ES28" s="157">
        <f t="shared" si="200"/>
        <v>2.7862895198064574E-3</v>
      </c>
      <c r="ET28" s="157">
        <f t="shared" si="201"/>
        <v>1.4402614050852635E-3</v>
      </c>
      <c r="LQ28" s="214" t="str">
        <f t="shared" si="96"/>
        <v>B1x Plagioclase</v>
      </c>
      <c r="LR28" s="214" t="str">
        <f t="shared" si="97"/>
        <v>MN2022a</v>
      </c>
      <c r="LS28" s="211">
        <f t="shared" si="98"/>
        <v>16.506371743968764</v>
      </c>
      <c r="LT28" s="211">
        <f t="shared" si="99"/>
        <v>0.24554327934831782</v>
      </c>
      <c r="LU28" s="211">
        <f t="shared" si="100"/>
        <v>8.817533300549707</v>
      </c>
      <c r="LV28" s="211">
        <f t="shared" si="101"/>
        <v>0.23590476503409796</v>
      </c>
      <c r="LW28" s="211">
        <f t="shared" si="102"/>
        <v>3538.9360062598471</v>
      </c>
      <c r="LX28" s="211">
        <f t="shared" si="103"/>
        <v>334.48361910405055</v>
      </c>
      <c r="LY28" s="211"/>
      <c r="LZ28" s="211"/>
      <c r="MA28" s="211"/>
      <c r="MB28" s="211"/>
      <c r="MC28" s="211"/>
      <c r="MD28" s="211"/>
      <c r="ME28" s="211"/>
      <c r="MF28" s="211"/>
      <c r="MG28" s="211"/>
      <c r="MH28" s="211"/>
      <c r="MI28" s="211"/>
      <c r="MJ28" s="211"/>
      <c r="MK28" s="211"/>
      <c r="ML28" s="211"/>
      <c r="MM28" s="211"/>
      <c r="MN28" s="211"/>
      <c r="MO28" s="506">
        <f t="shared" si="107"/>
        <v>1.8719942620392163</v>
      </c>
      <c r="MP28" s="506">
        <f t="shared" si="107"/>
        <v>2.8562941546759531E-2</v>
      </c>
      <c r="MQ28" s="109"/>
      <c r="MR28" s="109"/>
      <c r="MS28" s="109"/>
      <c r="MT28" s="109"/>
      <c r="MU28" s="109"/>
      <c r="MV28" s="109"/>
      <c r="MW28" s="506">
        <f t="shared" si="108"/>
        <v>1.6974603134171136</v>
      </c>
      <c r="MX28" s="506">
        <f t="shared" si="108"/>
        <v>2.4472522511525829E-2</v>
      </c>
      <c r="MY28" s="109"/>
      <c r="MZ28" s="109"/>
      <c r="NA28" s="109"/>
      <c r="NB28" s="109"/>
      <c r="NC28" s="109"/>
      <c r="ND28" s="109"/>
    </row>
    <row r="29" spans="2:368">
      <c r="B29" s="245" t="s">
        <v>935</v>
      </c>
      <c r="C29" s="5">
        <f t="shared" si="202"/>
        <v>8.9999999999999993E-3</v>
      </c>
      <c r="D29" s="66">
        <f t="shared" si="203"/>
        <v>4.4999999999999996E-5</v>
      </c>
      <c r="E29" s="67">
        <v>44727</v>
      </c>
      <c r="F29" s="5" t="s">
        <v>210</v>
      </c>
      <c r="G29" s="5" t="s">
        <v>893</v>
      </c>
      <c r="H29" s="5">
        <v>1</v>
      </c>
      <c r="J29" s="327">
        <v>44644</v>
      </c>
      <c r="K29" s="67" t="s">
        <v>823</v>
      </c>
      <c r="L29" s="5">
        <v>6</v>
      </c>
      <c r="M29" s="5">
        <v>6.06</v>
      </c>
      <c r="N29" s="5">
        <v>30</v>
      </c>
      <c r="O29" s="6">
        <v>89.184258999999997</v>
      </c>
      <c r="P29" s="6">
        <v>8.9110999999999996E-2</v>
      </c>
      <c r="Q29" s="6">
        <v>2.1874959999999999</v>
      </c>
      <c r="R29" s="6">
        <v>8.1139999999999997E-3</v>
      </c>
      <c r="S29" s="6">
        <v>27.958711000000001</v>
      </c>
      <c r="T29" s="6">
        <v>6.6519999999999996E-2</v>
      </c>
      <c r="U29" s="6">
        <v>42.131850999999997</v>
      </c>
      <c r="V29" s="6">
        <v>9.1396000000000005E-2</v>
      </c>
      <c r="W29" s="6">
        <v>0.53188500000000005</v>
      </c>
      <c r="X29" s="6">
        <v>3.7850000000000002E-3</v>
      </c>
      <c r="Y29" s="6">
        <v>6.3067744999999995</v>
      </c>
      <c r="Z29" s="6">
        <v>0.93511705857555649</v>
      </c>
      <c r="AA29" s="6">
        <v>4.3458000000000004E-2</v>
      </c>
      <c r="AB29" s="6">
        <v>2.986365296923112E-2</v>
      </c>
      <c r="AC29" s="6">
        <v>2.21285175</v>
      </c>
      <c r="AD29" s="6">
        <v>2.0188658876193135</v>
      </c>
      <c r="AE29" s="6">
        <v>1.3901317499999999</v>
      </c>
      <c r="AF29" s="6">
        <v>1.1954009646957722</v>
      </c>
      <c r="AG29" s="6">
        <v>0.25606525000000002</v>
      </c>
      <c r="AH29" s="6">
        <v>0.21678044365882418</v>
      </c>
      <c r="AI29" s="133">
        <f t="shared" si="110"/>
        <v>82.877484499999994</v>
      </c>
      <c r="AJ29" s="133">
        <f t="shared" si="111"/>
        <v>0.93935333264964826</v>
      </c>
      <c r="AK29" s="133">
        <f t="shared" si="112"/>
        <v>2.1440379999999997</v>
      </c>
      <c r="AL29" s="133">
        <f t="shared" si="113"/>
        <v>3.0946320696759198E-2</v>
      </c>
      <c r="AM29" s="133">
        <f t="shared" si="114"/>
        <v>25.745859250000002</v>
      </c>
      <c r="AN29" s="133">
        <f t="shared" si="115"/>
        <v>2.0199614804725656</v>
      </c>
      <c r="AO29" s="133">
        <f t="shared" si="116"/>
        <v>40.741719249999996</v>
      </c>
      <c r="AP29" s="133">
        <f t="shared" si="117"/>
        <v>1.1988897760893547</v>
      </c>
      <c r="AQ29" s="133">
        <f t="shared" si="118"/>
        <v>0.27581975000000003</v>
      </c>
      <c r="AR29" s="133">
        <f t="shared" si="119"/>
        <v>0.21681348430832581</v>
      </c>
      <c r="AS29" s="5">
        <v>300.7</v>
      </c>
      <c r="AT29" s="5">
        <v>0.28000000000000003</v>
      </c>
      <c r="AU29" s="133">
        <f t="shared" si="120"/>
        <v>2.1534703160744497</v>
      </c>
      <c r="AV29" s="133">
        <f t="shared" si="121"/>
        <v>3.0946622991884193E-2</v>
      </c>
      <c r="AW29" s="133">
        <f t="shared" si="122"/>
        <v>25.972387960829106</v>
      </c>
      <c r="AX29" s="133">
        <f t="shared" si="123"/>
        <v>2.019981033838222</v>
      </c>
      <c r="AY29" s="133">
        <f t="shared" si="124"/>
        <v>41.279427219796951</v>
      </c>
      <c r="AZ29" s="133">
        <f t="shared" si="125"/>
        <v>1.1989104479912733</v>
      </c>
      <c r="BA29" s="133">
        <f t="shared" si="126"/>
        <v>0.28067343087986468</v>
      </c>
      <c r="BB29" s="133">
        <f t="shared" si="127"/>
        <v>0.21681558241376164</v>
      </c>
      <c r="BC29" s="6"/>
      <c r="BD29" s="8"/>
      <c r="BE29" s="133">
        <f t="shared" si="128"/>
        <v>212.60377627735258</v>
      </c>
      <c r="BF29" s="133">
        <f t="shared" si="129"/>
        <v>6.1748165085748736</v>
      </c>
      <c r="BG29" s="133">
        <f t="shared" si="130"/>
        <v>2.1547325055125044</v>
      </c>
      <c r="BH29" s="133">
        <f t="shared" si="131"/>
        <v>3.0964761389424316E-2</v>
      </c>
      <c r="BI29" s="143">
        <f t="shared" si="132"/>
        <v>82.622204174799748</v>
      </c>
      <c r="BJ29" s="133">
        <f t="shared" si="133"/>
        <v>0.9393622737430859</v>
      </c>
      <c r="BK29" s="143">
        <f t="shared" si="134"/>
        <v>1.960440725494788</v>
      </c>
      <c r="BL29" s="133">
        <f t="shared" si="135"/>
        <v>3.1474744229532205E-2</v>
      </c>
      <c r="BM29" s="143">
        <f t="shared" si="136"/>
        <v>25.939114368544256</v>
      </c>
      <c r="BN29" s="133">
        <f t="shared" si="137"/>
        <v>2.0199810904322804</v>
      </c>
      <c r="BO29" s="147">
        <f t="shared" si="138"/>
        <v>0.2065110369044349</v>
      </c>
      <c r="BP29" s="147">
        <f t="shared" si="139"/>
        <v>0.21682628139542798</v>
      </c>
      <c r="BR29" s="147">
        <f t="shared" si="140"/>
        <v>0.2023496239036478</v>
      </c>
      <c r="BS29" s="147">
        <f t="shared" si="141"/>
        <v>0.21688398610199741</v>
      </c>
      <c r="BT29" s="143">
        <f t="shared" si="142"/>
        <v>25.900290273866077</v>
      </c>
      <c r="BU29" s="147">
        <f t="shared" si="143"/>
        <v>0.39467296301721999</v>
      </c>
      <c r="BV29" s="143">
        <f t="shared" si="204"/>
        <v>22.827890311271823</v>
      </c>
      <c r="BW29" s="143">
        <f t="shared" si="144"/>
        <v>64.096101688290972</v>
      </c>
      <c r="BX29" s="3">
        <v>1.6986774770655257E-12</v>
      </c>
      <c r="BY29" s="3">
        <v>9.4454002365720605E-16</v>
      </c>
      <c r="BZ29" s="157">
        <f t="shared" si="145"/>
        <v>3.4372674861780642E-13</v>
      </c>
      <c r="CA29" s="157">
        <f t="shared" si="146"/>
        <v>3.6841599190429592E-13</v>
      </c>
      <c r="CB29" s="157">
        <f t="shared" si="147"/>
        <v>3.6114524630141675E-10</v>
      </c>
      <c r="CC29" s="158">
        <f t="shared" si="148"/>
        <v>1.049094383666726E-11</v>
      </c>
      <c r="CD29" s="157">
        <f t="shared" si="149"/>
        <v>4.3996239737675602E-11</v>
      </c>
      <c r="CE29" s="477">
        <f t="shared" si="150"/>
        <v>6.7086827064856243E-13</v>
      </c>
      <c r="CF29" s="157">
        <f t="shared" si="151"/>
        <v>3.3301565055199952E-12</v>
      </c>
      <c r="CG29" s="157">
        <f t="shared" si="152"/>
        <v>5.3497495526773414E-14</v>
      </c>
      <c r="CH29" s="157">
        <f t="shared" si="153"/>
        <v>1.4034847733724157E-10</v>
      </c>
      <c r="CI29" s="157">
        <f t="shared" si="154"/>
        <v>1.5975807571554416E-12</v>
      </c>
      <c r="CJ29" s="157">
        <f t="shared" si="155"/>
        <v>1.9628943663630556E-15</v>
      </c>
      <c r="CK29" s="157">
        <f t="shared" si="156"/>
        <v>2.9930820402651968E-17</v>
      </c>
      <c r="CL29" s="157">
        <f t="shared" si="205"/>
        <v>6.261654112612557E-15</v>
      </c>
      <c r="CM29" s="157">
        <f t="shared" si="157"/>
        <v>7.1276142934000974E-17</v>
      </c>
      <c r="CN29" s="66">
        <v>5.1340830000000002E-3</v>
      </c>
      <c r="CO29" s="66">
        <v>7.5577700000000003E-6</v>
      </c>
      <c r="CP29" s="3">
        <v>1.1139738540500025E+19</v>
      </c>
      <c r="CQ29" s="60">
        <v>1.0453256904066513E+18</v>
      </c>
      <c r="CR29" s="3">
        <v>8.0438364680336474E+17</v>
      </c>
      <c r="CS29" s="3">
        <v>8.527140119058072E+16</v>
      </c>
      <c r="CT29" s="6">
        <v>0.49881143094597263</v>
      </c>
      <c r="CU29" s="6">
        <v>4.5926073391395927E-2</v>
      </c>
      <c r="CV29" s="4">
        <v>24.581879797320056</v>
      </c>
      <c r="CW29" s="4">
        <v>0.55629982285426871</v>
      </c>
      <c r="CX29" s="157">
        <f t="shared" si="158"/>
        <v>2.3849666773038035E-9</v>
      </c>
      <c r="CY29" s="157">
        <f t="shared" si="159"/>
        <v>4.4223391118617528E-11</v>
      </c>
      <c r="CZ29" s="133">
        <f t="shared" si="160"/>
        <v>10.360904737691925</v>
      </c>
      <c r="DA29" s="133">
        <f t="shared" si="161"/>
        <v>0.19897970790520006</v>
      </c>
      <c r="DB29" s="159">
        <f t="shared" si="162"/>
        <v>1.0360904737691924E-3</v>
      </c>
      <c r="DC29" s="167">
        <f t="shared" si="163"/>
        <v>1.9897970790520006E-5</v>
      </c>
      <c r="DD29" s="157">
        <f t="shared" si="164"/>
        <v>1.4135885681128905E-9</v>
      </c>
      <c r="DE29" s="157">
        <f t="shared" si="165"/>
        <v>4.0735057709263059E-11</v>
      </c>
      <c r="DF29" s="147">
        <f t="shared" si="166"/>
        <v>5.5684395005895908</v>
      </c>
      <c r="DG29" s="133">
        <f t="shared" si="167"/>
        <v>0.16286198732025603</v>
      </c>
      <c r="DH29" s="159">
        <f t="shared" si="168"/>
        <v>5.5684395005895903E-4</v>
      </c>
      <c r="DI29" s="167">
        <f t="shared" si="169"/>
        <v>1.6286198732025603E-5</v>
      </c>
      <c r="DJ29" s="157">
        <f t="shared" si="170"/>
        <v>5.0581690309580885E-7</v>
      </c>
      <c r="DK29" s="157">
        <f t="shared" si="171"/>
        <v>4.9058210933395258E-8</v>
      </c>
      <c r="DL29" s="143">
        <f t="shared" si="172"/>
        <v>2252.5712751200022</v>
      </c>
      <c r="DM29" s="143">
        <f t="shared" si="173"/>
        <v>218.76280437267715</v>
      </c>
      <c r="DN29" s="147">
        <f t="shared" si="174"/>
        <v>0.22525712751200022</v>
      </c>
      <c r="DO29" s="147">
        <f t="shared" si="175"/>
        <v>2.1876280437267717E-2</v>
      </c>
      <c r="DP29" s="133">
        <f t="shared" si="176"/>
        <v>1.687171735187192</v>
      </c>
      <c r="DQ29" s="133">
        <f t="shared" si="177"/>
        <v>3.2114891816735089E-2</v>
      </c>
      <c r="DR29" s="133">
        <f t="shared" si="178"/>
        <v>4.7150790388909899E-3</v>
      </c>
      <c r="DS29" s="133">
        <f t="shared" si="179"/>
        <v>9.4941175619687214E-3</v>
      </c>
      <c r="DT29" s="133">
        <f t="shared" si="180"/>
        <v>1.8606478056545113</v>
      </c>
      <c r="DU29" s="133">
        <f t="shared" si="181"/>
        <v>3.6588883862586283E-2</v>
      </c>
      <c r="DV29" s="133">
        <f t="shared" si="182"/>
        <v>4.5995901892782343E-3</v>
      </c>
      <c r="DW29" s="133">
        <f t="shared" si="183"/>
        <v>9.520032357440842E-3</v>
      </c>
      <c r="DX29" s="157">
        <f t="shared" si="184"/>
        <v>4.4296156985562828E-6</v>
      </c>
      <c r="DY29" s="157">
        <f t="shared" si="185"/>
        <v>1.3724504996480227E-7</v>
      </c>
      <c r="DZ29" s="147">
        <f t="shared" si="210"/>
        <v>11.644264483186749</v>
      </c>
      <c r="EA29" s="147">
        <f t="shared" si="186"/>
        <v>32.695275438201428</v>
      </c>
      <c r="EB29" s="157">
        <f t="shared" si="187"/>
        <v>2.6254681762226276E-6</v>
      </c>
      <c r="EC29" s="157">
        <f t="shared" si="188"/>
        <v>5.7124197056688007E-8</v>
      </c>
      <c r="ED29" s="143">
        <f t="shared" si="206"/>
        <v>104.63456342069048</v>
      </c>
      <c r="EE29" s="143">
        <f t="shared" si="189"/>
        <v>286.39583380281755</v>
      </c>
      <c r="EF29" s="143">
        <f t="shared" si="190"/>
        <v>286.39587316257052</v>
      </c>
      <c r="EG29" s="143">
        <f t="shared" si="207"/>
        <v>104.63456342069048</v>
      </c>
      <c r="EH29" s="147">
        <f t="shared" si="191"/>
        <v>286.39583380281755</v>
      </c>
      <c r="EI29" s="147">
        <f t="shared" si="192"/>
        <v>286.39587316257052</v>
      </c>
      <c r="EJ29" s="501">
        <f t="shared" si="208"/>
        <v>5.0642750128845129E-2</v>
      </c>
      <c r="EK29" s="143">
        <f t="shared" si="209"/>
        <v>104.63456342069048</v>
      </c>
      <c r="EL29" s="143">
        <f t="shared" si="193"/>
        <v>286.39583380281755</v>
      </c>
      <c r="EM29" s="147">
        <f t="shared" si="194"/>
        <v>9.6883833420332177</v>
      </c>
      <c r="EN29" s="147">
        <f t="shared" si="195"/>
        <v>10.384864418786178</v>
      </c>
      <c r="EO29" s="143">
        <f t="shared" si="196"/>
        <v>408.31409804913551</v>
      </c>
      <c r="EP29" s="143">
        <f t="shared" si="197"/>
        <v>437.66709045488341</v>
      </c>
      <c r="EQ29" s="157">
        <f t="shared" si="198"/>
        <v>2.3727770822322528E-2</v>
      </c>
      <c r="ER29" s="157">
        <f t="shared" si="199"/>
        <v>4.667943108668458E-4</v>
      </c>
      <c r="ES29" s="157">
        <f t="shared" si="200"/>
        <v>2.4490949609084094E-3</v>
      </c>
      <c r="ET29" s="157">
        <f t="shared" si="201"/>
        <v>2.6251561503994694E-3</v>
      </c>
      <c r="LQ29" s="214" t="str">
        <f t="shared" si="96"/>
        <v>B1x Plagioclase</v>
      </c>
      <c r="LR29" s="214" t="str">
        <f t="shared" si="97"/>
        <v>MN2022a</v>
      </c>
      <c r="LS29" s="211">
        <f t="shared" si="98"/>
        <v>10.360904737691925</v>
      </c>
      <c r="LT29" s="211">
        <f t="shared" si="99"/>
        <v>0.19897970790520006</v>
      </c>
      <c r="LU29" s="211">
        <f t="shared" si="100"/>
        <v>5.5684395005895908</v>
      </c>
      <c r="LV29" s="211">
        <f t="shared" si="101"/>
        <v>0.16286198732025603</v>
      </c>
      <c r="LW29" s="211">
        <f t="shared" si="102"/>
        <v>2252.5712751200022</v>
      </c>
      <c r="LX29" s="211">
        <f t="shared" si="103"/>
        <v>218.76280437267715</v>
      </c>
      <c r="LY29" s="211"/>
      <c r="LZ29" s="211"/>
      <c r="MA29" s="211"/>
      <c r="MB29" s="211"/>
      <c r="MC29" s="211"/>
      <c r="MD29" s="211"/>
      <c r="ME29" s="211"/>
      <c r="MF29" s="211"/>
      <c r="MG29" s="211"/>
      <c r="MH29" s="211"/>
      <c r="MI29" s="211"/>
      <c r="MJ29" s="211"/>
      <c r="MK29" s="211"/>
      <c r="ML29" s="211"/>
      <c r="MM29" s="211"/>
      <c r="MN29" s="211"/>
      <c r="MO29" s="506">
        <f t="shared" si="107"/>
        <v>1.8606478056545113</v>
      </c>
      <c r="MP29" s="506">
        <f t="shared" si="107"/>
        <v>3.6588883862586283E-2</v>
      </c>
      <c r="MQ29" s="109"/>
      <c r="MR29" s="109"/>
      <c r="MS29" s="109"/>
      <c r="MT29" s="109"/>
      <c r="MU29" s="109"/>
      <c r="MV29" s="109"/>
      <c r="MW29" s="506">
        <f t="shared" si="108"/>
        <v>1.687171735187192</v>
      </c>
      <c r="MX29" s="506">
        <f t="shared" si="108"/>
        <v>3.2114891816735089E-2</v>
      </c>
      <c r="MY29" s="109"/>
      <c r="MZ29" s="109"/>
      <c r="NA29" s="109"/>
      <c r="NB29" s="109"/>
      <c r="NC29" s="109"/>
      <c r="ND29" s="109"/>
    </row>
    <row r="30" spans="2:368" s="484" customFormat="1">
      <c r="B30" s="485" t="s">
        <v>935</v>
      </c>
      <c r="C30" s="117">
        <f t="shared" si="202"/>
        <v>8.9999999999999993E-3</v>
      </c>
      <c r="D30" s="486">
        <f t="shared" si="203"/>
        <v>4.4999999999999996E-5</v>
      </c>
      <c r="E30" s="487">
        <v>44727</v>
      </c>
      <c r="F30" s="117" t="s">
        <v>210</v>
      </c>
      <c r="G30" s="117" t="s">
        <v>893</v>
      </c>
      <c r="H30" s="117">
        <v>1</v>
      </c>
      <c r="I30" s="117"/>
      <c r="J30" s="488">
        <v>44644</v>
      </c>
      <c r="K30" s="487" t="s">
        <v>823</v>
      </c>
      <c r="L30" s="117">
        <v>8</v>
      </c>
      <c r="M30" s="117">
        <v>7.41</v>
      </c>
      <c r="N30" s="117">
        <v>30</v>
      </c>
      <c r="O30" s="118">
        <v>299.05222600000002</v>
      </c>
      <c r="P30" s="118">
        <v>8.1961999999999993E-2</v>
      </c>
      <c r="Q30" s="118">
        <v>6.8748019999999999</v>
      </c>
      <c r="R30" s="118">
        <v>1.9297999999999999E-2</v>
      </c>
      <c r="S30" s="118">
        <v>98.700986</v>
      </c>
      <c r="T30" s="118">
        <v>6.9807999999999995E-2</v>
      </c>
      <c r="U30" s="118">
        <v>265.82511399999999</v>
      </c>
      <c r="V30" s="118">
        <v>0.21199000000000001</v>
      </c>
      <c r="W30" s="118">
        <v>1.593766</v>
      </c>
      <c r="X30" s="118">
        <v>7.2880000000000002E-3</v>
      </c>
      <c r="Y30" s="118">
        <v>6.3067744999999995</v>
      </c>
      <c r="Z30" s="118">
        <v>0.93511705857555649</v>
      </c>
      <c r="AA30" s="118">
        <v>4.3458000000000004E-2</v>
      </c>
      <c r="AB30" s="118">
        <v>2.986365296923112E-2</v>
      </c>
      <c r="AC30" s="118">
        <v>2.21285175</v>
      </c>
      <c r="AD30" s="118">
        <v>2.0188658876193135</v>
      </c>
      <c r="AE30" s="118">
        <v>1.3901317499999999</v>
      </c>
      <c r="AF30" s="118">
        <v>1.1954009646957722</v>
      </c>
      <c r="AG30" s="118">
        <v>0.25606525000000002</v>
      </c>
      <c r="AH30" s="118">
        <v>0.21678044365882418</v>
      </c>
      <c r="AI30" s="489">
        <f t="shared" si="110"/>
        <v>292.7454515</v>
      </c>
      <c r="AJ30" s="489">
        <f t="shared" si="111"/>
        <v>0.93870212670633746</v>
      </c>
      <c r="AK30" s="489">
        <f t="shared" si="112"/>
        <v>6.8313439999999996</v>
      </c>
      <c r="AL30" s="489">
        <f t="shared" si="113"/>
        <v>3.5556301448079024E-2</v>
      </c>
      <c r="AM30" s="489">
        <f t="shared" si="114"/>
        <v>96.488134250000002</v>
      </c>
      <c r="AN30" s="489">
        <f t="shared" si="115"/>
        <v>2.0200724316362813</v>
      </c>
      <c r="AO30" s="489">
        <f t="shared" si="116"/>
        <v>264.43498224999996</v>
      </c>
      <c r="AP30" s="489">
        <f t="shared" si="117"/>
        <v>1.2140523985790659</v>
      </c>
      <c r="AQ30" s="489">
        <f t="shared" si="118"/>
        <v>1.33770075</v>
      </c>
      <c r="AR30" s="489">
        <f t="shared" si="119"/>
        <v>0.2169029176772794</v>
      </c>
      <c r="AS30" s="117">
        <v>300.7</v>
      </c>
      <c r="AT30" s="117">
        <v>0.28000000000000003</v>
      </c>
      <c r="AU30" s="489">
        <f t="shared" si="120"/>
        <v>6.86139729001692</v>
      </c>
      <c r="AV30" s="489">
        <f t="shared" si="121"/>
        <v>3.5556670515829482E-2</v>
      </c>
      <c r="AW30" s="489">
        <f t="shared" si="122"/>
        <v>97.337099221404401</v>
      </c>
      <c r="AX30" s="489">
        <f t="shared" si="123"/>
        <v>2.0200920675794478</v>
      </c>
      <c r="AY30" s="489">
        <f t="shared" si="124"/>
        <v>267.92498709187817</v>
      </c>
      <c r="AZ30" s="489">
        <f t="shared" si="125"/>
        <v>1.2140752340856651</v>
      </c>
      <c r="BA30" s="489">
        <f t="shared" si="126"/>
        <v>1.3612406616751269</v>
      </c>
      <c r="BB30" s="489">
        <f t="shared" si="127"/>
        <v>0.21690501679856147</v>
      </c>
      <c r="BC30" s="118"/>
      <c r="BD30" s="490"/>
      <c r="BE30" s="489">
        <f t="shared" si="128"/>
        <v>1379.9092635538375</v>
      </c>
      <c r="BF30" s="489">
        <f t="shared" si="129"/>
        <v>6.2529205668734287</v>
      </c>
      <c r="BG30" s="489">
        <f t="shared" si="130"/>
        <v>6.865418883964657</v>
      </c>
      <c r="BH30" s="489">
        <f t="shared" si="131"/>
        <v>3.5577510948893484E-2</v>
      </c>
      <c r="BI30" s="247">
        <f t="shared" si="132"/>
        <v>292.01567484831571</v>
      </c>
      <c r="BJ30" s="489">
        <f t="shared" si="133"/>
        <v>0.93871385350869241</v>
      </c>
      <c r="BK30" s="247">
        <f t="shared" si="134"/>
        <v>5.6043640157338395</v>
      </c>
      <c r="BL30" s="489">
        <f t="shared" si="135"/>
        <v>3.603349844506909E-2</v>
      </c>
      <c r="BM30" s="247">
        <f t="shared" si="136"/>
        <v>97.231082744544594</v>
      </c>
      <c r="BN30" s="489">
        <f t="shared" si="137"/>
        <v>2.0200921422866736</v>
      </c>
      <c r="BO30" s="168">
        <f t="shared" si="138"/>
        <v>0.8798880900231516</v>
      </c>
      <c r="BP30" s="168">
        <f t="shared" si="139"/>
        <v>0.2169159836203044</v>
      </c>
      <c r="BQ30" s="117"/>
      <c r="BR30" s="168">
        <f t="shared" si="140"/>
        <v>0.8642924997584065</v>
      </c>
      <c r="BS30" s="168">
        <f t="shared" si="141"/>
        <v>0.21697371854640948</v>
      </c>
      <c r="BT30" s="247">
        <f t="shared" si="142"/>
        <v>97.065663699512783</v>
      </c>
      <c r="BU30" s="168">
        <f t="shared" si="143"/>
        <v>0.39485794817797865</v>
      </c>
      <c r="BV30" s="247">
        <f t="shared" si="204"/>
        <v>36.617241169706602</v>
      </c>
      <c r="BW30" s="247">
        <f t="shared" si="144"/>
        <v>64.122605283298313</v>
      </c>
      <c r="BX30" s="491">
        <v>1.6986774770655257E-12</v>
      </c>
      <c r="BY30" s="491">
        <v>9.4454002365720605E-16</v>
      </c>
      <c r="BZ30" s="482">
        <f t="shared" si="145"/>
        <v>1.4681542029362664E-12</v>
      </c>
      <c r="CA30" s="482">
        <f t="shared" si="146"/>
        <v>3.685692729040302E-13</v>
      </c>
      <c r="CB30" s="482">
        <f t="shared" si="147"/>
        <v>2.34402078639298E-9</v>
      </c>
      <c r="CC30" s="492">
        <f t="shared" si="148"/>
        <v>1.0701364863351547E-11</v>
      </c>
      <c r="CD30" s="482">
        <f t="shared" si="149"/>
        <v>1.6488325672277914E-10</v>
      </c>
      <c r="CE30" s="497">
        <f t="shared" si="150"/>
        <v>6.7697330205850053E-13</v>
      </c>
      <c r="CF30" s="482">
        <f t="shared" si="151"/>
        <v>9.5200069268035766E-12</v>
      </c>
      <c r="CG30" s="482">
        <f t="shared" si="152"/>
        <v>6.1437765955805273E-14</v>
      </c>
      <c r="CH30" s="482">
        <f t="shared" si="153"/>
        <v>4.9604044981492383E-10</v>
      </c>
      <c r="CI30" s="482">
        <f t="shared" si="154"/>
        <v>1.6182512362183913E-12</v>
      </c>
      <c r="CJ30" s="482">
        <f t="shared" si="155"/>
        <v>7.3562744829664277E-15</v>
      </c>
      <c r="CK30" s="482">
        <f t="shared" si="156"/>
        <v>3.0203196954341319E-17</v>
      </c>
      <c r="CL30" s="482">
        <f t="shared" si="205"/>
        <v>2.2130868688673776E-14</v>
      </c>
      <c r="CM30" s="482">
        <f t="shared" si="157"/>
        <v>7.2198358406823511E-17</v>
      </c>
      <c r="CN30" s="486">
        <v>5.1340830000000002E-3</v>
      </c>
      <c r="CO30" s="486">
        <v>7.5577700000000003E-6</v>
      </c>
      <c r="CP30" s="491">
        <v>1.1139738540500025E+19</v>
      </c>
      <c r="CQ30" s="493">
        <v>1.0453256904066513E+18</v>
      </c>
      <c r="CR30" s="491">
        <v>8.0438364680336474E+17</v>
      </c>
      <c r="CS30" s="491">
        <v>8.527140119058072E+16</v>
      </c>
      <c r="CT30" s="118">
        <v>0.49881143094597263</v>
      </c>
      <c r="CU30" s="118">
        <v>4.5926073391395927E-2</v>
      </c>
      <c r="CV30" s="267">
        <v>24.581879797320056</v>
      </c>
      <c r="CW30" s="267">
        <v>0.55629982285426871</v>
      </c>
      <c r="CX30" s="482">
        <f t="shared" si="158"/>
        <v>6.8179676392063773E-9</v>
      </c>
      <c r="CY30" s="482">
        <f t="shared" si="159"/>
        <v>7.6956927774990713E-11</v>
      </c>
      <c r="CZ30" s="489">
        <f t="shared" si="160"/>
        <v>29.618993794220305</v>
      </c>
      <c r="DA30" s="489">
        <f t="shared" si="161"/>
        <v>0.36565332955684249</v>
      </c>
      <c r="DB30" s="494">
        <f t="shared" si="162"/>
        <v>2.9618993794220307E-3</v>
      </c>
      <c r="DC30" s="495">
        <f t="shared" si="163"/>
        <v>3.656533295568425E-5</v>
      </c>
      <c r="DD30" s="482">
        <f t="shared" si="164"/>
        <v>5.297659258296817E-9</v>
      </c>
      <c r="DE30" s="482">
        <f t="shared" si="165"/>
        <v>1.3135126196922974E-10</v>
      </c>
      <c r="DF30" s="168">
        <f t="shared" si="166"/>
        <v>20.868657076044119</v>
      </c>
      <c r="DG30" s="489">
        <f t="shared" si="167"/>
        <v>0.52783791507942623</v>
      </c>
      <c r="DH30" s="494">
        <f t="shared" si="168"/>
        <v>2.0868657076044119E-3</v>
      </c>
      <c r="DI30" s="495">
        <f t="shared" si="169"/>
        <v>5.2783791507942622E-5</v>
      </c>
      <c r="DJ30" s="482">
        <f t="shared" si="170"/>
        <v>3.2830152054000564E-6</v>
      </c>
      <c r="DK30" s="482">
        <f t="shared" si="171"/>
        <v>3.0416530054613063E-7</v>
      </c>
      <c r="DL30" s="247">
        <f t="shared" si="172"/>
        <v>14620.361048048253</v>
      </c>
      <c r="DM30" s="247">
        <f t="shared" si="173"/>
        <v>1356.5213873781563</v>
      </c>
      <c r="DN30" s="168">
        <f t="shared" si="174"/>
        <v>1.4620361048048254</v>
      </c>
      <c r="DO30" s="168">
        <f t="shared" si="175"/>
        <v>0.13565213873781562</v>
      </c>
      <c r="DP30" s="489">
        <f t="shared" si="176"/>
        <v>1.286977381289399</v>
      </c>
      <c r="DQ30" s="489">
        <f t="shared" si="177"/>
        <v>1.5141343428341544E-2</v>
      </c>
      <c r="DR30" s="489">
        <f t="shared" si="178"/>
        <v>2.0767395862169224E-3</v>
      </c>
      <c r="DS30" s="489">
        <f t="shared" si="179"/>
        <v>8.6071214938868608E-3</v>
      </c>
      <c r="DT30" s="489">
        <f t="shared" si="180"/>
        <v>1.4193052138568616</v>
      </c>
      <c r="DU30" s="489">
        <f t="shared" si="181"/>
        <v>1.8161403912972381E-2</v>
      </c>
      <c r="DV30" s="489">
        <f t="shared" si="182"/>
        <v>2.0258729382181912E-3</v>
      </c>
      <c r="DW30" s="489">
        <f t="shared" si="183"/>
        <v>8.633700394594955E-3</v>
      </c>
      <c r="DX30" s="482">
        <f t="shared" si="184"/>
        <v>4.1774805833376288E-6</v>
      </c>
      <c r="DY30" s="482">
        <f t="shared" si="185"/>
        <v>1.0447005835432728E-7</v>
      </c>
      <c r="DZ30" s="168">
        <f t="shared" si="210"/>
        <v>6.5337014274780145</v>
      </c>
      <c r="EA30" s="168">
        <f t="shared" si="186"/>
        <v>11.4416260805516</v>
      </c>
      <c r="EB30" s="482">
        <f t="shared" si="187"/>
        <v>3.2459627061606067E-6</v>
      </c>
      <c r="EC30" s="482">
        <f t="shared" si="188"/>
        <v>3.8138000995984069E-8</v>
      </c>
      <c r="ED30" s="247">
        <f t="shared" si="206"/>
        <v>59.457615668086483</v>
      </c>
      <c r="EE30" s="247">
        <f t="shared" si="189"/>
        <v>102.76779342017244</v>
      </c>
      <c r="EF30" s="247">
        <f t="shared" si="190"/>
        <v>102.76782973061972</v>
      </c>
      <c r="EG30" s="247">
        <f t="shared" si="207"/>
        <v>59.457615668086483</v>
      </c>
      <c r="EH30" s="168">
        <f t="shared" si="191"/>
        <v>102.76779342017244</v>
      </c>
      <c r="EI30" s="168">
        <f t="shared" si="192"/>
        <v>102.76782973061972</v>
      </c>
      <c r="EJ30" s="503">
        <f t="shared" si="208"/>
        <v>0.1447737760131807</v>
      </c>
      <c r="EK30" s="247">
        <f t="shared" si="209"/>
        <v>59.457615668086483</v>
      </c>
      <c r="EL30" s="247">
        <f t="shared" si="193"/>
        <v>102.76779342017244</v>
      </c>
      <c r="EM30" s="168">
        <f t="shared" si="194"/>
        <v>6.4843372091050346</v>
      </c>
      <c r="EN30" s="168">
        <f t="shared" si="195"/>
        <v>1.6279744399526306</v>
      </c>
      <c r="EO30" s="247">
        <f t="shared" si="196"/>
        <v>337.86672327937833</v>
      </c>
      <c r="EP30" s="247">
        <f t="shared" si="197"/>
        <v>84.825691797310526</v>
      </c>
      <c r="EQ30" s="482">
        <f t="shared" si="198"/>
        <v>1.9191997205783434E-2</v>
      </c>
      <c r="ER30" s="482">
        <f t="shared" si="199"/>
        <v>1.3795919921666324E-4</v>
      </c>
      <c r="ES30" s="482">
        <f t="shared" si="200"/>
        <v>2.9597469389523478E-3</v>
      </c>
      <c r="ET30" s="482">
        <f t="shared" si="201"/>
        <v>7.4308170749921463E-4</v>
      </c>
      <c r="EU30" s="117"/>
      <c r="EV30" s="117"/>
      <c r="EW30" s="117"/>
      <c r="EX30" s="117"/>
      <c r="EY30" s="117"/>
      <c r="EZ30" s="117"/>
      <c r="FA30" s="117"/>
      <c r="FB30" s="117"/>
      <c r="FC30" s="117"/>
      <c r="FD30" s="117"/>
      <c r="FE30" s="117"/>
      <c r="FF30" s="117"/>
      <c r="FG30" s="117"/>
      <c r="FH30" s="117"/>
      <c r="FI30" s="117"/>
      <c r="FJ30" s="117"/>
      <c r="FK30" s="161"/>
      <c r="FL30" s="161"/>
      <c r="FM30" s="161"/>
      <c r="FN30" s="161"/>
      <c r="FO30" s="161"/>
      <c r="FP30" s="161"/>
      <c r="FQ30" s="161"/>
      <c r="FR30" s="161"/>
      <c r="FS30" s="161"/>
      <c r="FT30" s="161"/>
      <c r="FU30" s="161"/>
      <c r="FV30" s="161"/>
      <c r="FW30" s="161"/>
      <c r="FX30" s="161"/>
      <c r="FY30" s="161"/>
      <c r="FZ30" s="161"/>
      <c r="GA30" s="117"/>
      <c r="GB30" s="117"/>
      <c r="GC30" s="117"/>
      <c r="GD30" s="117"/>
      <c r="GE30" s="161"/>
      <c r="GF30" s="161"/>
      <c r="GG30" s="161"/>
      <c r="GH30" s="161"/>
      <c r="GI30" s="161"/>
      <c r="GJ30" s="161"/>
      <c r="GK30" s="161"/>
      <c r="GL30" s="161"/>
      <c r="GM30" s="161"/>
      <c r="GN30" s="161"/>
      <c r="GO30" s="161"/>
      <c r="GP30" s="161"/>
      <c r="GQ30" s="161"/>
      <c r="GR30" s="161"/>
      <c r="GS30" s="161"/>
      <c r="GT30" s="161"/>
      <c r="GU30" s="117"/>
      <c r="GV30" s="117"/>
      <c r="GW30" s="161"/>
      <c r="GX30" s="161"/>
      <c r="GY30" s="161"/>
      <c r="GZ30" s="161"/>
      <c r="HA30" s="161"/>
      <c r="HB30" s="161"/>
      <c r="HC30" s="117"/>
      <c r="HD30" s="117"/>
      <c r="HE30" s="161"/>
      <c r="HF30" s="161"/>
      <c r="HG30" s="161"/>
      <c r="HH30" s="161"/>
      <c r="HI30" s="161"/>
      <c r="HJ30" s="161"/>
      <c r="HK30" s="117"/>
      <c r="HL30" s="117"/>
      <c r="HM30" s="117"/>
      <c r="HN30" s="117"/>
      <c r="HO30" s="117"/>
      <c r="HP30" s="117"/>
      <c r="HQ30" s="117"/>
      <c r="HR30" s="117"/>
      <c r="HS30" s="117"/>
      <c r="HT30" s="117"/>
      <c r="HU30" s="117"/>
      <c r="HV30" s="117"/>
      <c r="HW30" s="117"/>
      <c r="HX30" s="117"/>
      <c r="HY30" s="117"/>
      <c r="HZ30" s="117"/>
      <c r="IA30" s="117"/>
      <c r="IB30" s="117"/>
      <c r="IC30" s="117"/>
      <c r="ID30" s="117"/>
      <c r="IE30" s="117"/>
      <c r="IF30" s="117"/>
      <c r="IG30" s="117"/>
      <c r="IH30" s="117"/>
      <c r="II30" s="117"/>
      <c r="IJ30" s="117"/>
      <c r="IK30" s="117"/>
      <c r="IL30" s="117"/>
      <c r="IM30" s="117"/>
      <c r="IN30" s="117"/>
      <c r="IO30" s="117"/>
      <c r="IP30" s="117"/>
      <c r="IQ30" s="117"/>
      <c r="IR30" s="117"/>
      <c r="IS30" s="117"/>
      <c r="IT30" s="117"/>
      <c r="IU30" s="161"/>
      <c r="IV30" s="161"/>
      <c r="IW30" s="161"/>
      <c r="IX30" s="161"/>
      <c r="IY30" s="161"/>
      <c r="IZ30" s="161"/>
      <c r="JA30" s="161"/>
      <c r="JB30" s="161"/>
      <c r="JC30" s="161"/>
      <c r="JD30" s="161"/>
      <c r="JE30" s="161"/>
      <c r="JF30" s="161"/>
      <c r="JG30" s="161"/>
      <c r="JH30" s="161"/>
      <c r="JI30" s="161"/>
      <c r="JJ30" s="161"/>
      <c r="JK30" s="161"/>
      <c r="JL30" s="161"/>
      <c r="JM30" s="161"/>
      <c r="JN30" s="161"/>
      <c r="JO30" s="161"/>
      <c r="JP30" s="161"/>
      <c r="JQ30" s="161"/>
      <c r="JR30" s="161"/>
      <c r="JS30" s="161"/>
      <c r="JT30" s="161"/>
      <c r="JU30" s="117"/>
      <c r="JV30" s="117"/>
      <c r="JW30" s="117"/>
      <c r="JX30" s="117"/>
      <c r="JY30" s="161"/>
      <c r="JZ30" s="161"/>
      <c r="KA30" s="161"/>
      <c r="KB30" s="161"/>
      <c r="KC30" s="117"/>
      <c r="KD30" s="117"/>
      <c r="KE30" s="161"/>
      <c r="KF30" s="161"/>
      <c r="KG30" s="161"/>
      <c r="KH30" s="161"/>
      <c r="KI30" s="161"/>
      <c r="KJ30" s="161"/>
      <c r="KK30" s="161"/>
      <c r="KL30" s="161"/>
      <c r="KM30" s="161"/>
      <c r="KN30" s="161"/>
      <c r="KO30" s="161"/>
      <c r="KP30" s="161"/>
      <c r="KQ30" s="161"/>
      <c r="KR30" s="161"/>
      <c r="KS30" s="161"/>
      <c r="KT30" s="161"/>
      <c r="KU30" s="117"/>
      <c r="KV30" s="117"/>
      <c r="KW30" s="161"/>
      <c r="KX30" s="161"/>
      <c r="KY30" s="161"/>
      <c r="KZ30" s="161"/>
      <c r="LA30" s="161"/>
      <c r="LB30" s="161"/>
      <c r="LC30" s="161"/>
      <c r="LD30" s="161"/>
      <c r="LE30" s="161"/>
      <c r="LF30" s="161"/>
      <c r="LG30" s="161"/>
      <c r="LH30" s="161"/>
      <c r="LI30" s="161"/>
      <c r="LJ30" s="161"/>
      <c r="LK30" s="161"/>
      <c r="LL30" s="161"/>
      <c r="LM30" s="161"/>
      <c r="LN30" s="161"/>
      <c r="LQ30" s="214" t="str">
        <f t="shared" si="96"/>
        <v>B1x Plagioclase</v>
      </c>
      <c r="LR30" s="214" t="str">
        <f t="shared" si="97"/>
        <v>MN2022a</v>
      </c>
      <c r="LS30" s="211">
        <f t="shared" si="98"/>
        <v>29.618993794220305</v>
      </c>
      <c r="LT30" s="211">
        <f t="shared" si="99"/>
        <v>0.36565332955684249</v>
      </c>
      <c r="LU30" s="211">
        <f t="shared" si="100"/>
        <v>20.868657076044119</v>
      </c>
      <c r="LV30" s="211">
        <f t="shared" si="101"/>
        <v>0.52783791507942623</v>
      </c>
      <c r="LW30" s="211">
        <f t="shared" si="102"/>
        <v>14620.361048048253</v>
      </c>
      <c r="LX30" s="211">
        <f t="shared" si="103"/>
        <v>1356.5213873781563</v>
      </c>
      <c r="LY30" s="211"/>
      <c r="LZ30" s="211"/>
      <c r="MA30" s="211"/>
      <c r="MB30" s="211"/>
      <c r="MC30" s="211"/>
      <c r="MD30" s="211"/>
      <c r="ME30" s="211"/>
      <c r="MF30" s="211"/>
      <c r="MG30" s="211"/>
      <c r="MH30" s="211"/>
      <c r="MI30" s="211"/>
      <c r="MJ30" s="211"/>
      <c r="MK30" s="211"/>
      <c r="ML30" s="211"/>
      <c r="MM30" s="211"/>
      <c r="MN30" s="211"/>
      <c r="MO30" s="506">
        <f t="shared" si="107"/>
        <v>1.4193052138568616</v>
      </c>
      <c r="MP30" s="506">
        <f t="shared" si="107"/>
        <v>1.8161403912972381E-2</v>
      </c>
      <c r="MQ30" s="109"/>
      <c r="MR30" s="109"/>
      <c r="MS30" s="109"/>
      <c r="MT30" s="109"/>
      <c r="MU30" s="109"/>
      <c r="MV30" s="109"/>
      <c r="MW30" s="506">
        <f t="shared" si="108"/>
        <v>1.286977381289399</v>
      </c>
      <c r="MX30" s="506">
        <f t="shared" si="108"/>
        <v>1.5141343428341544E-2</v>
      </c>
      <c r="MY30" s="109"/>
      <c r="MZ30" s="109"/>
      <c r="NA30" s="109"/>
      <c r="NB30" s="109"/>
      <c r="NC30" s="109"/>
      <c r="ND30" s="109"/>
    </row>
    <row r="31" spans="2:368">
      <c r="B31" s="245" t="s">
        <v>935</v>
      </c>
      <c r="C31" s="5">
        <f t="shared" si="202"/>
        <v>8.9999999999999993E-3</v>
      </c>
      <c r="D31" s="66">
        <f t="shared" si="203"/>
        <v>4.4999999999999996E-5</v>
      </c>
      <c r="E31" s="67">
        <v>44727</v>
      </c>
      <c r="F31" s="5" t="s">
        <v>210</v>
      </c>
      <c r="G31" s="5" t="s">
        <v>893</v>
      </c>
      <c r="H31" s="5">
        <v>1</v>
      </c>
      <c r="J31" s="327">
        <v>44644</v>
      </c>
      <c r="K31" s="67" t="s">
        <v>823</v>
      </c>
      <c r="L31" s="5">
        <v>10</v>
      </c>
      <c r="M31" s="5">
        <v>8.65</v>
      </c>
      <c r="N31" s="5">
        <v>30</v>
      </c>
      <c r="O31" s="6">
        <v>120.738907</v>
      </c>
      <c r="P31" s="6">
        <v>0.13034399999999999</v>
      </c>
      <c r="Q31" s="6">
        <v>5.5867089999999999</v>
      </c>
      <c r="R31" s="6">
        <v>1.4295E-2</v>
      </c>
      <c r="S31" s="6">
        <v>77.976382999999998</v>
      </c>
      <c r="T31" s="6">
        <v>6.6300999999999999E-2</v>
      </c>
      <c r="U31" s="6">
        <v>359.82609200000002</v>
      </c>
      <c r="V31" s="6">
        <v>0.201852</v>
      </c>
      <c r="W31" s="6">
        <v>1.16988</v>
      </c>
      <c r="X31" s="6">
        <v>6.8250000000000003E-3</v>
      </c>
      <c r="Y31" s="118">
        <v>6.3067744999999995</v>
      </c>
      <c r="Z31" s="118">
        <v>0.93511705857555649</v>
      </c>
      <c r="AA31" s="118">
        <v>4.3458000000000004E-2</v>
      </c>
      <c r="AB31" s="118">
        <v>2.986365296923112E-2</v>
      </c>
      <c r="AC31" s="118">
        <v>2.21285175</v>
      </c>
      <c r="AD31" s="118">
        <v>2.0188658876193135</v>
      </c>
      <c r="AE31" s="118">
        <v>1.3901317499999999</v>
      </c>
      <c r="AF31" s="118">
        <v>1.1954009646957722</v>
      </c>
      <c r="AG31" s="118">
        <v>0.25606525000000002</v>
      </c>
      <c r="AH31" s="118">
        <v>0.21678044365882418</v>
      </c>
      <c r="AI31" s="133">
        <f t="shared" si="110"/>
        <v>114.43213249999999</v>
      </c>
      <c r="AJ31" s="133">
        <f t="shared" si="111"/>
        <v>0.94415754595035717</v>
      </c>
      <c r="AK31" s="133">
        <f t="shared" si="112"/>
        <v>5.5432509999999997</v>
      </c>
      <c r="AL31" s="133">
        <f t="shared" si="113"/>
        <v>3.3108681545278525E-2</v>
      </c>
      <c r="AM31" s="133">
        <f t="shared" si="114"/>
        <v>75.76353125</v>
      </c>
      <c r="AN31" s="133">
        <f t="shared" si="115"/>
        <v>2.0199542803721866</v>
      </c>
      <c r="AO31" s="133">
        <f t="shared" si="116"/>
        <v>358.43596024999999</v>
      </c>
      <c r="AP31" s="133">
        <f t="shared" si="117"/>
        <v>1.2123232639438966</v>
      </c>
      <c r="AQ31" s="133">
        <f t="shared" si="118"/>
        <v>0.91381475000000001</v>
      </c>
      <c r="AR31" s="133">
        <f t="shared" si="119"/>
        <v>0.21688785438082198</v>
      </c>
      <c r="AS31" s="5">
        <v>300.7</v>
      </c>
      <c r="AT31" s="5">
        <v>0.28000000000000003</v>
      </c>
      <c r="AU31" s="133">
        <f t="shared" si="120"/>
        <v>5.5676375526226733</v>
      </c>
      <c r="AV31" s="133">
        <f t="shared" si="121"/>
        <v>3.3109019608247865E-2</v>
      </c>
      <c r="AW31" s="133">
        <f t="shared" si="122"/>
        <v>76.430147768612528</v>
      </c>
      <c r="AX31" s="133">
        <f t="shared" si="123"/>
        <v>2.0199738815272283</v>
      </c>
      <c r="AY31" s="133">
        <f t="shared" si="124"/>
        <v>363.16658713654823</v>
      </c>
      <c r="AZ31" s="133">
        <f t="shared" si="125"/>
        <v>1.2123477072706319</v>
      </c>
      <c r="BA31" s="133">
        <f t="shared" si="126"/>
        <v>0.9298954156514383</v>
      </c>
      <c r="BB31" s="133">
        <f t="shared" si="127"/>
        <v>0.21688995327256314</v>
      </c>
      <c r="BC31" s="6"/>
      <c r="BD31" s="8"/>
      <c r="BE31" s="133">
        <f t="shared" si="128"/>
        <v>1870.4374804396368</v>
      </c>
      <c r="BF31" s="133">
        <f t="shared" si="129"/>
        <v>6.2440231874950562</v>
      </c>
      <c r="BG31" s="133">
        <f t="shared" si="130"/>
        <v>5.5709008496653034</v>
      </c>
      <c r="BH31" s="133">
        <f t="shared" si="131"/>
        <v>3.3128425427098457E-2</v>
      </c>
      <c r="BI31" s="143">
        <f t="shared" si="132"/>
        <v>113.92929540244458</v>
      </c>
      <c r="BJ31" s="133">
        <f t="shared" si="133"/>
        <v>0.9441676932255646</v>
      </c>
      <c r="BK31" s="143">
        <f t="shared" si="134"/>
        <v>3.8615679589250109</v>
      </c>
      <c r="BL31" s="133">
        <f t="shared" si="135"/>
        <v>3.3616267420156845E-2</v>
      </c>
      <c r="BM31" s="143">
        <f t="shared" si="136"/>
        <v>76.344121367165087</v>
      </c>
      <c r="BN31" s="133">
        <f t="shared" si="137"/>
        <v>2.019973946306862</v>
      </c>
      <c r="BO31" s="147">
        <f t="shared" si="138"/>
        <v>0.277432304413883</v>
      </c>
      <c r="BP31" s="147">
        <f t="shared" si="139"/>
        <v>0.21690088966703677</v>
      </c>
      <c r="BR31" s="147">
        <f t="shared" si="140"/>
        <v>0.26517443518659983</v>
      </c>
      <c r="BS31" s="147">
        <f t="shared" si="141"/>
        <v>0.21695861382109893</v>
      </c>
      <c r="BT31" s="143">
        <f t="shared" si="142"/>
        <v>76.291964067415847</v>
      </c>
      <c r="BU31" s="147">
        <f t="shared" si="143"/>
        <v>0.39480737064554849</v>
      </c>
      <c r="BV31" s="143">
        <f t="shared" si="204"/>
        <v>35.570249804804334</v>
      </c>
      <c r="BW31" s="143">
        <f t="shared" si="144"/>
        <v>64.118222393486263</v>
      </c>
      <c r="BX31" s="3">
        <v>1.6986774770655257E-12</v>
      </c>
      <c r="BY31" s="3">
        <v>9.4454002365720605E-16</v>
      </c>
      <c r="BZ31" s="157">
        <f t="shared" si="145"/>
        <v>4.5044584054504917E-13</v>
      </c>
      <c r="CA31" s="157">
        <f t="shared" si="146"/>
        <v>3.6854279586435024E-13</v>
      </c>
      <c r="CB31" s="157">
        <f t="shared" si="147"/>
        <v>3.177270020282001E-9</v>
      </c>
      <c r="CC31" s="158">
        <f t="shared" si="148"/>
        <v>1.0752711843508639E-11</v>
      </c>
      <c r="CD31" s="157">
        <f t="shared" si="149"/>
        <v>1.2959544104241169E-10</v>
      </c>
      <c r="CE31" s="477">
        <f t="shared" si="150"/>
        <v>6.7451071464365E-13</v>
      </c>
      <c r="CF31" s="157">
        <f t="shared" si="151"/>
        <v>6.5595585179838087E-12</v>
      </c>
      <c r="CG31" s="157">
        <f t="shared" si="152"/>
        <v>5.7219564817274701E-14</v>
      </c>
      <c r="CH31" s="157">
        <f t="shared" si="153"/>
        <v>1.9352912807807754E-10</v>
      </c>
      <c r="CI31" s="157">
        <f t="shared" si="154"/>
        <v>1.6074424599161296E-12</v>
      </c>
      <c r="CJ31" s="157">
        <f t="shared" si="155"/>
        <v>5.7819068776154658E-15</v>
      </c>
      <c r="CK31" s="157">
        <f t="shared" si="156"/>
        <v>3.0093328383071344E-17</v>
      </c>
      <c r="CL31" s="157">
        <f t="shared" si="205"/>
        <v>8.6343114206260166E-15</v>
      </c>
      <c r="CM31" s="157">
        <f t="shared" si="157"/>
        <v>7.1716123362533703E-17</v>
      </c>
      <c r="CN31" s="66">
        <v>5.1340830000000002E-3</v>
      </c>
      <c r="CO31" s="66">
        <v>7.5577700000000003E-6</v>
      </c>
      <c r="CP31" s="3">
        <v>1.1139738540500025E+19</v>
      </c>
      <c r="CQ31" s="60">
        <v>1.0453256904066513E+18</v>
      </c>
      <c r="CR31" s="3">
        <v>8.0438364680336474E+17</v>
      </c>
      <c r="CS31" s="3">
        <v>8.527140119058072E+16</v>
      </c>
      <c r="CT31" s="6">
        <v>0.49881143094597263</v>
      </c>
      <c r="CU31" s="6">
        <v>4.5926073391395927E-2</v>
      </c>
      <c r="CV31" s="4">
        <v>24.581879797320056</v>
      </c>
      <c r="CW31" s="4">
        <v>0.55629982285426871</v>
      </c>
      <c r="CX31" s="157">
        <f t="shared" si="158"/>
        <v>4.6977757523659944E-9</v>
      </c>
      <c r="CY31" s="157">
        <f t="shared" si="159"/>
        <v>5.9764992338116287E-11</v>
      </c>
      <c r="CZ31" s="133">
        <f t="shared" si="160"/>
        <v>20.408338410970153</v>
      </c>
      <c r="DA31" s="133">
        <f t="shared" si="161"/>
        <v>0.27896689517607393</v>
      </c>
      <c r="DB31" s="159">
        <f t="shared" si="162"/>
        <v>2.0408338410970151E-3</v>
      </c>
      <c r="DC31" s="167">
        <f t="shared" si="163"/>
        <v>2.7896689517607394E-5</v>
      </c>
      <c r="DD31" s="157">
        <f t="shared" si="164"/>
        <v>4.1638702541259447E-9</v>
      </c>
      <c r="DE31" s="157">
        <f t="shared" si="165"/>
        <v>1.0409547974343711E-10</v>
      </c>
      <c r="DF31" s="147">
        <f t="shared" si="166"/>
        <v>16.402410235503019</v>
      </c>
      <c r="DG31" s="133">
        <f t="shared" si="167"/>
        <v>0.41817612834976914</v>
      </c>
      <c r="DH31" s="159">
        <f t="shared" si="168"/>
        <v>1.6402410235503019E-3</v>
      </c>
      <c r="DI31" s="167">
        <f t="shared" si="169"/>
        <v>4.1817612834976914E-5</v>
      </c>
      <c r="DJ31" s="157">
        <f t="shared" si="170"/>
        <v>4.4500568633177516E-6</v>
      </c>
      <c r="DK31" s="157">
        <f t="shared" si="171"/>
        <v>4.1206399653836757E-7</v>
      </c>
      <c r="DL31" s="143">
        <f t="shared" si="172"/>
        <v>19817.586564641719</v>
      </c>
      <c r="DM31" s="143">
        <f t="shared" si="173"/>
        <v>1837.7326816567436</v>
      </c>
      <c r="DN31" s="147">
        <f t="shared" si="174"/>
        <v>1.9817586564641718</v>
      </c>
      <c r="DO31" s="147">
        <f t="shared" si="175"/>
        <v>0.18377326816567435</v>
      </c>
      <c r="DP31" s="133">
        <f t="shared" si="176"/>
        <v>1.1282233752867317</v>
      </c>
      <c r="DQ31" s="133">
        <f t="shared" si="177"/>
        <v>1.4978215844994577E-2</v>
      </c>
      <c r="DR31" s="133">
        <f t="shared" si="178"/>
        <v>1.0556664547570647E-3</v>
      </c>
      <c r="DS31" s="133">
        <f t="shared" si="179"/>
        <v>8.5877211829572357E-3</v>
      </c>
      <c r="DT31" s="133">
        <f t="shared" si="180"/>
        <v>1.2442280200257583</v>
      </c>
      <c r="DU31" s="133">
        <f t="shared" si="181"/>
        <v>1.7657661694335299E-2</v>
      </c>
      <c r="DV31" s="133">
        <f t="shared" si="182"/>
        <v>1.0298094747512013E-3</v>
      </c>
      <c r="DW31" s="133">
        <f t="shared" si="183"/>
        <v>8.6133777133637936E-3</v>
      </c>
      <c r="DX31" s="157">
        <f t="shared" si="184"/>
        <v>2.0736264325408192E-6</v>
      </c>
      <c r="DY31" s="157">
        <f t="shared" si="185"/>
        <v>5.4626318763430389E-8</v>
      </c>
      <c r="DZ31" s="147">
        <f t="shared" si="210"/>
        <v>9.2113489088267748</v>
      </c>
      <c r="EA31" s="147">
        <f t="shared" si="186"/>
        <v>16.604387332427482</v>
      </c>
      <c r="EB31" s="157">
        <f t="shared" si="187"/>
        <v>1.837957338912446E-6</v>
      </c>
      <c r="EC31" s="157">
        <f t="shared" si="188"/>
        <v>2.7924701112201231E-8</v>
      </c>
      <c r="ED31" s="247">
        <f t="shared" si="206"/>
        <v>83.268980396300805</v>
      </c>
      <c r="EE31" s="247">
        <f t="shared" si="189"/>
        <v>147.18163696862916</v>
      </c>
      <c r="EF31" s="247">
        <f t="shared" si="190"/>
        <v>147.18168604651959</v>
      </c>
      <c r="EG31" s="247">
        <f t="shared" si="207"/>
        <v>83.268980396300805</v>
      </c>
      <c r="EH31" s="168">
        <f t="shared" si="191"/>
        <v>147.18163696862916</v>
      </c>
      <c r="EI31" s="168">
        <f t="shared" si="192"/>
        <v>147.18168604651959</v>
      </c>
      <c r="EJ31" s="503">
        <f t="shared" si="208"/>
        <v>9.9753294606771181E-2</v>
      </c>
      <c r="EK31" s="143">
        <f t="shared" si="209"/>
        <v>83.268980396300805</v>
      </c>
      <c r="EL31" s="143">
        <f t="shared" si="193"/>
        <v>147.18163696862916</v>
      </c>
      <c r="EM31" s="147">
        <f t="shared" si="194"/>
        <v>14.562368941062042</v>
      </c>
      <c r="EN31" s="147">
        <f t="shared" si="195"/>
        <v>11.915151051314194</v>
      </c>
      <c r="EO31" s="143">
        <f t="shared" si="196"/>
        <v>429.63906125518474</v>
      </c>
      <c r="EP31" s="143">
        <f t="shared" si="197"/>
        <v>351.53719378483282</v>
      </c>
      <c r="EQ31" s="157">
        <f t="shared" si="198"/>
        <v>3.3894425005301605E-2</v>
      </c>
      <c r="ER31" s="157">
        <f t="shared" si="199"/>
        <v>4.0738577868794097E-4</v>
      </c>
      <c r="ES31" s="157">
        <f t="shared" si="200"/>
        <v>2.3275351107008599E-3</v>
      </c>
      <c r="ET31" s="157">
        <f t="shared" si="201"/>
        <v>1.9044245159205169E-3</v>
      </c>
      <c r="LQ31" s="214" t="str">
        <f t="shared" si="96"/>
        <v>B1x Plagioclase</v>
      </c>
      <c r="LR31" s="214" t="str">
        <f t="shared" si="97"/>
        <v>MN2022a</v>
      </c>
      <c r="LS31" s="211">
        <f t="shared" si="98"/>
        <v>20.408338410970153</v>
      </c>
      <c r="LT31" s="211">
        <f t="shared" si="99"/>
        <v>0.27896689517607393</v>
      </c>
      <c r="LU31" s="211">
        <f t="shared" si="100"/>
        <v>16.402410235503019</v>
      </c>
      <c r="LV31" s="211">
        <f t="shared" si="101"/>
        <v>0.41817612834976914</v>
      </c>
      <c r="LW31" s="211">
        <f t="shared" si="102"/>
        <v>19817.586564641719</v>
      </c>
      <c r="LX31" s="211">
        <f t="shared" si="103"/>
        <v>1837.7326816567436</v>
      </c>
      <c r="LY31" s="211"/>
      <c r="LZ31" s="211"/>
      <c r="MA31" s="211"/>
      <c r="MB31" s="211"/>
      <c r="MC31" s="211"/>
      <c r="MD31" s="211"/>
      <c r="ME31" s="211"/>
      <c r="MF31" s="211"/>
      <c r="MG31" s="211"/>
      <c r="MH31" s="211"/>
      <c r="MI31" s="211"/>
      <c r="MJ31" s="211"/>
      <c r="MK31" s="211"/>
      <c r="ML31" s="211"/>
      <c r="MM31" s="211"/>
      <c r="MN31" s="211"/>
      <c r="MO31" s="506">
        <f t="shared" si="107"/>
        <v>1.2442280200257583</v>
      </c>
      <c r="MP31" s="506">
        <f t="shared" si="107"/>
        <v>1.7657661694335299E-2</v>
      </c>
      <c r="MQ31" s="109"/>
      <c r="MR31" s="109"/>
      <c r="MS31" s="109"/>
      <c r="MT31" s="109"/>
      <c r="MU31" s="109"/>
      <c r="MV31" s="109"/>
      <c r="MW31" s="506">
        <f t="shared" si="108"/>
        <v>1.1282233752867317</v>
      </c>
      <c r="MX31" s="506">
        <f t="shared" si="108"/>
        <v>1.4978215844994577E-2</v>
      </c>
      <c r="MY31" s="109"/>
      <c r="MZ31" s="109"/>
      <c r="NA31" s="109"/>
      <c r="NB31" s="109"/>
      <c r="NC31" s="109"/>
      <c r="ND31" s="109"/>
    </row>
    <row r="32" spans="2:368">
      <c r="B32" s="245" t="s">
        <v>935</v>
      </c>
      <c r="C32" s="5">
        <f t="shared" si="202"/>
        <v>8.9999999999999993E-3</v>
      </c>
      <c r="D32" s="66">
        <f t="shared" si="203"/>
        <v>4.4999999999999996E-5</v>
      </c>
      <c r="E32" s="67">
        <v>44727</v>
      </c>
      <c r="F32" s="5" t="s">
        <v>210</v>
      </c>
      <c r="G32" s="5" t="s">
        <v>893</v>
      </c>
      <c r="H32" s="5">
        <v>1</v>
      </c>
      <c r="J32" s="327">
        <v>44644</v>
      </c>
      <c r="K32" s="67" t="s">
        <v>823</v>
      </c>
      <c r="L32" s="5">
        <v>15</v>
      </c>
      <c r="M32" s="5">
        <v>10.31</v>
      </c>
      <c r="N32" s="5">
        <v>30</v>
      </c>
      <c r="O32" s="6">
        <v>87.128780000000006</v>
      </c>
      <c r="P32" s="6">
        <v>0.14577599999999999</v>
      </c>
      <c r="Q32" s="6">
        <v>3.5624370000000001</v>
      </c>
      <c r="R32" s="6">
        <v>9.4619999999999999E-3</v>
      </c>
      <c r="S32" s="6">
        <v>53.917737000000002</v>
      </c>
      <c r="T32" s="6">
        <v>8.8164000000000006E-2</v>
      </c>
      <c r="U32" s="6">
        <v>230.40722700000001</v>
      </c>
      <c r="V32" s="6">
        <v>0.17077999999999999</v>
      </c>
      <c r="W32" s="6">
        <v>0.82866300000000004</v>
      </c>
      <c r="X32" s="6">
        <v>6.2729999999999999E-3</v>
      </c>
      <c r="Y32" s="118">
        <v>6.3067744999999995</v>
      </c>
      <c r="Z32" s="118">
        <v>0.93511705857555649</v>
      </c>
      <c r="AA32" s="118">
        <v>4.3458000000000004E-2</v>
      </c>
      <c r="AB32" s="118">
        <v>2.986365296923112E-2</v>
      </c>
      <c r="AC32" s="118">
        <v>2.21285175</v>
      </c>
      <c r="AD32" s="118">
        <v>2.0188658876193135</v>
      </c>
      <c r="AE32" s="118">
        <v>1.3901317499999999</v>
      </c>
      <c r="AF32" s="118">
        <v>1.1954009646957722</v>
      </c>
      <c r="AG32" s="118">
        <v>0.25606525000000002</v>
      </c>
      <c r="AH32" s="118">
        <v>0.21678044365882418</v>
      </c>
      <c r="AI32" s="133">
        <f t="shared" si="110"/>
        <v>80.822005500000003</v>
      </c>
      <c r="AJ32" s="133">
        <f t="shared" si="111"/>
        <v>0.94641140917415023</v>
      </c>
      <c r="AK32" s="133">
        <f t="shared" si="112"/>
        <v>3.5189789999999999</v>
      </c>
      <c r="AL32" s="133">
        <f t="shared" si="113"/>
        <v>3.1326781077325304E-2</v>
      </c>
      <c r="AM32" s="133">
        <f t="shared" si="114"/>
        <v>51.704885250000004</v>
      </c>
      <c r="AN32" s="133">
        <f t="shared" si="115"/>
        <v>2.0207900343897478</v>
      </c>
      <c r="AO32" s="133">
        <f t="shared" si="116"/>
        <v>229.01709525000001</v>
      </c>
      <c r="AP32" s="133">
        <f t="shared" si="117"/>
        <v>1.2075385189697192</v>
      </c>
      <c r="AQ32" s="133">
        <f t="shared" si="118"/>
        <v>0.57259775000000002</v>
      </c>
      <c r="AR32" s="133">
        <f t="shared" si="119"/>
        <v>0.21687118591900731</v>
      </c>
      <c r="AS32" s="5">
        <v>300.7</v>
      </c>
      <c r="AT32" s="5">
        <v>0.28000000000000003</v>
      </c>
      <c r="AU32" s="133">
        <f t="shared" si="120"/>
        <v>3.5344601258883248</v>
      </c>
      <c r="AV32" s="133">
        <f t="shared" si="121"/>
        <v>3.1327091752320117E-2</v>
      </c>
      <c r="AW32" s="133">
        <f t="shared" si="122"/>
        <v>52.15981825050762</v>
      </c>
      <c r="AX32" s="133">
        <f t="shared" si="123"/>
        <v>2.0208096147146044</v>
      </c>
      <c r="AY32" s="133">
        <f t="shared" si="124"/>
        <v>232.03965589796957</v>
      </c>
      <c r="AZ32" s="133">
        <f t="shared" si="125"/>
        <v>1.2075607630223368</v>
      </c>
      <c r="BA32" s="133">
        <f t="shared" si="126"/>
        <v>0.58267392021996622</v>
      </c>
      <c r="BB32" s="133">
        <f t="shared" si="127"/>
        <v>0.21687328460492469</v>
      </c>
      <c r="BC32" s="6"/>
      <c r="BD32" s="8"/>
      <c r="BE32" s="133">
        <f t="shared" si="128"/>
        <v>1195.0870061091041</v>
      </c>
      <c r="BF32" s="133">
        <f t="shared" si="129"/>
        <v>6.2193687169134346</v>
      </c>
      <c r="BG32" s="133">
        <f t="shared" si="130"/>
        <v>3.5365317394168798</v>
      </c>
      <c r="BH32" s="133">
        <f t="shared" si="131"/>
        <v>3.1345453149753642E-2</v>
      </c>
      <c r="BI32" s="143">
        <f t="shared" si="132"/>
        <v>80.503708641518273</v>
      </c>
      <c r="BJ32" s="133">
        <f t="shared" si="133"/>
        <v>0.94642050021273028</v>
      </c>
      <c r="BK32" s="143">
        <f t="shared" si="134"/>
        <v>2.4443800111706695</v>
      </c>
      <c r="BL32" s="133">
        <f t="shared" si="135"/>
        <v>3.1856579732001719E-2</v>
      </c>
      <c r="BM32" s="143">
        <f t="shared" si="136"/>
        <v>52.105206777900818</v>
      </c>
      <c r="BN32" s="133">
        <f t="shared" si="137"/>
        <v>2.0208096726850129</v>
      </c>
      <c r="BO32" s="147">
        <f t="shared" si="138"/>
        <v>0.16579273902045083</v>
      </c>
      <c r="BP32" s="147">
        <f t="shared" si="139"/>
        <v>0.21688413564143857</v>
      </c>
      <c r="BR32" s="147">
        <f t="shared" si="140"/>
        <v>0.15742597651278278</v>
      </c>
      <c r="BS32" s="147">
        <f t="shared" si="141"/>
        <v>0.21694190310113223</v>
      </c>
      <c r="BT32" s="143">
        <f t="shared" si="142"/>
        <v>52.074037727117044</v>
      </c>
      <c r="BU32" s="147">
        <f t="shared" si="143"/>
        <v>0.39494020616664516</v>
      </c>
      <c r="BV32" s="143">
        <f t="shared" si="204"/>
        <v>33.984332581990962</v>
      </c>
      <c r="BW32" s="143">
        <f t="shared" si="144"/>
        <v>64.113318126833747</v>
      </c>
      <c r="BX32" s="3">
        <v>1.6986774770655257E-12</v>
      </c>
      <c r="BY32" s="3">
        <v>9.4454002365720605E-16</v>
      </c>
      <c r="BZ32" s="157">
        <f t="shared" si="145"/>
        <v>2.6741596060731057E-13</v>
      </c>
      <c r="CA32" s="157">
        <f t="shared" si="146"/>
        <v>3.6851435462878785E-13</v>
      </c>
      <c r="CB32" s="157">
        <f t="shared" si="147"/>
        <v>2.0300673804112052E-9</v>
      </c>
      <c r="CC32" s="158">
        <f t="shared" si="148"/>
        <v>1.0624835314730402E-11</v>
      </c>
      <c r="CD32" s="157">
        <f t="shared" si="149"/>
        <v>8.8456995026914184E-11</v>
      </c>
      <c r="CE32" s="477">
        <f t="shared" si="150"/>
        <v>6.7267667977676318E-13</v>
      </c>
      <c r="CF32" s="157">
        <f t="shared" si="151"/>
        <v>4.1522132703647945E-12</v>
      </c>
      <c r="CG32" s="157">
        <f t="shared" si="152"/>
        <v>5.4163285707187846E-14</v>
      </c>
      <c r="CH32" s="157">
        <f t="shared" si="153"/>
        <v>1.3674983668959241E-10</v>
      </c>
      <c r="CI32" s="157">
        <f t="shared" si="154"/>
        <v>1.6094604220930922E-12</v>
      </c>
      <c r="CJ32" s="157">
        <f t="shared" si="155"/>
        <v>3.9465131165527178E-15</v>
      </c>
      <c r="CK32" s="157">
        <f t="shared" si="156"/>
        <v>3.0011502729113767E-17</v>
      </c>
      <c r="CL32" s="157">
        <f t="shared" si="205"/>
        <v>6.1011005858577083E-15</v>
      </c>
      <c r="CM32" s="157">
        <f t="shared" si="157"/>
        <v>7.1806154755120902E-17</v>
      </c>
      <c r="CN32" s="66">
        <v>5.1340830000000002E-3</v>
      </c>
      <c r="CO32" s="66">
        <v>7.5577700000000003E-6</v>
      </c>
      <c r="CP32" s="3">
        <v>1.1139738540500025E+19</v>
      </c>
      <c r="CQ32" s="60">
        <v>1.0453256904066513E+18</v>
      </c>
      <c r="CR32" s="3">
        <v>8.0438364680336474E+17</v>
      </c>
      <c r="CS32" s="3">
        <v>8.527140119058072E+16</v>
      </c>
      <c r="CT32" s="6">
        <v>0.49881143094597263</v>
      </c>
      <c r="CU32" s="6">
        <v>4.5926073391395927E-2</v>
      </c>
      <c r="CV32" s="4">
        <v>24.581879797320056</v>
      </c>
      <c r="CW32" s="4">
        <v>0.55629982285426871</v>
      </c>
      <c r="CX32" s="157">
        <f t="shared" si="158"/>
        <v>2.9737011670364044E-9</v>
      </c>
      <c r="CY32" s="157">
        <f t="shared" si="159"/>
        <v>4.7571214517624314E-11</v>
      </c>
      <c r="CZ32" s="133">
        <f t="shared" si="160"/>
        <v>12.918517815459941</v>
      </c>
      <c r="DA32" s="133">
        <f t="shared" si="161"/>
        <v>0.21652063068107635</v>
      </c>
      <c r="DB32" s="159">
        <f t="shared" si="162"/>
        <v>1.291851781545994E-3</v>
      </c>
      <c r="DC32" s="167">
        <f t="shared" si="163"/>
        <v>2.1652063068107637E-5</v>
      </c>
      <c r="DD32" s="157">
        <f t="shared" si="164"/>
        <v>2.8421019088271493E-9</v>
      </c>
      <c r="DE32" s="157">
        <f t="shared" si="165"/>
        <v>7.2778050480221997E-11</v>
      </c>
      <c r="DF32" s="147">
        <f t="shared" si="166"/>
        <v>11.195670997072105</v>
      </c>
      <c r="DG32" s="133">
        <f t="shared" si="167"/>
        <v>0.29210291590152587</v>
      </c>
      <c r="DH32" s="159">
        <f t="shared" si="168"/>
        <v>1.1195670997072105E-3</v>
      </c>
      <c r="DI32" s="167">
        <f t="shared" si="169"/>
        <v>2.9210291590152587E-5</v>
      </c>
      <c r="DJ32" s="157">
        <f t="shared" si="170"/>
        <v>2.8432947849973924E-6</v>
      </c>
      <c r="DK32" s="157">
        <f t="shared" si="171"/>
        <v>2.6352649085224924E-7</v>
      </c>
      <c r="DL32" s="143">
        <f t="shared" si="172"/>
        <v>12662.13944252172</v>
      </c>
      <c r="DM32" s="143">
        <f t="shared" si="173"/>
        <v>1175.2784569558194</v>
      </c>
      <c r="DN32" s="147">
        <f t="shared" si="174"/>
        <v>1.266213944252172</v>
      </c>
      <c r="DO32" s="147">
        <f t="shared" si="175"/>
        <v>0.11752784569558193</v>
      </c>
      <c r="DP32" s="133">
        <f t="shared" si="176"/>
        <v>1.0463034973519167</v>
      </c>
      <c r="DQ32" s="133">
        <f t="shared" si="177"/>
        <v>1.7393764377648568E-2</v>
      </c>
      <c r="DR32" s="133">
        <f t="shared" si="178"/>
        <v>1.0458645310810189E-3</v>
      </c>
      <c r="DS32" s="133">
        <f t="shared" si="179"/>
        <v>8.6069607975483454E-3</v>
      </c>
      <c r="DT32" s="133">
        <f t="shared" si="180"/>
        <v>1.1538850881593783</v>
      </c>
      <c r="DU32" s="133">
        <f t="shared" si="181"/>
        <v>2.0020399034388472E-2</v>
      </c>
      <c r="DV32" s="133">
        <f t="shared" si="182"/>
        <v>1.0202476346198855E-3</v>
      </c>
      <c r="DW32" s="133">
        <f t="shared" si="183"/>
        <v>8.6323395859678395E-3</v>
      </c>
      <c r="DX32" s="157">
        <f t="shared" si="184"/>
        <v>2.1466860730463572E-6</v>
      </c>
      <c r="DY32" s="157">
        <f t="shared" si="185"/>
        <v>6.0498585531884818E-8</v>
      </c>
      <c r="DZ32" s="147">
        <f t="shared" si="210"/>
        <v>13.903047982181416</v>
      </c>
      <c r="EA32" s="147">
        <f t="shared" si="186"/>
        <v>26.229492809917478</v>
      </c>
      <c r="EB32" s="157">
        <f t="shared" si="187"/>
        <v>2.0516858430459157E-6</v>
      </c>
      <c r="EC32" s="157">
        <f t="shared" si="188"/>
        <v>4.0747127367570409E-8</v>
      </c>
      <c r="ED32" s="143">
        <f t="shared" si="206"/>
        <v>124.2467008599202</v>
      </c>
      <c r="EE32" s="143">
        <f t="shared" si="189"/>
        <v>227.27155791599017</v>
      </c>
      <c r="EF32" s="143">
        <f t="shared" si="190"/>
        <v>227.27162710177254</v>
      </c>
      <c r="EG32" s="143">
        <f t="shared" si="207"/>
        <v>124.2467008599202</v>
      </c>
      <c r="EH32" s="147">
        <f t="shared" si="191"/>
        <v>227.27155791599017</v>
      </c>
      <c r="EI32" s="147">
        <f t="shared" si="192"/>
        <v>227.27162710177254</v>
      </c>
      <c r="EJ32" s="501">
        <f t="shared" si="208"/>
        <v>6.314402905214947E-2</v>
      </c>
      <c r="EK32" s="143">
        <f t="shared" si="209"/>
        <v>124.2467008599202</v>
      </c>
      <c r="EL32" s="143">
        <f t="shared" si="193"/>
        <v>227.27155791599017</v>
      </c>
      <c r="EM32" s="147">
        <f t="shared" si="194"/>
        <v>15.527170707892601</v>
      </c>
      <c r="EN32" s="147">
        <f t="shared" si="195"/>
        <v>21.39809840985609</v>
      </c>
      <c r="EO32" s="143">
        <f t="shared" si="196"/>
        <v>511.37499937935257</v>
      </c>
      <c r="EP32" s="143">
        <f t="shared" si="197"/>
        <v>704.72932686296383</v>
      </c>
      <c r="EQ32" s="157">
        <f t="shared" si="198"/>
        <v>3.0363570230726319E-2</v>
      </c>
      <c r="ER32" s="157">
        <f t="shared" si="199"/>
        <v>5.3292798789345713E-4</v>
      </c>
      <c r="ES32" s="157">
        <f t="shared" si="200"/>
        <v>1.9555121021044898E-3</v>
      </c>
      <c r="ET32" s="157">
        <f t="shared" si="201"/>
        <v>2.6949043833997791E-3</v>
      </c>
      <c r="LQ32" s="214" t="str">
        <f t="shared" si="96"/>
        <v>B1x Plagioclase</v>
      </c>
      <c r="LR32" s="214" t="str">
        <f t="shared" si="97"/>
        <v>MN2022a</v>
      </c>
      <c r="LS32" s="211">
        <f t="shared" si="98"/>
        <v>12.918517815459941</v>
      </c>
      <c r="LT32" s="211">
        <f t="shared" si="99"/>
        <v>0.21652063068107635</v>
      </c>
      <c r="LU32" s="211">
        <f t="shared" si="100"/>
        <v>11.195670997072105</v>
      </c>
      <c r="LV32" s="211">
        <f t="shared" si="101"/>
        <v>0.29210291590152587</v>
      </c>
      <c r="LW32" s="211">
        <f t="shared" si="102"/>
        <v>12662.13944252172</v>
      </c>
      <c r="LX32" s="211">
        <f t="shared" si="103"/>
        <v>1175.2784569558194</v>
      </c>
      <c r="LY32" s="211"/>
      <c r="LZ32" s="211"/>
      <c r="MA32" s="211"/>
      <c r="MB32" s="211"/>
      <c r="MC32" s="211"/>
      <c r="MD32" s="211"/>
      <c r="ME32" s="211"/>
      <c r="MF32" s="211"/>
      <c r="MG32" s="211"/>
      <c r="MH32" s="211"/>
      <c r="MI32" s="211"/>
      <c r="MJ32" s="211"/>
      <c r="MK32" s="211"/>
      <c r="ML32" s="211"/>
      <c r="MM32" s="211"/>
      <c r="MN32" s="211"/>
      <c r="MO32" s="506">
        <f t="shared" si="107"/>
        <v>1.1538850881593783</v>
      </c>
      <c r="MP32" s="506">
        <f t="shared" si="107"/>
        <v>2.0020399034388472E-2</v>
      </c>
      <c r="MQ32" s="109"/>
      <c r="MR32" s="109"/>
      <c r="MS32" s="109"/>
      <c r="MT32" s="109"/>
      <c r="MU32" s="109"/>
      <c r="MV32" s="109"/>
      <c r="MW32" s="506">
        <f t="shared" si="108"/>
        <v>1.0463034973519167</v>
      </c>
      <c r="MX32" s="506">
        <f t="shared" si="108"/>
        <v>1.7393764377648568E-2</v>
      </c>
      <c r="MY32" s="109"/>
      <c r="MZ32" s="109"/>
      <c r="NA32" s="109"/>
      <c r="NB32" s="109"/>
      <c r="NC32" s="109"/>
      <c r="ND32" s="109"/>
    </row>
    <row r="33" spans="2:368" s="484" customFormat="1">
      <c r="B33" s="485" t="s">
        <v>935</v>
      </c>
      <c r="C33" s="117">
        <f t="shared" si="202"/>
        <v>8.9999999999999993E-3</v>
      </c>
      <c r="D33" s="486">
        <f t="shared" si="203"/>
        <v>4.4999999999999996E-5</v>
      </c>
      <c r="E33" s="487">
        <v>44727</v>
      </c>
      <c r="F33" s="117" t="s">
        <v>210</v>
      </c>
      <c r="G33" s="117" t="s">
        <v>893</v>
      </c>
      <c r="H33" s="117">
        <v>1</v>
      </c>
      <c r="I33" s="117"/>
      <c r="J33" s="488">
        <v>44644</v>
      </c>
      <c r="K33" s="487" t="s">
        <v>823</v>
      </c>
      <c r="L33" s="117"/>
      <c r="M33" s="117"/>
      <c r="N33" s="117"/>
      <c r="X33" s="118"/>
      <c r="Y33" s="118"/>
      <c r="Z33" s="118"/>
      <c r="AA33" s="118"/>
      <c r="AB33" s="118"/>
      <c r="AC33" s="118"/>
      <c r="AD33" s="118"/>
      <c r="AE33" s="118"/>
      <c r="AF33" s="118"/>
      <c r="AG33" s="118"/>
      <c r="AH33" s="118"/>
      <c r="AI33" s="489">
        <f>SUM(AI21:AI32)</f>
        <v>6141.3489630000004</v>
      </c>
      <c r="AJ33" s="489">
        <f>SQRT(SUMSQ(AJ21:AJ32))</f>
        <v>3.3142111487290618</v>
      </c>
      <c r="AK33" s="489">
        <f>SUM(AK21:AK32)</f>
        <v>46.014074999999991</v>
      </c>
      <c r="AL33" s="489">
        <f>SQRT(SUMSQ(AL21:AL32))</f>
        <v>0.11284245274275102</v>
      </c>
      <c r="AM33" s="489">
        <f>SUM(AM21:AM32)</f>
        <v>1188.3970179999999</v>
      </c>
      <c r="AN33" s="489">
        <f>SQRT(SUMSQ(AN21:AN32))</f>
        <v>7.000518743728926</v>
      </c>
      <c r="AO33" s="489">
        <f>SUM(AO21:AO32)</f>
        <v>1579.4976730000001</v>
      </c>
      <c r="AP33" s="489">
        <f>SQRT(SUMSQ(AP21:AP32))</f>
        <v>4.1708103800395904</v>
      </c>
      <c r="AQ33" s="489">
        <f>SUM(AQ21:AQ32)</f>
        <v>21.964383999999999</v>
      </c>
      <c r="AR33" s="489">
        <f>SQRT(SUMSQ(AR21:AR32))</f>
        <v>0.75143671165374915</v>
      </c>
      <c r="AS33" s="117">
        <v>300.7</v>
      </c>
      <c r="AT33" s="117">
        <v>0.28000000000000003</v>
      </c>
      <c r="AU33" s="489">
        <f t="shared" si="120"/>
        <v>46.216505786802024</v>
      </c>
      <c r="AV33" s="489">
        <f t="shared" si="121"/>
        <v>0.11284390197607262</v>
      </c>
      <c r="AW33" s="489">
        <f t="shared" si="122"/>
        <v>1198.8533030991539</v>
      </c>
      <c r="AX33" s="489">
        <f t="shared" si="123"/>
        <v>7.000590328791346</v>
      </c>
      <c r="AY33" s="489">
        <f t="shared" si="124"/>
        <v>1600.343835181726</v>
      </c>
      <c r="AZ33" s="489">
        <f t="shared" si="125"/>
        <v>4.1709023796267406</v>
      </c>
      <c r="BA33" s="489">
        <f t="shared" si="126"/>
        <v>22.350897694754654</v>
      </c>
      <c r="BB33" s="489">
        <f t="shared" si="127"/>
        <v>0.75144399551255381</v>
      </c>
      <c r="BC33" s="118"/>
      <c r="BD33" s="490"/>
      <c r="BE33" s="489">
        <f t="shared" si="128"/>
        <v>8242.3416606576084</v>
      </c>
      <c r="BF33" s="489">
        <f t="shared" si="129"/>
        <v>21.481635190121295</v>
      </c>
      <c r="BG33" s="489">
        <f t="shared" si="130"/>
        <v>46.243594149726029</v>
      </c>
      <c r="BH33" s="489">
        <f t="shared" si="131"/>
        <v>0.11291004190851557</v>
      </c>
      <c r="BI33" s="247">
        <f t="shared" si="132"/>
        <v>6136.3081560819173</v>
      </c>
      <c r="BJ33" s="489">
        <f t="shared" si="133"/>
        <v>3.3142447467863101</v>
      </c>
      <c r="BK33" s="247">
        <f t="shared" si="134"/>
        <v>38.711182163429925</v>
      </c>
      <c r="BL33" s="489">
        <f t="shared" si="135"/>
        <v>0.11460396404052275</v>
      </c>
      <c r="BM33" s="247">
        <f t="shared" si="136"/>
        <v>1198.1392049484148</v>
      </c>
      <c r="BN33" s="489">
        <f t="shared" si="137"/>
        <v>7.0005905459179933</v>
      </c>
      <c r="BO33" s="168">
        <f t="shared" si="138"/>
        <v>19.475728682138659</v>
      </c>
      <c r="BP33" s="168">
        <f t="shared" si="139"/>
        <v>0.75148135688280793</v>
      </c>
      <c r="BQ33" s="117"/>
      <c r="BR33" s="168">
        <f t="shared" si="140"/>
        <v>19.283811323204951</v>
      </c>
      <c r="BS33" s="168">
        <f t="shared" si="141"/>
        <v>0.75387995514691797</v>
      </c>
      <c r="BT33" s="247">
        <f t="shared" si="142"/>
        <v>1194.477766094511</v>
      </c>
      <c r="BU33" s="168">
        <f t="shared" si="143"/>
        <v>4.7405751826895335</v>
      </c>
      <c r="BV33" s="247">
        <f t="shared" si="204"/>
        <v>437.9419100748546</v>
      </c>
      <c r="BW33" s="247">
        <f t="shared" si="144"/>
        <v>222.79617893255528</v>
      </c>
      <c r="BX33" s="491">
        <v>1.6986774770655257E-12</v>
      </c>
      <c r="BY33" s="491">
        <v>9.4454002365720605E-16</v>
      </c>
      <c r="BZ33" s="482">
        <f t="shared" si="145"/>
        <v>3.2756975966709403E-11</v>
      </c>
      <c r="CA33" s="482">
        <f t="shared" si="146"/>
        <v>1.2807284275436701E-12</v>
      </c>
      <c r="CB33" s="482">
        <f t="shared" si="147"/>
        <v>1.4001080137237941E-8</v>
      </c>
      <c r="CC33" s="492">
        <f t="shared" si="148"/>
        <v>3.7311617068471343E-11</v>
      </c>
      <c r="CD33" s="482">
        <f t="shared" si="149"/>
        <v>2.029032478120289E-9</v>
      </c>
      <c r="CE33" s="497">
        <f t="shared" si="150"/>
        <v>8.1313601813062306E-12</v>
      </c>
      <c r="CF33" s="482">
        <f t="shared" si="151"/>
        <v>6.5757813251599118E-11</v>
      </c>
      <c r="CG33" s="482">
        <f t="shared" si="152"/>
        <v>1.9807919619060598E-13</v>
      </c>
      <c r="CH33" s="482">
        <f t="shared" si="153"/>
        <v>1.042360845706984E-8</v>
      </c>
      <c r="CI33" s="482">
        <f t="shared" si="154"/>
        <v>8.0801301337314385E-12</v>
      </c>
      <c r="CJ33" s="482">
        <f t="shared" si="155"/>
        <v>9.0525382264870845E-14</v>
      </c>
      <c r="CK33" s="482">
        <f t="shared" si="156"/>
        <v>3.6278103204002735E-16</v>
      </c>
      <c r="CL33" s="482">
        <f t="shared" si="205"/>
        <v>4.6504979606326804E-13</v>
      </c>
      <c r="CM33" s="482">
        <f t="shared" si="157"/>
        <v>3.6049549809368623E-16</v>
      </c>
      <c r="CN33" s="486">
        <v>5.1340830000000002E-3</v>
      </c>
      <c r="CO33" s="66">
        <v>7.5577700000000003E-6</v>
      </c>
      <c r="CP33" s="491">
        <v>1.1139738540500025E+19</v>
      </c>
      <c r="CQ33" s="493">
        <v>1.0453256904066513E+18</v>
      </c>
      <c r="CR33" s="491">
        <v>8.0438364680336474E+17</v>
      </c>
      <c r="CS33" s="491">
        <v>8.527140119058072E+16</v>
      </c>
      <c r="CT33" s="118">
        <v>0.49881143094597263</v>
      </c>
      <c r="CU33" s="118">
        <v>4.5926073391395927E-2</v>
      </c>
      <c r="CV33" s="267">
        <v>24.581879797320056</v>
      </c>
      <c r="CW33" s="267">
        <v>0.55629982285426871</v>
      </c>
      <c r="CX33" s="482">
        <f t="shared" si="158"/>
        <v>4.7093940815535854E-8</v>
      </c>
      <c r="CY33" s="482">
        <f t="shared" si="159"/>
        <v>4.5860455881277635E-10</v>
      </c>
      <c r="CZ33" s="489">
        <f t="shared" si="160"/>
        <v>204.5881140208962</v>
      </c>
      <c r="DA33" s="489">
        <f t="shared" si="161"/>
        <v>2.2395643288884495</v>
      </c>
      <c r="DB33" s="494">
        <f t="shared" si="162"/>
        <v>2.0458811402089619E-2</v>
      </c>
      <c r="DC33" s="495">
        <f t="shared" si="163"/>
        <v>2.2395643288884495E-4</v>
      </c>
      <c r="DD33" s="482">
        <f t="shared" si="164"/>
        <v>6.5192323991826267E-8</v>
      </c>
      <c r="DE33" s="482">
        <f t="shared" si="165"/>
        <v>1.615343510920127E-9</v>
      </c>
      <c r="DF33" s="168">
        <f t="shared" si="166"/>
        <v>256.80705138691297</v>
      </c>
      <c r="DG33" s="489">
        <f t="shared" si="167"/>
        <v>6.4914578791882498</v>
      </c>
      <c r="DH33" s="494">
        <f t="shared" si="168"/>
        <v>2.5680705138691296E-2</v>
      </c>
      <c r="DI33" s="495">
        <f t="shared" si="169"/>
        <v>6.4914578791882497E-4</v>
      </c>
      <c r="DJ33" s="482">
        <f t="shared" si="170"/>
        <v>1.960979153828656E-5</v>
      </c>
      <c r="DK33" s="482">
        <f t="shared" si="171"/>
        <v>1.8153562131282839E-6</v>
      </c>
      <c r="DL33" s="247">
        <f t="shared" si="172"/>
        <v>87328.938317169494</v>
      </c>
      <c r="DM33" s="247">
        <f t="shared" si="173"/>
        <v>8096.1742182601611</v>
      </c>
      <c r="DN33" s="168">
        <f t="shared" si="174"/>
        <v>8.7328938317169502</v>
      </c>
      <c r="DO33" s="168">
        <f t="shared" si="175"/>
        <v>0.80961742182601615</v>
      </c>
      <c r="DP33" s="489">
        <f t="shared" si="176"/>
        <v>0.72238475225151411</v>
      </c>
      <c r="DQ33" s="168">
        <f t="shared" si="177"/>
        <v>7.648595887859164E-3</v>
      </c>
      <c r="DR33" s="168">
        <f t="shared" si="178"/>
        <v>2.4015523430521266E-3</v>
      </c>
      <c r="DS33" s="168">
        <f t="shared" si="179"/>
        <v>8.5933260483293545E-3</v>
      </c>
      <c r="DT33" s="168">
        <f t="shared" si="180"/>
        <v>0.79666081174950998</v>
      </c>
      <c r="DU33" s="168">
        <f t="shared" si="181"/>
        <v>9.3597609111121909E-3</v>
      </c>
      <c r="DV33" s="168">
        <f t="shared" si="182"/>
        <v>2.3427298895797146E-3</v>
      </c>
      <c r="DW33" s="168">
        <f t="shared" si="183"/>
        <v>8.6205946567746647E-3</v>
      </c>
      <c r="DX33" s="482">
        <f t="shared" si="184"/>
        <v>7.1335054127166171E-6</v>
      </c>
      <c r="DY33" s="482">
        <f t="shared" si="185"/>
        <v>1.7684136091221835E-7</v>
      </c>
      <c r="DZ33" s="168">
        <f>Ar40AC/Ar39_IC</f>
        <v>11.313059576066733</v>
      </c>
      <c r="EA33" s="168">
        <f t="shared" si="186"/>
        <v>5.7554416807625488</v>
      </c>
      <c r="EB33" s="482">
        <f t="shared" si="187"/>
        <v>9.8749390688037825E-6</v>
      </c>
      <c r="EC33" s="482">
        <f t="shared" si="188"/>
        <v>9.6467136139469325E-8</v>
      </c>
      <c r="ED33" s="489">
        <f>IF(Ar40Ar39&gt;0,(1/lambda/10^6)*LN(1+(J*Ar40Ar39)),"")</f>
        <v>101.74081263854724</v>
      </c>
      <c r="EE33" s="489">
        <f t="shared" si="189"/>
        <v>50.496089087582774</v>
      </c>
      <c r="EF33" s="489">
        <f t="shared" si="190"/>
        <v>50.496300480894945</v>
      </c>
      <c r="EG33" s="489">
        <f t="shared" si="207"/>
        <v>101.74081263854724</v>
      </c>
      <c r="EH33" s="489">
        <f t="shared" si="191"/>
        <v>50.496089087582774</v>
      </c>
      <c r="EI33" s="489">
        <f t="shared" si="192"/>
        <v>50.496300480894945</v>
      </c>
      <c r="EJ33" s="503">
        <f>SUM(EJ21:EJ32)</f>
        <v>1</v>
      </c>
      <c r="EK33" s="247">
        <f t="shared" si="209"/>
        <v>101.74081263854724</v>
      </c>
      <c r="EL33" s="247">
        <f t="shared" si="193"/>
        <v>50.496089087582774</v>
      </c>
      <c r="EM33" s="168">
        <f t="shared" si="194"/>
        <v>2.0074445613791747</v>
      </c>
      <c r="EN33" s="168">
        <f t="shared" si="195"/>
        <v>7.8486384865365383E-2</v>
      </c>
      <c r="EO33" s="247">
        <f t="shared" si="196"/>
        <v>318.21033991853375</v>
      </c>
      <c r="EP33" s="247">
        <f t="shared" si="197"/>
        <v>12.441279668428843</v>
      </c>
      <c r="EQ33" s="482">
        <f t="shared" si="198"/>
        <v>6.3085459821736415E-3</v>
      </c>
      <c r="ER33" s="482">
        <f t="shared" si="199"/>
        <v>1.8984633464388231E-5</v>
      </c>
      <c r="ES33" s="482">
        <f t="shared" si="200"/>
        <v>3.1425754431990294E-3</v>
      </c>
      <c r="ET33" s="482">
        <f t="shared" si="201"/>
        <v>1.2286734610190663E-4</v>
      </c>
      <c r="EU33" s="117"/>
      <c r="EV33" s="117"/>
      <c r="EW33" s="117"/>
      <c r="EX33" s="117"/>
      <c r="EY33" s="117"/>
      <c r="EZ33" s="117"/>
      <c r="FA33" s="117"/>
      <c r="FB33" s="117"/>
      <c r="FC33" s="117"/>
      <c r="FD33" s="117"/>
      <c r="FE33" s="117"/>
      <c r="FF33" s="117"/>
      <c r="FG33" s="117"/>
      <c r="FH33" s="117"/>
      <c r="FI33" s="117"/>
      <c r="FJ33" s="117"/>
      <c r="FK33" s="161"/>
      <c r="FL33" s="161"/>
      <c r="FM33" s="161"/>
      <c r="FN33" s="161"/>
      <c r="FO33" s="161"/>
      <c r="FP33" s="161"/>
      <c r="FQ33" s="161"/>
      <c r="FR33" s="161"/>
      <c r="FS33" s="161"/>
      <c r="FT33" s="161"/>
      <c r="FU33" s="161"/>
      <c r="FV33" s="161"/>
      <c r="FW33" s="161"/>
      <c r="FX33" s="161"/>
      <c r="FY33" s="161"/>
      <c r="FZ33" s="161"/>
      <c r="GA33" s="117"/>
      <c r="GB33" s="117"/>
      <c r="GC33" s="117"/>
      <c r="GD33" s="117"/>
      <c r="GE33" s="161"/>
      <c r="GF33" s="161"/>
      <c r="GG33" s="161"/>
      <c r="GH33" s="161"/>
      <c r="GI33" s="161"/>
      <c r="GJ33" s="161"/>
      <c r="GK33" s="161"/>
      <c r="GL33" s="161"/>
      <c r="GM33" s="161"/>
      <c r="GN33" s="161"/>
      <c r="GO33" s="161"/>
      <c r="GP33" s="161"/>
      <c r="GQ33" s="161"/>
      <c r="GR33" s="161"/>
      <c r="GS33" s="161"/>
      <c r="GT33" s="161"/>
      <c r="GU33" s="117"/>
      <c r="GV33" s="117"/>
      <c r="GW33" s="161"/>
      <c r="GX33" s="161"/>
      <c r="GY33" s="161"/>
      <c r="GZ33" s="161"/>
      <c r="HA33" s="161"/>
      <c r="HB33" s="161"/>
      <c r="HC33" s="117"/>
      <c r="HD33" s="117"/>
      <c r="HE33" s="161"/>
      <c r="HF33" s="161"/>
      <c r="HG33" s="161"/>
      <c r="HH33" s="161"/>
      <c r="HI33" s="161"/>
      <c r="HJ33" s="161"/>
      <c r="HK33" s="117"/>
      <c r="HL33" s="117"/>
      <c r="HM33" s="117"/>
      <c r="HN33" s="117"/>
      <c r="HO33" s="117"/>
      <c r="HP33" s="117"/>
      <c r="HQ33" s="117"/>
      <c r="HR33" s="117"/>
      <c r="HS33" s="117"/>
      <c r="HT33" s="117"/>
      <c r="HU33" s="117"/>
      <c r="HV33" s="117"/>
      <c r="HW33" s="117"/>
      <c r="HX33" s="117"/>
      <c r="HY33" s="117"/>
      <c r="HZ33" s="117"/>
      <c r="IA33" s="117"/>
      <c r="IB33" s="117"/>
      <c r="IC33" s="117"/>
      <c r="ID33" s="117"/>
      <c r="IE33" s="117"/>
      <c r="IF33" s="117"/>
      <c r="IG33" s="117"/>
      <c r="IH33" s="117"/>
      <c r="II33" s="117"/>
      <c r="IJ33" s="117"/>
      <c r="IK33" s="117"/>
      <c r="IL33" s="117"/>
      <c r="IM33" s="117"/>
      <c r="IN33" s="117"/>
      <c r="IO33" s="117"/>
      <c r="IP33" s="117"/>
      <c r="IQ33" s="117"/>
      <c r="IR33" s="117"/>
      <c r="IS33" s="117"/>
      <c r="IT33" s="117"/>
      <c r="IU33" s="161"/>
      <c r="IV33" s="161"/>
      <c r="IW33" s="161"/>
      <c r="IX33" s="161"/>
      <c r="IY33" s="161"/>
      <c r="IZ33" s="161"/>
      <c r="JA33" s="161"/>
      <c r="JB33" s="161"/>
      <c r="JC33" s="161"/>
      <c r="JD33" s="161"/>
      <c r="JE33" s="161"/>
      <c r="JF33" s="161"/>
      <c r="JG33" s="161"/>
      <c r="JH33" s="161"/>
      <c r="JI33" s="161"/>
      <c r="JJ33" s="161"/>
      <c r="JK33" s="161"/>
      <c r="JL33" s="161"/>
      <c r="JM33" s="161"/>
      <c r="JN33" s="161"/>
      <c r="JO33" s="161"/>
      <c r="JP33" s="161"/>
      <c r="JQ33" s="161"/>
      <c r="JR33" s="161"/>
      <c r="JS33" s="161"/>
      <c r="JT33" s="161"/>
      <c r="JU33" s="117"/>
      <c r="JV33" s="117"/>
      <c r="JW33" s="117"/>
      <c r="JX33" s="117"/>
      <c r="JY33" s="161"/>
      <c r="JZ33" s="161"/>
      <c r="KA33" s="161"/>
      <c r="KB33" s="161"/>
      <c r="KC33" s="117"/>
      <c r="KD33" s="117"/>
      <c r="KE33" s="161"/>
      <c r="KF33" s="161"/>
      <c r="KG33" s="161"/>
      <c r="KH33" s="161"/>
      <c r="KI33" s="161"/>
      <c r="KJ33" s="161"/>
      <c r="KK33" s="161"/>
      <c r="KL33" s="161"/>
      <c r="KM33" s="161"/>
      <c r="KN33" s="161"/>
      <c r="KO33" s="161"/>
      <c r="KP33" s="161"/>
      <c r="KQ33" s="161"/>
      <c r="KR33" s="161"/>
      <c r="KS33" s="161"/>
      <c r="KT33" s="161"/>
      <c r="KU33" s="117"/>
      <c r="KV33" s="117"/>
      <c r="KW33" s="161"/>
      <c r="KX33" s="161"/>
      <c r="KY33" s="161"/>
      <c r="KZ33" s="161"/>
      <c r="LA33" s="161"/>
      <c r="LB33" s="161"/>
      <c r="LC33" s="161"/>
      <c r="LD33" s="161"/>
      <c r="LE33" s="161"/>
      <c r="LF33" s="161"/>
      <c r="LG33" s="161"/>
      <c r="LH33" s="161"/>
      <c r="LI33" s="161"/>
      <c r="LJ33" s="161"/>
      <c r="LK33" s="161"/>
      <c r="LL33" s="161"/>
      <c r="LM33" s="161"/>
      <c r="LN33" s="161"/>
      <c r="LQ33" s="214" t="str">
        <f t="shared" si="96"/>
        <v>B1x Plagioclase</v>
      </c>
      <c r="LR33" s="214" t="str">
        <f t="shared" si="97"/>
        <v>MN2022a</v>
      </c>
      <c r="LS33" s="211">
        <f t="shared" si="98"/>
        <v>204.5881140208962</v>
      </c>
      <c r="LT33" s="211">
        <f t="shared" si="99"/>
        <v>2.2395643288884495</v>
      </c>
      <c r="LU33" s="211">
        <f t="shared" si="100"/>
        <v>256.80705138691297</v>
      </c>
      <c r="LV33" s="211">
        <f t="shared" si="101"/>
        <v>6.4914578791882498</v>
      </c>
      <c r="LW33" s="211">
        <f t="shared" si="102"/>
        <v>87328.938317169494</v>
      </c>
      <c r="LX33" s="211">
        <f t="shared" si="103"/>
        <v>8096.1742182601611</v>
      </c>
      <c r="LY33" s="211"/>
      <c r="LZ33" s="211"/>
      <c r="MA33" s="211"/>
      <c r="MB33" s="211"/>
      <c r="MC33" s="211"/>
      <c r="MD33" s="211"/>
      <c r="ME33" s="211"/>
      <c r="MF33" s="211"/>
      <c r="MG33" s="211"/>
      <c r="MH33" s="211"/>
      <c r="MI33" s="211"/>
      <c r="MJ33" s="211"/>
      <c r="MK33" s="211"/>
      <c r="ML33" s="211"/>
      <c r="MM33" s="211"/>
      <c r="MN33" s="211"/>
      <c r="MO33" s="506">
        <f t="shared" si="107"/>
        <v>0.79666081174950998</v>
      </c>
      <c r="MP33" s="506">
        <f t="shared" si="107"/>
        <v>9.3597609111121909E-3</v>
      </c>
      <c r="MQ33" s="109"/>
      <c r="MR33" s="109"/>
      <c r="MS33" s="109"/>
      <c r="MT33" s="109"/>
      <c r="MU33" s="109"/>
      <c r="MV33" s="109"/>
      <c r="MW33" s="506">
        <f t="shared" si="108"/>
        <v>0.72238475225151411</v>
      </c>
      <c r="MX33" s="506">
        <f t="shared" si="108"/>
        <v>7.648595887859164E-3</v>
      </c>
      <c r="MY33" s="109"/>
      <c r="MZ33" s="109"/>
      <c r="NA33" s="109"/>
      <c r="NB33" s="109"/>
      <c r="NC33" s="109"/>
      <c r="ND33" s="109"/>
    </row>
    <row r="34" spans="2:368">
      <c r="D34" s="66"/>
      <c r="J34" s="327"/>
      <c r="O34" s="6"/>
      <c r="P34" s="6"/>
      <c r="Q34" s="6"/>
      <c r="R34" s="6"/>
      <c r="S34" s="6"/>
      <c r="T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133"/>
      <c r="AJ34" s="133"/>
      <c r="AK34" s="133"/>
      <c r="AL34" s="133"/>
      <c r="AM34" s="133"/>
      <c r="AN34" s="133"/>
      <c r="AO34" s="133"/>
      <c r="AP34" s="133"/>
      <c r="AQ34" s="133"/>
      <c r="AR34" s="133"/>
      <c r="AU34" s="133"/>
      <c r="AV34" s="133"/>
      <c r="AW34" s="133"/>
      <c r="AX34" s="133"/>
      <c r="AY34" s="133"/>
      <c r="AZ34" s="133"/>
      <c r="BA34" s="133"/>
      <c r="BB34" s="133"/>
      <c r="BC34" s="6"/>
      <c r="BD34" s="8"/>
      <c r="BE34" s="133"/>
      <c r="BF34" s="133"/>
      <c r="BG34" s="133"/>
      <c r="BH34" s="133"/>
      <c r="BI34" s="143"/>
      <c r="BJ34" s="133"/>
      <c r="BK34" s="143"/>
      <c r="BL34" s="133"/>
      <c r="BM34" s="143"/>
      <c r="BN34" s="133"/>
      <c r="BO34" s="147"/>
      <c r="BP34" s="147"/>
      <c r="BR34" s="147"/>
      <c r="BS34" s="147"/>
      <c r="BT34" s="143"/>
      <c r="BU34" s="147"/>
      <c r="BV34" s="476"/>
      <c r="BW34" s="143"/>
      <c r="BX34" s="3"/>
      <c r="BY34" s="3"/>
      <c r="BZ34" s="157"/>
      <c r="CA34" s="157"/>
      <c r="CB34" s="157"/>
      <c r="CC34" s="158"/>
      <c r="CD34" s="157"/>
      <c r="CE34" s="477"/>
      <c r="CF34" s="157"/>
      <c r="CG34" s="157"/>
      <c r="CH34" s="157"/>
      <c r="CI34" s="157"/>
      <c r="CJ34" s="157"/>
      <c r="CK34" s="157"/>
      <c r="CL34" s="157"/>
      <c r="CM34" s="157"/>
      <c r="CN34" s="66"/>
      <c r="CO34" s="66"/>
      <c r="CP34" s="3"/>
      <c r="CQ34" s="60"/>
      <c r="CR34" s="3"/>
      <c r="CS34" s="3"/>
      <c r="CT34" s="6"/>
      <c r="CU34" s="6"/>
      <c r="CV34" s="4"/>
      <c r="CW34" s="4"/>
      <c r="CX34" s="157"/>
      <c r="CY34" s="157"/>
      <c r="CZ34" s="143"/>
      <c r="DA34" s="143"/>
      <c r="DB34" s="159"/>
      <c r="DC34" s="167"/>
      <c r="DD34" s="157"/>
      <c r="DE34" s="157"/>
      <c r="DF34" s="147"/>
      <c r="DG34" s="133"/>
      <c r="DH34" s="159"/>
      <c r="DI34" s="167"/>
      <c r="DJ34" s="157"/>
      <c r="DK34" s="157"/>
      <c r="DL34" s="143"/>
      <c r="DM34" s="143"/>
      <c r="DN34" s="147"/>
      <c r="DO34" s="147"/>
      <c r="DP34" s="133"/>
      <c r="DQ34" s="133"/>
      <c r="DR34" s="133"/>
      <c r="DS34" s="133"/>
      <c r="DT34" s="133"/>
      <c r="DU34" s="133"/>
      <c r="DV34" s="133"/>
      <c r="DW34" s="133"/>
      <c r="DX34" s="157"/>
      <c r="DY34" s="157"/>
      <c r="DZ34" s="147"/>
      <c r="EA34" s="147"/>
      <c r="EB34" s="157"/>
      <c r="EC34" s="157"/>
      <c r="ED34" s="147"/>
      <c r="EE34" s="147"/>
      <c r="EF34" s="147"/>
      <c r="EG34" s="143"/>
      <c r="EH34" s="147"/>
      <c r="EI34" s="147"/>
      <c r="EJ34" s="501"/>
      <c r="EK34" s="143"/>
      <c r="EL34" s="143"/>
      <c r="EM34" s="147"/>
      <c r="EN34" s="147"/>
      <c r="EO34" s="143"/>
      <c r="EP34" s="143"/>
      <c r="EQ34" s="157"/>
      <c r="ER34" s="157"/>
      <c r="ES34" s="157"/>
      <c r="ET34" s="157"/>
      <c r="LQ34" s="214">
        <f t="shared" si="96"/>
        <v>0</v>
      </c>
      <c r="LR34" s="214">
        <f t="shared" si="97"/>
        <v>0</v>
      </c>
      <c r="LS34" s="211" t="str">
        <f t="shared" si="98"/>
        <v/>
      </c>
      <c r="LT34" s="211" t="str">
        <f t="shared" si="99"/>
        <v/>
      </c>
      <c r="LU34" s="211">
        <f t="shared" si="100"/>
        <v>0</v>
      </c>
      <c r="LV34" s="211">
        <f t="shared" si="101"/>
        <v>0</v>
      </c>
      <c r="LW34" s="211">
        <f t="shared" si="102"/>
        <v>0</v>
      </c>
      <c r="LX34" s="211">
        <f t="shared" si="103"/>
        <v>0</v>
      </c>
      <c r="LY34" s="211"/>
      <c r="LZ34" s="211"/>
      <c r="MA34" s="211"/>
      <c r="MB34" s="211"/>
      <c r="MC34" s="211"/>
      <c r="MD34" s="211"/>
      <c r="ME34" s="211"/>
      <c r="MF34" s="211"/>
      <c r="MG34" s="211"/>
      <c r="MH34" s="211"/>
      <c r="MI34" s="211"/>
      <c r="MJ34" s="211"/>
      <c r="MK34" s="211"/>
      <c r="ML34" s="211"/>
      <c r="MM34" s="211"/>
      <c r="MN34" s="211"/>
      <c r="MO34" s="506">
        <f t="shared" si="107"/>
        <v>0</v>
      </c>
      <c r="MP34" s="506">
        <f t="shared" si="107"/>
        <v>0</v>
      </c>
      <c r="MQ34" s="109"/>
      <c r="MR34" s="109"/>
      <c r="MS34" s="109"/>
      <c r="MT34" s="109"/>
      <c r="MU34" s="109"/>
      <c r="MV34" s="109"/>
      <c r="MW34" s="506">
        <f t="shared" si="108"/>
        <v>0</v>
      </c>
      <c r="MX34" s="506">
        <f t="shared" si="108"/>
        <v>0</v>
      </c>
      <c r="MY34" s="109"/>
      <c r="MZ34" s="109"/>
      <c r="NA34" s="109"/>
      <c r="NB34" s="109"/>
      <c r="NC34" s="109"/>
      <c r="ND34" s="109"/>
    </row>
    <row r="35" spans="2:368">
      <c r="B35" s="245" t="s">
        <v>934</v>
      </c>
      <c r="C35" s="5">
        <f>11.1/1000</f>
        <v>1.11E-2</v>
      </c>
      <c r="D35" s="66">
        <f>C35*0.5%</f>
        <v>5.5500000000000001E-5</v>
      </c>
      <c r="E35" s="67">
        <v>44727</v>
      </c>
      <c r="F35" s="5" t="s">
        <v>210</v>
      </c>
      <c r="G35" s="5" t="s">
        <v>893</v>
      </c>
      <c r="H35" s="5">
        <v>1</v>
      </c>
      <c r="J35" s="327">
        <v>44644</v>
      </c>
      <c r="K35" s="67" t="s">
        <v>823</v>
      </c>
      <c r="L35" s="5">
        <v>0.5</v>
      </c>
      <c r="M35" s="5">
        <v>0.31</v>
      </c>
      <c r="N35" s="5">
        <v>30</v>
      </c>
      <c r="O35" s="6"/>
      <c r="P35" s="6"/>
      <c r="Q35" s="6"/>
      <c r="R35" s="6"/>
      <c r="S35" s="6"/>
      <c r="T35" s="6"/>
      <c r="V35" s="6"/>
      <c r="W35" s="6"/>
      <c r="X35" s="6"/>
      <c r="Y35" s="6">
        <f>AVERAGE(Y32,Y25,Y18,Y12)</f>
        <v>6.3067744999999995</v>
      </c>
      <c r="Z35" s="6">
        <f>STDEV(Y30,Y25,Y16,Y12)</f>
        <v>0</v>
      </c>
      <c r="AA35" s="6">
        <f>AVERAGE(AA32,AA25,AA18,AA12)</f>
        <v>4.3458000000000004E-2</v>
      </c>
      <c r="AB35" s="6">
        <f>STDEV(AA30,AA25,AA16,AA12)</f>
        <v>0</v>
      </c>
      <c r="AC35" s="6">
        <f>AVERAGE(AC32,AC25,AC18,AC12)</f>
        <v>2.21285175</v>
      </c>
      <c r="AD35" s="6">
        <f>STDEV(AC30,AC25,AC16,AC12)</f>
        <v>0</v>
      </c>
      <c r="AE35" s="6">
        <f>AVERAGE(AE32,AE25,AE18,AE12)</f>
        <v>1.3901317499999999</v>
      </c>
      <c r="AF35" s="6">
        <f>STDEV(AE30,AE25,AE16,AE12)</f>
        <v>0</v>
      </c>
      <c r="AG35" s="6">
        <f>AVERAGE(AG32,AG25,AG18,AG12)</f>
        <v>0.25606525000000002</v>
      </c>
      <c r="AH35" s="6">
        <f>STDEV(AG30,AG25,AG16,AG12)</f>
        <v>0</v>
      </c>
      <c r="AI35" s="133">
        <f t="shared" ref="AI35:AI47" si="211">Ar40Raw-Ar40Blank</f>
        <v>-6.3067744999999995</v>
      </c>
      <c r="AJ35" s="133">
        <f t="shared" ref="AJ35:AJ47" si="212">SQRT(Ar40Blankerr^2+Ar40Rawerr^2)</f>
        <v>0</v>
      </c>
      <c r="AK35" s="133">
        <f t="shared" ref="AK35:AK47" si="213">Ar39Raw-Ar39Blank</f>
        <v>-4.3458000000000004E-2</v>
      </c>
      <c r="AL35" s="133">
        <f t="shared" ref="AL35:AL47" si="214">SQRT(Ar39Blankerr^2+Ar39Rawerr^2)</f>
        <v>0</v>
      </c>
      <c r="AM35" s="133">
        <f t="shared" ref="AM35:AM47" si="215">Ar38Raw-Ar38Blank</f>
        <v>-2.21285175</v>
      </c>
      <c r="AN35" s="133">
        <f t="shared" ref="AN35:AN47" si="216">SQRT(Ar38Blankerr^2+Ar38Rawerr^2)</f>
        <v>0</v>
      </c>
      <c r="AO35" s="133">
        <f t="shared" ref="AO35:AO47" si="217">Ar37Raw-Ar37Blank</f>
        <v>-1.3901317499999999</v>
      </c>
      <c r="AP35" s="133">
        <f t="shared" ref="AP35:AP47" si="218">SQRT(Ar37Blankerr^2+Ar37Rawerr^2)</f>
        <v>0</v>
      </c>
      <c r="AQ35" s="133">
        <f t="shared" ref="AQ35:AQ47" si="219">Ar36Raw-Ar36Blank</f>
        <v>-0.25606525000000002</v>
      </c>
      <c r="AR35" s="133">
        <f t="shared" ref="AR35:AR47" si="220">SQRT(Ar36Blankerr^2+Ar36Rawerr^2)</f>
        <v>0</v>
      </c>
      <c r="AS35" s="5">
        <v>300.7</v>
      </c>
      <c r="AT35" s="5">
        <v>0.28000000000000003</v>
      </c>
      <c r="AU35" s="133">
        <f t="shared" ref="AU35:AU48" si="221">Ar39BC*(1+(Ar4036_Aircal/Ar4036_Air-1)/4)</f>
        <v>-4.3649185786802033E-2</v>
      </c>
      <c r="AV35" s="133">
        <f t="shared" ref="AV35:AV48" si="222">SQRT(Ar39BCerr^2+(Ar39BC*(Ar4036_Aircal/Ar4036_Air-1)/4)^2*((Ar4036_Aircalerr/Ar4036_Aircal)^2+(Ar39BCerr/Ar39BC)^2+(Ar4036_airerr/Ar4036_Air)^2))</f>
        <v>2.6817898625542113E-7</v>
      </c>
      <c r="AW35" s="133">
        <f t="shared" ref="AW35:AW48" si="223">Ar38BC*(1+2*(Ar4036_Aircal/Ar4036_Air-1)/4)</f>
        <v>-2.2323218499999999</v>
      </c>
      <c r="AX35" s="133">
        <f t="shared" ref="AX35:AX48" si="224">SQRT(Ar38BCerr^2+(Ar38BC*(Ar4036_Aircal/Ar4036_Air-1)/4)^2*((Ar4036_Aircalerr/Ar4036_Aircal)^2+(Ar38BCerr/Ar38BC)^2+(Ar4036_airerr/Ar4036_Air)^2))</f>
        <v>1.3655491257042074E-5</v>
      </c>
      <c r="AY35" s="133">
        <f t="shared" ref="AY35:AY48" si="225">Ar37BC*(1+3*(Ar4036_Aircal/Ar4036_Air-1)/4)</f>
        <v>-1.4084786664974618</v>
      </c>
      <c r="AZ35" s="133">
        <f t="shared" ref="AZ35:AZ48" si="226">SQRT(Ar37BCerr^2+(Ar37BC*(Ar4036_Aircal/Ar4036_Air-1)/3)^2*((Ar4036_Aircalerr/Ar4036_Aircal)^2+(Ar37BCerr/Ar37BC)^2+(Ar4036_airerr/Ar4036_Air)^2))</f>
        <v>1.1437989889900576E-5</v>
      </c>
      <c r="BA35" s="133">
        <f t="shared" ref="BA35:BA48" si="227">Ar36BC*(1+4*(Ar4036_Aircal/Ar4036_Air-1)/4)</f>
        <v>-0.2605713051607445</v>
      </c>
      <c r="BB35" s="133">
        <f t="shared" ref="BB35:BB48" si="228">SQRT(Ar36BCerr^2+(Ar36BC*(Ar4036_Aircal/Ar4036_Air-1)/4)^2*((Ar4036_Aircalerr/Ar4036_Aircal)^2+(Ar36BCerr/Ar36BC)^2+(Ar4036_airerr/Ar4036_Air)^2))</f>
        <v>1.5801767030291538E-6</v>
      </c>
      <c r="BC35" s="6"/>
      <c r="BD35" s="8"/>
      <c r="BE35" s="133">
        <f t="shared" ref="BE35:BE48" si="229">IF(Rad_Type="Continuous", Ar37_DC*EXP(lambda_37Ar*(Run_Date-Rad_Date)),Ar37_DC*Ar37_DecayFactor)</f>
        <v>-7.2541675956162459</v>
      </c>
      <c r="BF35" s="133">
        <f t="shared" ref="BF35:BF48" si="230">IF(Rad_Type="Continuous", (Ar37_DCerr*EXP(lambda_37Ar*(Run_Date-Rad_Date))), Ar37_DCerr*Ar37_DecayFactor)</f>
        <v>5.8909728341598927E-5</v>
      </c>
      <c r="BG35" s="133">
        <f t="shared" ref="BG35:BG48" si="231">IF(Rad_Type="Continuous", Ar39_DC*EXP(lambda_39Ar*(Run_Date-Rad_Date)), Ar39_DC*Ar39_DecayFactor)</f>
        <v>-4.3674769395207751E-2</v>
      </c>
      <c r="BH35" s="133">
        <f t="shared" ref="BH35:BH48" si="232">IF(Rad_Type="Continuous", (Ar39_DCerr*EXP(lambda_39Ar*(Run_Date-Rad_Date))), Ar39_DCerr*Ar39_DecayFactor)</f>
        <v>2.6833617100110031E-7</v>
      </c>
      <c r="BI35" s="143">
        <f t="shared" ref="BI35:BI48" si="233">Ar40BC-(Salt_40Ar39Ar_K*Ar39_IC)</f>
        <v>-6.3019506018638971</v>
      </c>
      <c r="BJ35" s="133">
        <f t="shared" ref="BJ35:BJ48" si="234">SQRT(Ar40BCerr^2+(Ar39_ICerr*Salt_40Ar39Ar_K)^2)</f>
        <v>3.5637893924891237E-8</v>
      </c>
      <c r="BK35" s="143">
        <f t="shared" ref="BK35:BK48" si="235">Ar39_DecayCor-(Salt_39Ar37Ar_Ca*Ar37_DecayCor)</f>
        <v>-3.7045418029122652E-2</v>
      </c>
      <c r="BL35" s="133">
        <f t="shared" ref="BL35:BL48" si="236">SQRT(Ar39_DecayCorerr^2+(Ar37_DecayCorerr*Salt_39Ar37Ar_Ca)^2)</f>
        <v>2.7368336579176815E-7</v>
      </c>
      <c r="BM35" s="143">
        <f t="shared" ref="BM35:BM48" si="237">Ar38_DC-(Salt_38Ar39Ar_K*Ar39_DecayCor)</f>
        <v>-2.2316474198949763</v>
      </c>
      <c r="BN35" s="133">
        <f t="shared" ref="BN35:BN48" si="238">SQRT(Ar38_DCerr^2+(Ar39_DecayCorerr*Salt_38Ar39Ar_K)^2)</f>
        <v>1.3655491885728028E-5</v>
      </c>
      <c r="BO35" s="147">
        <f t="shared" ref="BO35:BO48" si="239">Ar36_DC-(Salt_36Ar37Ar_Ca*Ar37_DecayCor)</f>
        <v>-0.25804084006454575</v>
      </c>
      <c r="BP35" s="147">
        <f t="shared" ref="BP35:BP48" si="240">SQRT(Ar36_DCerr^2+(Ar37_DecayCorerr*Salt_36Ar37Ar_Ca)^2)</f>
        <v>1.5803103150589651E-6</v>
      </c>
      <c r="BR35" s="147">
        <f t="shared" ref="BR35:BR48" si="241">IF(Rad_Type="Continuous", BO35-((EXP(lambda_36Ar*(Run_Date-Rad_Date))-1)*Cl3638_PR*BT35),BO35*Ar36_DecayFactor)</f>
        <v>-0.25769007452252363</v>
      </c>
      <c r="BS35" s="147">
        <f t="shared" ref="BS35:BS48" si="242">IF(K:K="Continuous", SQRT(BP35^2+(((EXP(lambda_36Ar*(Run_Date-Rad_Date))-1)*Cl3638_PR)*BU35^2)), Ar36_ICerr*Ar36_DecayFactor)</f>
        <v>1.5803103150589842E-6</v>
      </c>
      <c r="BT35" s="143">
        <f t="shared" ref="BT35:BT48" si="243">IF(Rad_Type="Continuous", BM35-(Ar3836_Air*BO35)/(1-lambda_36Ar*(Run_Date-Rad_Date)),Ar38_IC-(Ar3836_Air*Ar36_IC)/Ar36_DecayFactor)</f>
        <v>-2.1831357172970245</v>
      </c>
      <c r="BU35" s="147">
        <f t="shared" ref="BU35:BU48" si="244">IF(Rad_Type ="Continuous", SQRT(BN35^2*(((EXP(lambda_36Ar*(Run_Date-Rad_Date))-1*Ar3836_Air)*BP35^2))),SQRT(Ar38_ICerr^2*(((EXP(lambda_36Ar*(Ar36_DecayFactor))-1*Ar3836_Air)*Ar36_ICerr^2))))</f>
        <v>1.9445892204212122E-11</v>
      </c>
      <c r="BV35" s="143">
        <f t="shared" ref="BV35:BV48" si="245">Ar40_IC-(Ar36_ClCor*Ar4036_Air)</f>
        <v>69.845466419541836</v>
      </c>
      <c r="BW35" s="143">
        <f t="shared" ref="BW35:BW48" si="246">SQRT(Ar40_ICerr^2+(Ar36_ClCorerr*Ar4036_Air)^2)</f>
        <v>4.6698169945978983E-4</v>
      </c>
      <c r="BX35" s="3">
        <v>1.6986774770655257E-12</v>
      </c>
      <c r="BY35" s="3">
        <v>9.4454002365720605E-16</v>
      </c>
      <c r="BZ35" s="157">
        <f t="shared" ref="BZ35:BZ48" si="247">Ar_Sensitivity*Ar36_ClCor</f>
        <v>-4.3773232565474771E-13</v>
      </c>
      <c r="CA35" s="157">
        <f t="shared" ref="CA35:CA48" si="248">Ar36CC*SQRT((Ar36_ClCorerr/Ar36_ClCor)^2+(Ar_sensitivityerr/Ar_Sensitivity)^2)</f>
        <v>-2.4341339193607536E-16</v>
      </c>
      <c r="CB35" s="157">
        <f t="shared" ref="CB35:CB48" si="249">Ar37_DecayCor*Ar_Sensitivity</f>
        <v>-1.2322491109531896E-11</v>
      </c>
      <c r="CC35" s="158">
        <f t="shared" ref="CC35:CC48" si="250">Ar37CC*SQRT((Ar37_DecayCorerr/Ar37_DecayCor)^2+(Ar_sensitivityerr/Ar_Sensitivity)^2)</f>
        <v>-6.852582325120658E-15</v>
      </c>
      <c r="CD35" s="157">
        <f t="shared" ref="CD35:CD48" si="251">Ar_Sensitivity*Ar38_Cl</f>
        <v>-3.7084434723497463E-12</v>
      </c>
      <c r="CE35" s="477">
        <f t="shared" ref="CE35:CE48" si="252">Ar38CC*SQRT((Ar38_Clerr/Ar38_Cl)^2+(Ar_sensitivityerr/Ar_Sensitivity)^2)</f>
        <v>-2.0620590620626236E-15</v>
      </c>
      <c r="CF35" s="157">
        <f t="shared" ref="CF35:CF48" si="253">Ar_Sensitivity*Ar39_IC</f>
        <v>-6.2928217234547799E-14</v>
      </c>
      <c r="CG35" s="157">
        <f t="shared" ref="CG35:CG48" si="254">Ar39CC*SQRT((Ar39_ICerr/Ar39_IC)^2+(Ar_sensitivityerr/Ar_Sensitivity)^2)</f>
        <v>-3.4993968287160851E-17</v>
      </c>
      <c r="CH35" s="157">
        <f t="shared" ref="CH35:CH48" si="255">Ar_Sensitivity*Ar40_IC</f>
        <v>-1.0704981548965736E-11</v>
      </c>
      <c r="CI35" s="157">
        <f t="shared" ref="CI35:CI48" si="256">Ar40CC*SQRT((Ar40_ICerr/Ar40_IC)^2+(Ar_sensitivityerr/Ar_Sensitivity)^2)</f>
        <v>-5.9524445708789063E-15</v>
      </c>
      <c r="CJ35" s="157">
        <f t="shared" ref="CJ35:CJ48" si="257">Ar38CC/MV</f>
        <v>-1.6545238509593914E-16</v>
      </c>
      <c r="CK35" s="157">
        <f t="shared" ref="CK35:CK48" si="258">Ar38_mole*SQRT((Ar38CCerr/Ar38CC)^2+(MVerr/MV)^2)</f>
        <v>-9.1998914954293625E-20</v>
      </c>
      <c r="CL35" s="157">
        <f t="shared" ref="CL35:CL48" si="259">Ar40CC/MV</f>
        <v>-4.7760327018336767E-16</v>
      </c>
      <c r="CM35" s="157">
        <f t="shared" ref="CM35:CM48" si="260">Ar40_mole*SQRT((Ar40CCerrr/Ar40CC)^2+(MVerr/MV)^2)</f>
        <v>-2.6556874723979389E-19</v>
      </c>
      <c r="CN35" s="66">
        <v>5.0846260000000001E-3</v>
      </c>
      <c r="CO35" s="66">
        <v>7.5577700000000003E-6</v>
      </c>
      <c r="CP35" s="3">
        <v>1.1139738540500025E+19</v>
      </c>
      <c r="CQ35" s="60">
        <v>1.0453256904066513E+18</v>
      </c>
      <c r="CR35" s="3">
        <v>8.0438364680336474E+17</v>
      </c>
      <c r="CS35" s="3">
        <v>8.527140119058072E+16</v>
      </c>
      <c r="CT35" s="6">
        <v>0.49881143094597263</v>
      </c>
      <c r="CU35" s="6">
        <v>4.5926073391395927E-2</v>
      </c>
      <c r="CV35" s="4">
        <v>24.581879797320056</v>
      </c>
      <c r="CW35" s="4">
        <v>0.55629982285426871</v>
      </c>
      <c r="CX35" s="157">
        <f t="shared" ref="CX35:CX48" si="261">K_constant*Ar39CC/J</f>
        <v>-4.5505822764990387E-11</v>
      </c>
      <c r="CY35" s="157">
        <f t="shared" ref="CY35:CY48" si="262">K_mole*SQRT((Ar39ccerr/Ar39CC)^2+(Jerr/J)^2+(K_Constanterr/K_constant)^2)</f>
        <v>-4.2226885621621744E-13</v>
      </c>
      <c r="CZ35" s="133">
        <f t="shared" ref="CZ35:CZ48" si="263">K_mole*MW_K/Sample_Mass*10^6</f>
        <v>-0.16028831623535347</v>
      </c>
      <c r="DA35" s="133">
        <f t="shared" ref="DA35:DA48" si="264">K_ppm*SQRT((Sample_Masserr/Sample_Mass)^2+(MW_Kerr/MW_K)^2+(K_moleerr/K_mole)^2)</f>
        <v>-1.6895645458873197E-3</v>
      </c>
      <c r="DB35" s="159">
        <f t="shared" ref="DB35:DB48" si="265">K_ppm/10^4</f>
        <v>-1.6028831623535348E-5</v>
      </c>
      <c r="DC35" s="167">
        <f t="shared" ref="DC35:DC48" si="266">K_ppmerr/10^4</f>
        <v>-1.6895645458873197E-7</v>
      </c>
      <c r="DD35" s="157">
        <f t="shared" ref="DD35:DD48" si="267">Cl_Constant*Ar38CC/(J*Beta)</f>
        <v>-1.2031035255177669E-10</v>
      </c>
      <c r="DE35" s="157">
        <f t="shared" ref="DE35:DE48" si="268">Cl_mole*SQRT((Ar38CCerr/Ar38CC)^2+(Jerr/J)^2+(Betaerr/Beta)^2+(Cl_Constanterr/Cl_Constant)^2)</f>
        <v>-2.942681258159991E-12</v>
      </c>
      <c r="DF35" s="147">
        <f t="shared" ref="DF35:DF48" si="269">Cl_mole*MW_Cl/Sample_Mass*10^6</f>
        <v>-0.38426693054217465</v>
      </c>
      <c r="DG35" s="133">
        <f t="shared" ref="DG35:DG48" si="270">Cl_ppm*SQRT((Sample_Masserr/Sample_Mass)^2+(MW_Clerr/MW_Cl)^2+(Cl_moleerr/Cl_mole)^2)</f>
        <v>-9.5931907824740002E-3</v>
      </c>
      <c r="DH35" s="159">
        <f t="shared" ref="DH35:DH48" si="271">Cl_ppm/10^4</f>
        <v>-3.8426693054217464E-5</v>
      </c>
      <c r="DI35" s="167">
        <f t="shared" ref="DI35:DI48" si="272">Cl_ppmerr/10^4</f>
        <v>-9.5931907824739993E-7</v>
      </c>
      <c r="DJ35" s="157">
        <f t="shared" ref="DJ35:DJ48" si="273">Ca_Constant*Ar37CC/(J*alpha)</f>
        <v>-1.7426646458916671E-8</v>
      </c>
      <c r="DK35" s="157">
        <f t="shared" ref="DK35:DK48" si="274">Ca_mole*SQRT((Ar37CCerr/Ar37CC)^2+(Jerr/J)^2+(alphaerr/alpha)^2+(Ca_Constanterr/Ca_Constant)^2)</f>
        <v>-1.6126183438727635E-9</v>
      </c>
      <c r="DL35" s="143">
        <f t="shared" ref="DL35:DL48" si="275">Ca_mole*MW_Ca/Sample_Mass*10^6</f>
        <v>-62.924323430034242</v>
      </c>
      <c r="DM35" s="143">
        <f t="shared" ref="DM35:DM48" si="276">Ca_ppm*SQRT((Sample_Masserr/Sample_Mass)^2+(MW_Caerr/MW_Ca)^2+(Ca_moleerr/Ca_mole)^2)</f>
        <v>-5.8313567773067714</v>
      </c>
      <c r="DN35" s="147">
        <f t="shared" ref="DN35:DN48" si="277">Ca_ppm/10^4</f>
        <v>-6.292432343003424E-3</v>
      </c>
      <c r="DO35" s="147">
        <f t="shared" ref="DO35:DO48" si="278">Ca_ppmerr/10^4</f>
        <v>-5.8313567773067717E-4</v>
      </c>
      <c r="DP35" s="133">
        <f t="shared" ref="DP35:DP48" si="279">K_mole/Cl_mole</f>
        <v>0.37823696631099579</v>
      </c>
      <c r="DQ35" s="133">
        <f t="shared" ref="DQ35:DQ48" si="280">KCl_mol*SQRT(K_moleerr/K_mole)^2+(Cl_moleerr/Cl_mole)^2</f>
        <v>4.10807665058121E-3</v>
      </c>
      <c r="DR35" s="133">
        <f t="shared" ref="DR35:DR48" si="281">K_mole/Ca_mole</f>
        <v>2.6112782440540347E-3</v>
      </c>
      <c r="DS35" s="133">
        <f t="shared" ref="DS35:DS48" si="282">KCa_mol*SQRT(K_moleerr/K_mole)^2+(Ca_moleerr/Ca_mole)^2</f>
        <v>8.5874206245666242E-3</v>
      </c>
      <c r="DT35" s="133">
        <f t="shared" ref="DT35:DT48" si="283">K_ppm/Cl_ppm</f>
        <v>0.41712753165930128</v>
      </c>
      <c r="DU35" s="133">
        <f t="shared" ref="DU35:DU48" si="284">KCl_wt*SQRT(K_ppmerr/K_ppm)^2+(Cl_ppmerr/Cl_ppm)^2</f>
        <v>5.0200982003575853E-3</v>
      </c>
      <c r="DV35" s="133">
        <f t="shared" ref="DV35:DV48" si="285">K_ppm/Ca_ppm</f>
        <v>2.5473188665044379E-3</v>
      </c>
      <c r="DW35" s="133">
        <f t="shared" ref="DW35:DW48" si="286">KCa_wt*SQRT(K_ppmerr/K_ppm)^2+(Ca_ppmerr/Ca_ppm)^2</f>
        <v>8.6150501058159402E-3</v>
      </c>
      <c r="DX35" s="157">
        <f t="shared" ref="DX35:DX48" si="287">Ar40_mole/Cl_mole</f>
        <v>3.9697603743437346E-6</v>
      </c>
      <c r="DY35" s="157">
        <f t="shared" ref="DY35:DY48" si="288">Ar40Cl_mol*SQRT((Ar40_moleerr/Ar40_mole)^2+(Cl_moleerr/Cl_mole)^2)</f>
        <v>9.712179783890595E-8</v>
      </c>
      <c r="DZ35" s="147">
        <f t="shared" ref="DZ35:DZ48" si="289">Ar40AC/Ar39_IC</f>
        <v>-1885.4009520052914</v>
      </c>
      <c r="EA35" s="147">
        <f t="shared" ref="EA35:EA48" si="290">Ar40Ar39*SQRT((Ar40ACerr/Ar40AC)^2+(Ar39_ICerr/Ar39_IC)^2)</f>
        <v>-1.8786097811581158E-2</v>
      </c>
      <c r="EB35" s="157">
        <f t="shared" ref="EB35:EB48" si="291">(Ar40CC/MV)/K_mole</f>
        <v>1.0495432038442533E-5</v>
      </c>
      <c r="EC35" s="157">
        <f t="shared" ref="EC35:EC48" si="292">Ar40K*SQRT((Ar40CCerrr/Ar40CC)^2+(K_moleerr/K_mole)^2+(MVerr/MV)^2)</f>
        <v>9.7566496149431555E-8</v>
      </c>
      <c r="ED35" s="147" t="str">
        <f t="shared" ref="ED35:ED48" si="293">IF(Ar40Ar39&gt;0,(1/lambda/10^6)*LN(1+(J*Ar40Ar39)),"")</f>
        <v/>
      </c>
      <c r="EE35" s="147" t="str">
        <f t="shared" ref="EE35:EE48" si="294">IF(Age="","",SQRT((J^2*Ar40Ar39^2*((Ar40Ar39err/Ar40Ar39*100)^2))/(Age^2*0.00055305^2*((1+Ar40Ar39*J)^2)))*Age/100)</f>
        <v/>
      </c>
      <c r="EF35" s="147" t="str">
        <f t="shared" ref="EF35:EF48" si="295">IF(Age="","",SQRT((J^2*Ar40Ar39^2*((Ar40Ar39err/Ar40Ar39*100)^2+(Jerr/J*100)^2))/(Age^2*0.00055305^2*((1+Ar40Ar39*J)^2)))*Age/100)</f>
        <v/>
      </c>
      <c r="EG35" s="143" t="str">
        <f t="shared" ref="EG35:EG48" si="296">IF(Ar40Ar39&gt;0,(1/lambda/10^6)*LN(1+(J*Ar40Ar39)),"")</f>
        <v/>
      </c>
      <c r="EH35" s="147" t="str">
        <f t="shared" ref="EH35:EH48" si="297">IF(Age="","",SQRT((J^2*Ar40Ar39^2*((Ar40Ar39err/Ar40Ar39*100)^2))/(Age^2*0.00055305^2*((1+Ar40Ar39*J)^2)))*Age/100)</f>
        <v/>
      </c>
      <c r="EI35" s="147" t="str">
        <f t="shared" ref="EI35:EI48" si="298">IF(Age="","",SQRT((J^2*Ar40Ar39^2*((Ar40Ar39err/Ar40Ar39*100)^2+(Jerr/J*100)^2))/(Age^2*0.00055305^2*((1+Ar40Ar39*J)^2)))*Age/100)</f>
        <v/>
      </c>
      <c r="EJ35" s="501">
        <f>CF35/$CF$19</f>
        <v>-3.1718325838836172E-4</v>
      </c>
      <c r="EK35" s="143" t="str">
        <f t="shared" ref="EK35:EL48" si="299">EG35</f>
        <v/>
      </c>
      <c r="EL35" s="143" t="str">
        <f t="shared" si="299"/>
        <v/>
      </c>
      <c r="EM35" s="147">
        <f t="shared" ref="EM35:EM48" si="300">Ar39_IC/Ar36_ClCor</f>
        <v>0.14375958444563477</v>
      </c>
      <c r="EN35" s="147">
        <f t="shared" ref="EN35:EN48" si="301">EM35*SQRT((Ar40_ICerr/Ar40_IC)^2+(Ar36_ClCorerr/Ar36_ClCor)^2)</f>
        <v>8.8162049391830936E-7</v>
      </c>
      <c r="EO35" s="143">
        <f t="shared" ref="EO35:EO48" si="302">Ar40_IC/Ar36_ClCor</f>
        <v>24.455542626315122</v>
      </c>
      <c r="EP35" s="143">
        <f t="shared" ref="EP35:EP48" si="303">EO35*SQRT((Ar40_ICerr/Ar40_IC)^2+(Ar36_ClCorerr/Ar36_ClCor)^2)</f>
        <v>1.4997614004237536E-4</v>
      </c>
      <c r="EQ35" s="157">
        <f t="shared" ref="EQ35:EQ48" si="304">Ar39_IC/Ar40_IC</f>
        <v>5.8784050160859578E-3</v>
      </c>
      <c r="ER35" s="157">
        <f t="shared" ref="ER35:ER48" si="305">EQ35*SQRT((Ar40_ICerr/Ar40_IC)^2+(Ar39_ICerr/Ar39_IC)^2)</f>
        <v>4.342837055729318E-8</v>
      </c>
      <c r="ES35" s="157">
        <f t="shared" ref="ES35:ES48" si="306">Ar36_ClCor/Ar40_IC</f>
        <v>4.0890525934352433E-2</v>
      </c>
      <c r="ET35" s="157">
        <f t="shared" ref="ET35:ET48" si="307">ES35*SQRT((Ar40_ICerr/Ar40_IC)^2+(Ar36_ClCorerr/Ar36_ClCor)^2)</f>
        <v>2.5076537199129251E-7</v>
      </c>
      <c r="EU35" s="473"/>
      <c r="EV35" s="473"/>
      <c r="EW35" s="473"/>
      <c r="EX35" s="473"/>
      <c r="EY35" s="473"/>
      <c r="EZ35" s="473"/>
      <c r="FA35" s="473"/>
      <c r="FB35" s="473"/>
      <c r="FC35" s="471"/>
      <c r="FD35" s="471"/>
      <c r="FE35" s="471"/>
      <c r="FF35" s="471"/>
      <c r="FG35" s="471"/>
      <c r="FH35" s="471"/>
      <c r="FI35" s="471"/>
      <c r="FJ35" s="471"/>
      <c r="FK35" s="473">
        <f>Kr80Raw-Kr80Blank</f>
        <v>0</v>
      </c>
      <c r="FL35" s="473">
        <f>SQRT(Kr80Rawerr^2+Kr80Blankerr^2)</f>
        <v>0</v>
      </c>
      <c r="FM35" s="473">
        <f>Kr82Raw-Kr82Blank</f>
        <v>0</v>
      </c>
      <c r="FN35" s="473">
        <f>SQRT(Kr82Rawerr^2+Kr82Blankerr^2)</f>
        <v>0</v>
      </c>
      <c r="FO35" s="473">
        <f>Kr84Raw-Kr84Blank</f>
        <v>0</v>
      </c>
      <c r="FP35" s="473">
        <f>SQRT(Kr84Rawerr^2+Kr84Blankerr^2)</f>
        <v>0</v>
      </c>
      <c r="FQ35" s="473">
        <f>Kr86Raw-Kr86Blank</f>
        <v>0</v>
      </c>
      <c r="FR35" s="473">
        <f>SQRT(Kr86Rawerr^2+Kr86Blankerr^2)</f>
        <v>0</v>
      </c>
      <c r="FS35" s="473">
        <f>Kr84BC-((Y86Kr*Kr8684_nf)/(Y134Xe*Xe134136_nf)*Xe134BC)</f>
        <v>-7.1044033333250646E-4</v>
      </c>
      <c r="FT35" s="473" t="e">
        <f>Kr84U*SQRT((Kr84BCerr/Kr84BC)^2+(Y86Kr_err/Y86Kr)^2+(Kr8684_nferr/Kr8684_nf)^2+(Y134Xeerr/Y134Xe)^2+(Xe134136_nferr/Xe134136_nf)^2+(Xe134BCerr/Xe134BC)^2)</f>
        <v>#DIV/0!</v>
      </c>
      <c r="FU35" s="476">
        <f>Kr80BC-(Kr84U*Kr8084_Air)</f>
        <v>2.8133437199967259E-5</v>
      </c>
      <c r="FV35" s="476" t="e">
        <f>SQRT(Kr80BCerr^2+(Kr84Uerr*Kr8084_Air)^2)</f>
        <v>#DIV/0!</v>
      </c>
      <c r="FW35" s="476">
        <f>Kr82BC-(Kr84U*Kr8284_Air)</f>
        <v>1.4365103539983279E-4</v>
      </c>
      <c r="FX35" s="476" t="e">
        <f>SQRT(Kr82BCerr^2+(Kr84Uerr*Kr8284_Air)^2)</f>
        <v>#DIV/0!</v>
      </c>
      <c r="FY35" s="473">
        <f>Kr86BC-(Kr84U*Kr8684_Air)</f>
        <v>2.16826389733081E-4</v>
      </c>
      <c r="FZ35" s="473" t="e">
        <f>SQRT(Kr86BCerr^2+(Kr84Uerr*Kr8684_Air)^2)</f>
        <v>#DIV/0!</v>
      </c>
      <c r="GA35" s="477">
        <v>7.8999999999999997E-13</v>
      </c>
      <c r="GB35" s="477">
        <v>2E-14</v>
      </c>
      <c r="GC35" s="473">
        <v>1</v>
      </c>
      <c r="GD35" s="473">
        <v>5.0000000000000001E-3</v>
      </c>
      <c r="GE35" s="477">
        <f>(Kr80AC*Kr_sensitivity)/YKr</f>
        <v>2.2225415387974134E-17</v>
      </c>
      <c r="GF35" s="477" t="e">
        <f>Kr80cc*SQRT((Kr_sensitivityerr/Kr_sensitivity)^2+(YKrerr/YKr)^2+(Kr80ACerr/Kr80AC)^2)</f>
        <v>#DIV/0!</v>
      </c>
      <c r="GG35" s="477">
        <f>(Kr82AC*Kr_sensitivity)/YKr</f>
        <v>1.1348431796586791E-16</v>
      </c>
      <c r="GH35" s="477" t="e">
        <f>Kr82cc*SQRT((Kr_sensitivityerr/Kr_sensitivity)^2+(YKrerr/YKr)^2+(Kr82ACerr/Kr82AC)^2)</f>
        <v>#DIV/0!</v>
      </c>
      <c r="GI35" s="477">
        <f>(Kr84U*Kr_sensitivity)/YKr</f>
        <v>-5.6124786333268005E-16</v>
      </c>
      <c r="GJ35" s="477" t="e">
        <f>Kr84cc*SQRT((Kr_sensitivityerr/Kr_sensitivity)^2+(YKrerr/YKr)^2+(Kr84Uerr/Kr84U)^2)</f>
        <v>#DIV/0!</v>
      </c>
      <c r="GK35" s="477">
        <f>(Kr86AC*Kr_sensitivity)/YKr</f>
        <v>1.7129284788913399E-16</v>
      </c>
      <c r="GL35" s="477" t="e">
        <f>Kr86cc*SQRT((Kr_sensitivityerr/Kr_sensitivity)^2+(YKrerr/YKr)^2+(Kr86ACerr/Kr86AC)^2)</f>
        <v>#DIV/0!</v>
      </c>
      <c r="GM35" s="477">
        <f>Kr80cc/MV</f>
        <v>9.9158798377431601E-22</v>
      </c>
      <c r="GN35" s="477" t="e">
        <f>Kr80_mole*SQRT((MVerr/MV)^2+(Kr80ccerr/Kr80cc)^2)</f>
        <v>#DIV/0!</v>
      </c>
      <c r="GO35" s="477">
        <f>Kr82cc/MV</f>
        <v>5.063108341393097E-21</v>
      </c>
      <c r="GP35" s="477" t="e">
        <f>Kr82_mole*SQRT((MVerr/MV)^2+(Kr82ccerr/Kr82cc)^2)</f>
        <v>#DIV/0!</v>
      </c>
      <c r="GQ35" s="477">
        <f>Kr84cc/MV</f>
        <v>-2.5040100600361508E-20</v>
      </c>
      <c r="GR35" s="477" t="e">
        <f>Kr84_mole*SQRT((MVerr/MV)^2+(Kr84ccerr/Kr84cc)^2)</f>
        <v>#DIV/0!</v>
      </c>
      <c r="GS35" s="473">
        <f>Kr80_mole/Kr82_mole</f>
        <v>0.1958456973293769</v>
      </c>
      <c r="GT35" s="473" t="e">
        <f>Kr8082_mole*SQRT(Kr80_moleerr/Kr80_mole)^2+(Kr82_moleerr/Kr82_mole)^2</f>
        <v>#DIV/0!</v>
      </c>
      <c r="GU35" s="474">
        <v>28.467321517297663</v>
      </c>
      <c r="GV35" s="474">
        <v>0.39873308773255578</v>
      </c>
      <c r="GW35" s="478">
        <f>Pi*(Ar38_mole/Kr80_mole)</f>
        <v>-4749942.838558876</v>
      </c>
      <c r="GX35" s="478" t="e">
        <f>Cl_79Br*SQRT((Pi_err/Pi)^2+(Ar38_moleerr/Ar38_mole)^2+(Kr80_moleerr/Kr80_mole)^2)</f>
        <v>#DIV/0!</v>
      </c>
      <c r="GY35" s="479">
        <f>(Cl_mole/Cl_79Br)/(MW_Br/MW_Cl)</f>
        <v>1.1238260278019049E-17</v>
      </c>
      <c r="GZ35" s="480" t="e">
        <f>(Br79mole_SC*SQRT((Cl_moleerr/Cl_mole)^2+(Cl_79Brerr/Cl_79Br)^2))</f>
        <v>#DIV/0!</v>
      </c>
      <c r="HA35" s="478">
        <f>(Cl_ppm/Cl_79Br)*10^3</f>
        <v>8.08992747076427E-5</v>
      </c>
      <c r="HB35" s="478" t="e">
        <f>Br79ppb_SC*SQRT((Cl_ppmerr/Cl_ppm)^2+(Cl_79Brerr/Cl_79Br)^2)</f>
        <v>#DIV/0!</v>
      </c>
      <c r="HC35" s="474">
        <v>8.570444300063329</v>
      </c>
      <c r="HD35" s="474">
        <v>0.11694150036145151</v>
      </c>
      <c r="HE35" s="478">
        <f>Pi_prime*(Ar38_mole/Kr82_mole)</f>
        <v>-280065.20010338479</v>
      </c>
      <c r="HF35" s="478" t="e">
        <f>Cl_81Br*SQRT((Pi_primeerr/Pi_prime)^2+(Ar38_moleerr/Ar38_mole)^2+(Kr82_moleerr/Kr82_mole)^2)</f>
        <v>#DIV/0!</v>
      </c>
      <c r="HG35" s="479">
        <f>(Cl_mole/Cl_81Br)/(MW_Br/MW_Cl)</f>
        <v>1.9060238082322218E-16</v>
      </c>
      <c r="HH35" s="480" t="e">
        <f>(Br81mole_SC*SQRT((Cl_moleerr/Cl_mole)^2+(Cl_79Brerr/Cl_79Br)^2))</f>
        <v>#DIV/0!</v>
      </c>
      <c r="HI35" s="478">
        <f>(Cl_ppm/Cl_81Br)*10^3</f>
        <v>1.3720623997566434E-3</v>
      </c>
      <c r="HJ35" s="478" t="e">
        <f>(Br81ppb_SC*SQRT((Cl_ppmerr/Cl_ppm)^2+(Cl_81Brerr/Cl_81Br)^2))</f>
        <v>#DIV/0!</v>
      </c>
      <c r="HK35" s="6">
        <v>1.250207836570332</v>
      </c>
      <c r="HL35" s="6">
        <v>3.0773458477915613E-2</v>
      </c>
      <c r="HM35" s="467">
        <f>(Kr80_mole/Br79_FactorSW)/(Y_79Br*Br79_Abun*(Therm_CS_79Br*Therm_Flux))*(MW_Br/Sample_Mass*10^9)</f>
        <v>1.0125117597564273E-4</v>
      </c>
      <c r="HN35" s="467" t="e">
        <f>Br79ppb_SW*SQRT((Kr80_moleerr/Kr80_mole)^2+(Sample_Masserr/Sample_Mass)^2+(Br79Factor_SWerr/Br79_FactorSW)^2+(Therm_CS_79Brerr/Therm_CS_79Br)^2+(Br79_Abunerr/Br79_Abun)^2+(Therm_Fluxerr/Therm_Flux)^2)</f>
        <v>#DIV/0!</v>
      </c>
      <c r="HO35" s="6">
        <v>1.4124703868932349</v>
      </c>
      <c r="HP35" s="6">
        <v>2.3743935274246231E-2</v>
      </c>
      <c r="HQ35" s="467">
        <f>(Kr82_mole/Br81_FactorSW)/(Y_81Br*Br81_Abun*(Therm_CS_81Br*Therm_Flux))*(MW_Br/Sample_Mass*10^9)</f>
        <v>1.9904964524760141E-3</v>
      </c>
      <c r="HR35" s="467" t="e">
        <f>Br81ppb_SW*SQRT((Kr82_moleerr/Kr82_mole)^2+(Sample_Masserr/Sample_Mass)^2+(Br81_FactorSWerr/Br81_FactorSW)^2+(Therm_CS_81Brerr/Therm_CS_81Br)^2+(Br81_Abunerr/Br81_Abun)^2+(Therm_Fluxerr/Therm_Flux)^2)</f>
        <v>#DIV/0!</v>
      </c>
      <c r="HS35" s="475">
        <v>0.90703699999999998</v>
      </c>
      <c r="HT35" s="475">
        <v>3.3230999999999997E-2</v>
      </c>
      <c r="HU35" s="475">
        <v>1.6573000000000001E-2</v>
      </c>
      <c r="HV35" s="475">
        <v>2.0699999999999999E-4</v>
      </c>
      <c r="HW35" s="475">
        <v>2.6819999999999999E-3</v>
      </c>
      <c r="HX35" s="475">
        <v>1.4799999999999999E-4</v>
      </c>
      <c r="HY35" s="475">
        <v>2.1461000000000001E-2</v>
      </c>
      <c r="HZ35" s="475">
        <v>5.0600000000000005E-4</v>
      </c>
      <c r="IA35" s="475">
        <v>1.6577999999999999E-2</v>
      </c>
      <c r="IB35" s="475">
        <v>3.8699999999999997E-4</v>
      </c>
      <c r="IC35" s="475">
        <v>6.4689999999999999E-3</v>
      </c>
      <c r="ID35" s="475">
        <v>2.0100000000000001E-4</v>
      </c>
      <c r="IE35" s="475">
        <v>6.0759999999999998E-3</v>
      </c>
      <c r="IF35" s="475">
        <v>4.2200000000000001E-4</v>
      </c>
      <c r="IG35" s="475">
        <v>1.6410000000000001E-3</v>
      </c>
      <c r="IH35" s="475">
        <v>1.17E-4</v>
      </c>
      <c r="II35" s="475">
        <v>1.47E-3</v>
      </c>
      <c r="IJ35" s="475">
        <v>1.84E-4</v>
      </c>
      <c r="IK35" s="475">
        <v>2.5700000000000001E-4</v>
      </c>
      <c r="IL35" s="475">
        <v>6.7000000000000002E-5</v>
      </c>
      <c r="IM35" s="475">
        <v>1.6689999999999999E-3</v>
      </c>
      <c r="IN35" s="475">
        <v>1.8799999999999999E-4</v>
      </c>
      <c r="IO35" s="475">
        <v>1.1490000000000001E-3</v>
      </c>
      <c r="IP35" s="475">
        <v>1.35E-4</v>
      </c>
      <c r="IQ35" s="475">
        <v>8.5400000000000005E-4</v>
      </c>
      <c r="IR35" s="475">
        <v>8.6000000000000003E-5</v>
      </c>
      <c r="IS35" s="475">
        <v>1.34E-4</v>
      </c>
      <c r="IT35" s="475">
        <v>1.4300000000000001E-4</v>
      </c>
      <c r="IU35" s="475">
        <f>Xe128Raw-Xe128Blank</f>
        <v>0.90539599999999998</v>
      </c>
      <c r="IV35" s="475">
        <f>SQRT(Xe128Rawerr^2+Xe128Blankerr^2)</f>
        <v>3.3231205966681374E-2</v>
      </c>
      <c r="IW35" s="475">
        <f>Xe129Raw-Xe129Blank</f>
        <v>1.5103000000000002E-2</v>
      </c>
      <c r="IX35" s="475">
        <f>SQRT(Xe129Rawerr^2+Xe129Blankerr^2)</f>
        <v>2.7695667531222278E-4</v>
      </c>
      <c r="IY35" s="475">
        <f>Xe130Raw-Xe130Blank</f>
        <v>2.4250000000000001E-3</v>
      </c>
      <c r="IZ35" s="475">
        <f>SQRT(Xe130Rawerr^2+Xe130Blankerr^2)</f>
        <v>1.6245922565370056E-4</v>
      </c>
      <c r="JA35" s="475">
        <f>Xe131Raw-Xe131Blank</f>
        <v>1.9792000000000001E-2</v>
      </c>
      <c r="JB35" s="475">
        <f>SQRT(Xe131Rawerr^2+Xe131Blankerr^2)</f>
        <v>5.397962578603154E-4</v>
      </c>
      <c r="JC35" s="475">
        <f>Xe132Raw-Xe132Blank</f>
        <v>1.5428999999999998E-2</v>
      </c>
      <c r="JD35" s="475">
        <f>SQRT(Xe132Rawerr^2+Xe132Blankerr^2)</f>
        <v>4.0987071132248513E-4</v>
      </c>
      <c r="JE35" s="475">
        <f>Xe134Raw-Xe134Blank</f>
        <v>5.6150000000000002E-3</v>
      </c>
      <c r="JF35" s="475">
        <f>SQRT(Xe134Rawerr^2+Xe134Blankerr^2)</f>
        <v>2.1862525014279573E-4</v>
      </c>
      <c r="JG35" s="475">
        <f>Xe136Raw-Xe136Blank</f>
        <v>5.9419999999999994E-3</v>
      </c>
      <c r="JH35" s="475">
        <f>SQRT(Xe136Rawerr^2+Xe136Blankerr^2)</f>
        <v>4.4557042092131745E-4</v>
      </c>
      <c r="JI35" s="475">
        <f>Xe128BC-(Xe130BC*Xe128130_Q)</f>
        <v>0.90416404012432494</v>
      </c>
      <c r="JJ35" s="475">
        <f>SQRT(Xe128BCerr^2+(Xe130BCerr*Xe128130_Q)^2)</f>
        <v>3.323130845671389E-2</v>
      </c>
      <c r="JK35" s="475">
        <f>Xe129BC-(Xe130BC*Xe129130_Q)</f>
        <v>-4.7987037054999723E-4</v>
      </c>
      <c r="JL35" s="475">
        <f>SQRT(Xe129BCerr^2+(Xe130BCerr*Xe129130_Q)^2)</f>
        <v>1.0800641583266907E-3</v>
      </c>
      <c r="JM35" s="475">
        <f>Xe131BC-(Xe130BC*Xe131130_Q)</f>
        <v>7.5382654315000013E-3</v>
      </c>
      <c r="JN35" s="475">
        <f>SQRT(Xe131BCerr^2+(Xe130BCerr*Xe131130_Q)^2)</f>
        <v>9.8249197387984704E-4</v>
      </c>
      <c r="JO35" s="475">
        <f>Xe132BC-(Xe130BC*Xe132130_Q)</f>
        <v>4.5986419794999747E-4</v>
      </c>
      <c r="JP35" s="475">
        <f>SQRT((Xe132BCerr^2+(Xe130BCerr*Xe132130_Q)^2))</f>
        <v>1.0833611992920266E-3</v>
      </c>
      <c r="JQ35" s="475">
        <f>Xe134BC-(Xe130BC*Xe134130_Q)</f>
        <v>-4.4830246225000502E-5</v>
      </c>
      <c r="JR35" s="475">
        <f>SQRT(Xe134BCerr^2+(Xe130BCerr*Xe134130_Q)^2)</f>
        <v>4.3768511679302213E-4</v>
      </c>
      <c r="JS35" s="475">
        <f>Xe136BC-(Xe130BC*Xe136130_Q)</f>
        <v>1.2012746903999998E-3</v>
      </c>
      <c r="JT35" s="475">
        <f>SQRT(Xe136BCerr^2+(Xe130BCerr*Xe136130_Q)^2)</f>
        <v>5.4717578144869482E-4</v>
      </c>
      <c r="JU35" s="477">
        <v>6.6999999999999997E-13</v>
      </c>
      <c r="JV35" s="477">
        <v>4E-14</v>
      </c>
      <c r="JW35" s="471">
        <v>1</v>
      </c>
      <c r="JX35" s="471">
        <v>0</v>
      </c>
      <c r="JY35" s="477">
        <f>(Xe128AC*Xe_Sensitivity)/YXe</f>
        <v>6.0578990688329767E-13</v>
      </c>
      <c r="JZ35" s="477">
        <f>Xe128CC*SQRT((Xe_Sensitivityerr/Xe_Sensitivity)^2+(YXeerr/YXe)^2+(Xe128ACerr/Xe128AC)^2)</f>
        <v>4.2470570566731924E-14</v>
      </c>
      <c r="KA35" s="477">
        <f>Xe128CC/MV</f>
        <v>2.7027346030268886E-17</v>
      </c>
      <c r="KB35" s="477">
        <f>Xe128mole*SQRT((Xe128CCerr/Xe128CC)^2+(MVerr/MV)^2)</f>
        <v>1.894826562487493E-18</v>
      </c>
      <c r="KC35" s="473">
        <v>1.5235623802440201</v>
      </c>
      <c r="KD35" s="473">
        <v>6.4506083358238542E-2</v>
      </c>
      <c r="KE35" s="477">
        <f>(Xe128mole/IFactor_SW)/((Therm_CS_127I*Therm_Flux)*I127_Abun*Y_127I)</f>
        <v>2.7501703651020159E-13</v>
      </c>
      <c r="KF35" s="477">
        <f>I_mole*SQRT((Xe128CCerr/Xe128CC)^2+(IFactor_SWerr/IFactor_SW)^2+(Therm_CS_127Ierr/Therm_CS_127I)^2+(Therm_Fluxerr/Therm_Flux)^2)</f>
        <v>3.4300409871004819E-14</v>
      </c>
      <c r="KG35" s="481">
        <f>I_mole*MW_I/Sample_Mass*10^9</f>
        <v>3.1442251810638626</v>
      </c>
      <c r="KH35" s="481">
        <f>KG35*SQRT(I_moleerr/I_mole)^2+(MVerr/MV)^2+(Sample_Masserr/Sample_Mass)</f>
        <v>0.3971510238269067</v>
      </c>
      <c r="KI35" s="476">
        <v>22.400563309243701</v>
      </c>
      <c r="KJ35" s="476">
        <v>2.2525235998407074</v>
      </c>
      <c r="KK35" s="480">
        <f>Omega*(Ar38_mole/Xe128mole)</f>
        <v>-137.12876665197606</v>
      </c>
      <c r="KL35" s="480">
        <f>Cl_I*SQRT((Omegaerr/Omega)^2+(Ar38_moleerr/Ar38_mole)^2+(Xe128moleerr/Xe128mole)^2)</f>
        <v>-16.809899756398213</v>
      </c>
      <c r="KM35" s="478">
        <f>(Cl_ppm/Cl_I)*10^3</f>
        <v>2.8022342789490642</v>
      </c>
      <c r="KN35" s="478">
        <f>(Ippb_SC*SQRT((Cl_ppmerr/Cl_ppm)^2+(Cl_Ierr/Cl_I)^2))</f>
        <v>0.35056247988925293</v>
      </c>
      <c r="KO35" s="473">
        <f>Xe131AC-Xe131136_nf/Xe134136_nf*Xe134AC</f>
        <v>7.5545640683699249E-3</v>
      </c>
      <c r="KP35" s="473">
        <f>SQRT(Xe131ACerr^2+(Xe131136_nf/Xe134136_nf*Xe134AC)^2*((Xe131136_nferr/Xe131136_nf)^2+(Xe134136_nferr/Xe134136_nf)^2+(Xe134ACerr/Xe134AC)^2))</f>
        <v>9.9529497917901074E-4</v>
      </c>
      <c r="KQ35" s="477">
        <f>(Xe131Ba*Xe_Sensitivity)/YXe</f>
        <v>5.0615579258078493E-15</v>
      </c>
      <c r="KR35" s="477">
        <f>Xe131Bacc*SQRT((Xe_Sensitivityerr/Xe_Sensitivity)^2+(YXeerr/YXe)^2+(Xe131Baerr/Xe131Ba)^2)</f>
        <v>7.3212025714793533E-16</v>
      </c>
      <c r="KS35" s="477">
        <f>Xe131Bacc/MV</f>
        <v>2.2582165195996361E-19</v>
      </c>
      <c r="KT35" s="477">
        <f>Xe131mole*SQRT((Xe131CCerr/Xe131CC)^2+(MVerr/MV)^2)</f>
        <v>3.2663580724988349E-20</v>
      </c>
      <c r="KU35" s="473">
        <v>1.5355171436865713</v>
      </c>
      <c r="KV35" s="473">
        <v>5.9163108295531078E-2</v>
      </c>
      <c r="KW35" s="477">
        <f>(Xe131mole/Ba_FactorSW)/((Therm_CS_130Ba*Therm_Flux)*Ba130_Abun*Y_130Ba)</f>
        <v>1.6078760079119484E-12</v>
      </c>
      <c r="KX35" s="477">
        <f>Ba_mole*SQRT((Xe131BaCCerr/Xe131Bacc)^2+(Ba_FactorSWerr/Ba_FactorSW)^2+(Therm_CS_130Baerr/Therm_CS_130Ba)^2+(Therm_Fluxerr/Therm_Flux)^2)</f>
        <v>2.9279719578293597E-13</v>
      </c>
      <c r="KY35" s="474">
        <f>Ba_mole*MW_Ba/Sample_Mass*10^6</f>
        <v>1.9892323291758929E-2</v>
      </c>
      <c r="KZ35" s="476">
        <f>Ba_ppm*SQRT(Ba_moleerr/Ba_mole)^2+(MVerr/MV)^2+(Sample_Masserr/Sample_Mass)</f>
        <v>8.6224288746862381E-3</v>
      </c>
      <c r="LA35" s="471"/>
      <c r="LB35" s="471"/>
      <c r="LC35" s="471"/>
      <c r="LD35" s="471"/>
      <c r="LE35" s="471"/>
      <c r="LF35" s="471"/>
      <c r="LG35" s="477"/>
      <c r="LH35" s="477"/>
      <c r="LI35" s="477"/>
      <c r="LJ35" s="477"/>
      <c r="LK35" s="477"/>
      <c r="LL35" s="477"/>
      <c r="LM35" s="476"/>
      <c r="LN35" s="476"/>
      <c r="LO35" s="471"/>
      <c r="LP35" s="471"/>
      <c r="LQ35" s="214" t="str">
        <f t="shared" si="96"/>
        <v>A1x Bulk</v>
      </c>
      <c r="LR35" s="214" t="str">
        <f t="shared" si="97"/>
        <v>MN2022a</v>
      </c>
      <c r="LS35" s="211">
        <f t="shared" si="98"/>
        <v>-0.16028831623535347</v>
      </c>
      <c r="LT35" s="211">
        <f t="shared" si="99"/>
        <v>-1.6895645458873197E-3</v>
      </c>
      <c r="LU35" s="211">
        <f t="shared" si="100"/>
        <v>-0.38426693054217465</v>
      </c>
      <c r="LV35" s="211">
        <f t="shared" si="101"/>
        <v>-9.5931907824740002E-3</v>
      </c>
      <c r="LW35" s="211">
        <f t="shared" si="102"/>
        <v>-62.924323430034242</v>
      </c>
      <c r="LX35" s="211">
        <f t="shared" si="103"/>
        <v>-5.8313567773067714</v>
      </c>
      <c r="LY35" s="211"/>
      <c r="LZ35" s="211"/>
      <c r="MA35" s="211"/>
      <c r="MB35" s="211"/>
      <c r="MC35" s="211"/>
      <c r="MD35" s="211"/>
      <c r="ME35" s="211"/>
      <c r="MF35" s="211"/>
      <c r="MG35" s="211"/>
      <c r="MH35" s="211"/>
      <c r="MI35" s="211"/>
      <c r="MJ35" s="211"/>
      <c r="MK35" s="211"/>
      <c r="ML35" s="211"/>
      <c r="MM35" s="211"/>
      <c r="MN35" s="211"/>
      <c r="MO35" s="506">
        <f t="shared" si="107"/>
        <v>0.41712753165930128</v>
      </c>
      <c r="MP35" s="506">
        <f t="shared" si="107"/>
        <v>5.0200982003575853E-3</v>
      </c>
      <c r="MQ35" s="109"/>
      <c r="MR35" s="109"/>
      <c r="MS35" s="109"/>
      <c r="MT35" s="109"/>
      <c r="MU35" s="109"/>
      <c r="MV35" s="109"/>
      <c r="MW35" s="506">
        <f t="shared" si="108"/>
        <v>0.37823696631099579</v>
      </c>
      <c r="MX35" s="506">
        <f t="shared" si="108"/>
        <v>4.10807665058121E-3</v>
      </c>
      <c r="MY35" s="109"/>
      <c r="MZ35" s="109"/>
      <c r="NA35" s="109"/>
      <c r="NB35" s="109"/>
      <c r="NC35" s="109"/>
      <c r="ND35" s="109"/>
    </row>
    <row r="36" spans="2:368">
      <c r="B36" s="245" t="s">
        <v>934</v>
      </c>
      <c r="C36" s="5">
        <f t="shared" ref="C36:C48" si="308">11.1/1000</f>
        <v>1.11E-2</v>
      </c>
      <c r="D36" s="66">
        <f t="shared" ref="D36:D48" si="309">C36*0.5%</f>
        <v>5.5500000000000001E-5</v>
      </c>
      <c r="E36" s="67">
        <v>44727</v>
      </c>
      <c r="F36" s="5" t="s">
        <v>210</v>
      </c>
      <c r="G36" s="5" t="s">
        <v>893</v>
      </c>
      <c r="H36" s="5">
        <v>1</v>
      </c>
      <c r="J36" s="327">
        <v>44644</v>
      </c>
      <c r="K36" s="67" t="s">
        <v>823</v>
      </c>
      <c r="L36" s="5">
        <v>1</v>
      </c>
      <c r="M36" s="5">
        <v>0.8</v>
      </c>
      <c r="N36" s="5">
        <v>30</v>
      </c>
      <c r="O36" s="6"/>
      <c r="P36" s="6"/>
      <c r="Q36" s="6"/>
      <c r="R36" s="6"/>
      <c r="S36" s="6"/>
      <c r="T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133">
        <f t="shared" si="211"/>
        <v>0</v>
      </c>
      <c r="AJ36" s="133">
        <f t="shared" si="212"/>
        <v>0</v>
      </c>
      <c r="AK36" s="133">
        <f t="shared" si="213"/>
        <v>0</v>
      </c>
      <c r="AL36" s="133">
        <f t="shared" si="214"/>
        <v>0</v>
      </c>
      <c r="AM36" s="133">
        <f t="shared" si="215"/>
        <v>0</v>
      </c>
      <c r="AN36" s="133">
        <f t="shared" si="216"/>
        <v>0</v>
      </c>
      <c r="AO36" s="133">
        <f t="shared" si="217"/>
        <v>0</v>
      </c>
      <c r="AP36" s="133">
        <f t="shared" si="218"/>
        <v>0</v>
      </c>
      <c r="AQ36" s="133">
        <f t="shared" si="219"/>
        <v>0</v>
      </c>
      <c r="AR36" s="133">
        <f t="shared" si="220"/>
        <v>0</v>
      </c>
      <c r="AS36" s="5">
        <v>300.7</v>
      </c>
      <c r="AT36" s="5">
        <v>0.28000000000000003</v>
      </c>
      <c r="AU36" s="133">
        <f t="shared" si="221"/>
        <v>0</v>
      </c>
      <c r="AV36" s="133" t="e">
        <f t="shared" si="222"/>
        <v>#DIV/0!</v>
      </c>
      <c r="AW36" s="133">
        <f t="shared" si="223"/>
        <v>0</v>
      </c>
      <c r="AX36" s="133" t="e">
        <f t="shared" si="224"/>
        <v>#DIV/0!</v>
      </c>
      <c r="AY36" s="133">
        <f t="shared" si="225"/>
        <v>0</v>
      </c>
      <c r="AZ36" s="133" t="e">
        <f t="shared" si="226"/>
        <v>#DIV/0!</v>
      </c>
      <c r="BA36" s="133">
        <f t="shared" si="227"/>
        <v>0</v>
      </c>
      <c r="BB36" s="133" t="e">
        <f t="shared" si="228"/>
        <v>#DIV/0!</v>
      </c>
      <c r="BC36" s="6"/>
      <c r="BD36" s="8"/>
      <c r="BE36" s="133">
        <f t="shared" si="229"/>
        <v>0</v>
      </c>
      <c r="BF36" s="133" t="e">
        <f t="shared" si="230"/>
        <v>#DIV/0!</v>
      </c>
      <c r="BG36" s="133">
        <f t="shared" si="231"/>
        <v>0</v>
      </c>
      <c r="BH36" s="133" t="e">
        <f t="shared" si="232"/>
        <v>#DIV/0!</v>
      </c>
      <c r="BI36" s="143">
        <f t="shared" si="233"/>
        <v>0</v>
      </c>
      <c r="BJ36" s="133" t="e">
        <f t="shared" si="234"/>
        <v>#DIV/0!</v>
      </c>
      <c r="BK36" s="143">
        <f t="shared" si="235"/>
        <v>0</v>
      </c>
      <c r="BL36" s="133" t="e">
        <f t="shared" si="236"/>
        <v>#DIV/0!</v>
      </c>
      <c r="BM36" s="143">
        <f t="shared" si="237"/>
        <v>0</v>
      </c>
      <c r="BN36" s="133" t="e">
        <f t="shared" si="238"/>
        <v>#DIV/0!</v>
      </c>
      <c r="BO36" s="147">
        <f t="shared" si="239"/>
        <v>0</v>
      </c>
      <c r="BP36" s="147" t="e">
        <f t="shared" si="240"/>
        <v>#DIV/0!</v>
      </c>
      <c r="BR36" s="147">
        <f t="shared" si="241"/>
        <v>0</v>
      </c>
      <c r="BS36" s="147" t="e">
        <f t="shared" si="242"/>
        <v>#DIV/0!</v>
      </c>
      <c r="BT36" s="143">
        <f t="shared" si="243"/>
        <v>0</v>
      </c>
      <c r="BU36" s="147" t="e">
        <f t="shared" si="244"/>
        <v>#DIV/0!</v>
      </c>
      <c r="BV36" s="143">
        <f t="shared" si="245"/>
        <v>0</v>
      </c>
      <c r="BW36" s="143" t="e">
        <f t="shared" si="246"/>
        <v>#DIV/0!</v>
      </c>
      <c r="BX36" s="3">
        <v>1.6986774770655257E-12</v>
      </c>
      <c r="BY36" s="3">
        <v>9.4454002365720605E-16</v>
      </c>
      <c r="BZ36" s="157">
        <f t="shared" si="247"/>
        <v>0</v>
      </c>
      <c r="CA36" s="157" t="e">
        <f t="shared" si="248"/>
        <v>#DIV/0!</v>
      </c>
      <c r="CB36" s="157">
        <f t="shared" si="249"/>
        <v>0</v>
      </c>
      <c r="CC36" s="158" t="e">
        <f t="shared" si="250"/>
        <v>#DIV/0!</v>
      </c>
      <c r="CD36" s="157">
        <f t="shared" si="251"/>
        <v>0</v>
      </c>
      <c r="CE36" s="477" t="e">
        <f t="shared" si="252"/>
        <v>#DIV/0!</v>
      </c>
      <c r="CF36" s="157">
        <f t="shared" si="253"/>
        <v>0</v>
      </c>
      <c r="CG36" s="157" t="e">
        <f t="shared" si="254"/>
        <v>#DIV/0!</v>
      </c>
      <c r="CH36" s="157">
        <f t="shared" si="255"/>
        <v>0</v>
      </c>
      <c r="CI36" s="157" t="e">
        <f t="shared" si="256"/>
        <v>#DIV/0!</v>
      </c>
      <c r="CJ36" s="157">
        <f t="shared" si="257"/>
        <v>0</v>
      </c>
      <c r="CK36" s="157" t="e">
        <f t="shared" si="258"/>
        <v>#DIV/0!</v>
      </c>
      <c r="CL36" s="157">
        <f t="shared" si="259"/>
        <v>0</v>
      </c>
      <c r="CM36" s="157" t="e">
        <f t="shared" si="260"/>
        <v>#DIV/0!</v>
      </c>
      <c r="CN36" s="66">
        <v>5.1340830000000002E-3</v>
      </c>
      <c r="CO36" s="66">
        <v>7.5577700000000003E-6</v>
      </c>
      <c r="CP36" s="3">
        <v>1.1139738540500025E+19</v>
      </c>
      <c r="CQ36" s="60">
        <v>1.0453256904066513E+18</v>
      </c>
      <c r="CR36" s="3">
        <v>8.0438364680336474E+17</v>
      </c>
      <c r="CS36" s="3">
        <v>8.527140119058072E+16</v>
      </c>
      <c r="CT36" s="6">
        <v>0.49881143094597263</v>
      </c>
      <c r="CU36" s="6">
        <v>4.5926073391395927E-2</v>
      </c>
      <c r="CV36" s="4">
        <v>24.581879797320056</v>
      </c>
      <c r="CW36" s="4">
        <v>0.55629982285426871</v>
      </c>
      <c r="CX36" s="157">
        <f t="shared" si="261"/>
        <v>0</v>
      </c>
      <c r="CY36" s="157" t="e">
        <f t="shared" si="262"/>
        <v>#DIV/0!</v>
      </c>
      <c r="CZ36" s="133">
        <f t="shared" si="263"/>
        <v>0</v>
      </c>
      <c r="DA36" s="133" t="e">
        <f t="shared" si="264"/>
        <v>#DIV/0!</v>
      </c>
      <c r="DB36" s="159">
        <f t="shared" si="265"/>
        <v>0</v>
      </c>
      <c r="DC36" s="167" t="e">
        <f t="shared" si="266"/>
        <v>#DIV/0!</v>
      </c>
      <c r="DD36" s="157">
        <f t="shared" si="267"/>
        <v>0</v>
      </c>
      <c r="DE36" s="157" t="e">
        <f t="shared" si="268"/>
        <v>#DIV/0!</v>
      </c>
      <c r="DF36" s="147">
        <f t="shared" si="269"/>
        <v>0</v>
      </c>
      <c r="DG36" s="133" t="e">
        <f t="shared" si="270"/>
        <v>#DIV/0!</v>
      </c>
      <c r="DH36" s="159">
        <f t="shared" si="271"/>
        <v>0</v>
      </c>
      <c r="DI36" s="167" t="e">
        <f t="shared" si="272"/>
        <v>#DIV/0!</v>
      </c>
      <c r="DJ36" s="157">
        <f t="shared" si="273"/>
        <v>0</v>
      </c>
      <c r="DK36" s="157" t="e">
        <f t="shared" si="274"/>
        <v>#DIV/0!</v>
      </c>
      <c r="DL36" s="143">
        <f t="shared" si="275"/>
        <v>0</v>
      </c>
      <c r="DM36" s="143" t="e">
        <f t="shared" si="276"/>
        <v>#DIV/0!</v>
      </c>
      <c r="DN36" s="147">
        <f t="shared" si="277"/>
        <v>0</v>
      </c>
      <c r="DO36" s="147" t="e">
        <f t="shared" si="278"/>
        <v>#DIV/0!</v>
      </c>
      <c r="DP36" s="133" t="e">
        <f t="shared" si="279"/>
        <v>#DIV/0!</v>
      </c>
      <c r="DQ36" s="133" t="e">
        <f t="shared" si="280"/>
        <v>#DIV/0!</v>
      </c>
      <c r="DR36" s="133" t="e">
        <f t="shared" si="281"/>
        <v>#DIV/0!</v>
      </c>
      <c r="DS36" s="133" t="e">
        <f t="shared" si="282"/>
        <v>#DIV/0!</v>
      </c>
      <c r="DT36" s="133" t="e">
        <f t="shared" si="283"/>
        <v>#DIV/0!</v>
      </c>
      <c r="DU36" s="133" t="e">
        <f t="shared" si="284"/>
        <v>#DIV/0!</v>
      </c>
      <c r="DV36" s="133" t="e">
        <f t="shared" si="285"/>
        <v>#DIV/0!</v>
      </c>
      <c r="DW36" s="133" t="e">
        <f t="shared" si="286"/>
        <v>#DIV/0!</v>
      </c>
      <c r="DX36" s="157" t="e">
        <f t="shared" si="287"/>
        <v>#DIV/0!</v>
      </c>
      <c r="DY36" s="157" t="e">
        <f t="shared" si="288"/>
        <v>#DIV/0!</v>
      </c>
      <c r="DZ36" s="147" t="e">
        <f t="shared" si="289"/>
        <v>#DIV/0!</v>
      </c>
      <c r="EA36" s="147" t="e">
        <f t="shared" si="290"/>
        <v>#DIV/0!</v>
      </c>
      <c r="EB36" s="157" t="e">
        <f t="shared" si="291"/>
        <v>#DIV/0!</v>
      </c>
      <c r="EC36" s="157" t="e">
        <f t="shared" si="292"/>
        <v>#DIV/0!</v>
      </c>
      <c r="ED36" s="147" t="e">
        <f t="shared" si="293"/>
        <v>#DIV/0!</v>
      </c>
      <c r="EE36" s="147" t="e">
        <f t="shared" si="294"/>
        <v>#DIV/0!</v>
      </c>
      <c r="EF36" s="147" t="e">
        <f t="shared" si="295"/>
        <v>#DIV/0!</v>
      </c>
      <c r="EG36" s="147" t="e">
        <f t="shared" si="296"/>
        <v>#DIV/0!</v>
      </c>
      <c r="EH36" s="147" t="e">
        <f t="shared" si="297"/>
        <v>#DIV/0!</v>
      </c>
      <c r="EI36" s="147" t="e">
        <f t="shared" si="298"/>
        <v>#DIV/0!</v>
      </c>
      <c r="EJ36" s="501">
        <f t="shared" ref="EJ36:EJ47" si="310">CF36/$CF$19</f>
        <v>0</v>
      </c>
      <c r="EK36" s="133" t="e">
        <f t="shared" si="299"/>
        <v>#DIV/0!</v>
      </c>
      <c r="EL36" s="133" t="e">
        <f t="shared" si="299"/>
        <v>#DIV/0!</v>
      </c>
      <c r="EM36" s="147" t="e">
        <f t="shared" si="300"/>
        <v>#DIV/0!</v>
      </c>
      <c r="EN36" s="147" t="e">
        <f t="shared" si="301"/>
        <v>#DIV/0!</v>
      </c>
      <c r="EO36" s="143" t="e">
        <f t="shared" si="302"/>
        <v>#DIV/0!</v>
      </c>
      <c r="EP36" s="143" t="e">
        <f t="shared" si="303"/>
        <v>#DIV/0!</v>
      </c>
      <c r="EQ36" s="157" t="e">
        <f t="shared" si="304"/>
        <v>#DIV/0!</v>
      </c>
      <c r="ER36" s="157" t="e">
        <f t="shared" si="305"/>
        <v>#DIV/0!</v>
      </c>
      <c r="ES36" s="157" t="e">
        <f t="shared" si="306"/>
        <v>#DIV/0!</v>
      </c>
      <c r="ET36" s="157" t="e">
        <f t="shared" si="307"/>
        <v>#DIV/0!</v>
      </c>
      <c r="LQ36" s="214" t="str">
        <f t="shared" si="96"/>
        <v>A1x Bulk</v>
      </c>
      <c r="LR36" s="214" t="str">
        <f t="shared" si="97"/>
        <v>MN2022a</v>
      </c>
      <c r="LS36" s="211">
        <f t="shared" si="98"/>
        <v>0</v>
      </c>
      <c r="LT36" s="211" t="str">
        <f t="shared" si="99"/>
        <v/>
      </c>
      <c r="LU36" s="211">
        <f t="shared" si="100"/>
        <v>0</v>
      </c>
      <c r="LV36" s="211" t="e">
        <f t="shared" si="101"/>
        <v>#DIV/0!</v>
      </c>
      <c r="LW36" s="211">
        <f t="shared" si="102"/>
        <v>0</v>
      </c>
      <c r="LX36" s="211" t="e">
        <f t="shared" si="103"/>
        <v>#DIV/0!</v>
      </c>
      <c r="LY36" s="211"/>
      <c r="LZ36" s="211"/>
      <c r="MA36" s="211"/>
      <c r="MB36" s="211"/>
      <c r="MC36" s="211"/>
      <c r="MD36" s="211"/>
      <c r="ME36" s="211"/>
      <c r="MF36" s="211"/>
      <c r="MG36" s="211"/>
      <c r="MH36" s="211"/>
      <c r="MI36" s="211"/>
      <c r="MJ36" s="211"/>
      <c r="MK36" s="211"/>
      <c r="ML36" s="211"/>
      <c r="MM36" s="211"/>
      <c r="MN36" s="211"/>
      <c r="MO36" s="506" t="e">
        <f t="shared" si="107"/>
        <v>#DIV/0!</v>
      </c>
      <c r="MP36" s="506" t="e">
        <f t="shared" si="107"/>
        <v>#DIV/0!</v>
      </c>
      <c r="MQ36" s="109"/>
      <c r="MR36" s="109"/>
      <c r="MS36" s="109"/>
      <c r="MT36" s="109"/>
      <c r="MU36" s="109"/>
      <c r="MV36" s="109"/>
      <c r="MW36" s="506" t="e">
        <f t="shared" si="108"/>
        <v>#DIV/0!</v>
      </c>
      <c r="MX36" s="506" t="e">
        <f t="shared" si="108"/>
        <v>#DIV/0!</v>
      </c>
      <c r="MY36" s="109"/>
      <c r="MZ36" s="109"/>
      <c r="NA36" s="109"/>
      <c r="NB36" s="109"/>
      <c r="NC36" s="109"/>
      <c r="ND36" s="109"/>
    </row>
    <row r="37" spans="2:368">
      <c r="B37" s="245" t="s">
        <v>934</v>
      </c>
      <c r="C37" s="5">
        <f t="shared" si="308"/>
        <v>1.11E-2</v>
      </c>
      <c r="D37" s="66">
        <f t="shared" si="309"/>
        <v>5.5500000000000001E-5</v>
      </c>
      <c r="E37" s="67">
        <v>44727</v>
      </c>
      <c r="F37" s="5" t="s">
        <v>210</v>
      </c>
      <c r="G37" s="5" t="s">
        <v>893</v>
      </c>
      <c r="H37" s="5">
        <v>1</v>
      </c>
      <c r="J37" s="327">
        <v>44644</v>
      </c>
      <c r="K37" s="67" t="s">
        <v>823</v>
      </c>
      <c r="L37" s="5">
        <v>1.5</v>
      </c>
      <c r="M37" s="5">
        <v>1.35</v>
      </c>
      <c r="N37" s="5">
        <v>30</v>
      </c>
      <c r="O37" s="1"/>
      <c r="P37" s="1"/>
      <c r="Q37" s="1"/>
      <c r="R37" s="1"/>
      <c r="S37" s="1"/>
      <c r="T37" s="1"/>
      <c r="U37" s="1"/>
      <c r="V37" s="1"/>
      <c r="W37" s="1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133">
        <f t="shared" si="211"/>
        <v>0</v>
      </c>
      <c r="AJ37" s="133">
        <f t="shared" si="212"/>
        <v>0</v>
      </c>
      <c r="AK37" s="133">
        <f t="shared" si="213"/>
        <v>0</v>
      </c>
      <c r="AL37" s="133">
        <f t="shared" si="214"/>
        <v>0</v>
      </c>
      <c r="AM37" s="133">
        <f t="shared" si="215"/>
        <v>0</v>
      </c>
      <c r="AN37" s="133">
        <f t="shared" si="216"/>
        <v>0</v>
      </c>
      <c r="AO37" s="133">
        <f t="shared" si="217"/>
        <v>0</v>
      </c>
      <c r="AP37" s="133">
        <f t="shared" si="218"/>
        <v>0</v>
      </c>
      <c r="AQ37" s="133">
        <f t="shared" si="219"/>
        <v>0</v>
      </c>
      <c r="AR37" s="133">
        <f t="shared" si="220"/>
        <v>0</v>
      </c>
      <c r="AS37" s="5">
        <v>300.7</v>
      </c>
      <c r="AT37" s="5">
        <v>0.28000000000000003</v>
      </c>
      <c r="AU37" s="133">
        <f t="shared" si="221"/>
        <v>0</v>
      </c>
      <c r="AV37" s="133" t="e">
        <f t="shared" si="222"/>
        <v>#DIV/0!</v>
      </c>
      <c r="AW37" s="133">
        <f t="shared" si="223"/>
        <v>0</v>
      </c>
      <c r="AX37" s="133" t="e">
        <f t="shared" si="224"/>
        <v>#DIV/0!</v>
      </c>
      <c r="AY37" s="133">
        <f t="shared" si="225"/>
        <v>0</v>
      </c>
      <c r="AZ37" s="133" t="e">
        <f t="shared" si="226"/>
        <v>#DIV/0!</v>
      </c>
      <c r="BA37" s="133">
        <f t="shared" si="227"/>
        <v>0</v>
      </c>
      <c r="BB37" s="133" t="e">
        <f t="shared" si="228"/>
        <v>#DIV/0!</v>
      </c>
      <c r="BC37" s="6"/>
      <c r="BD37" s="8"/>
      <c r="BE37" s="133">
        <f t="shared" si="229"/>
        <v>0</v>
      </c>
      <c r="BF37" s="133" t="e">
        <f t="shared" si="230"/>
        <v>#DIV/0!</v>
      </c>
      <c r="BG37" s="133">
        <f t="shared" si="231"/>
        <v>0</v>
      </c>
      <c r="BH37" s="133" t="e">
        <f t="shared" si="232"/>
        <v>#DIV/0!</v>
      </c>
      <c r="BI37" s="143">
        <f t="shared" si="233"/>
        <v>0</v>
      </c>
      <c r="BJ37" s="133" t="e">
        <f t="shared" si="234"/>
        <v>#DIV/0!</v>
      </c>
      <c r="BK37" s="143">
        <f t="shared" si="235"/>
        <v>0</v>
      </c>
      <c r="BL37" s="133" t="e">
        <f t="shared" si="236"/>
        <v>#DIV/0!</v>
      </c>
      <c r="BM37" s="143">
        <f t="shared" si="237"/>
        <v>0</v>
      </c>
      <c r="BN37" s="133" t="e">
        <f t="shared" si="238"/>
        <v>#DIV/0!</v>
      </c>
      <c r="BO37" s="147">
        <f t="shared" si="239"/>
        <v>0</v>
      </c>
      <c r="BP37" s="147" t="e">
        <f t="shared" si="240"/>
        <v>#DIV/0!</v>
      </c>
      <c r="BR37" s="147">
        <f t="shared" si="241"/>
        <v>0</v>
      </c>
      <c r="BS37" s="147" t="e">
        <f t="shared" si="242"/>
        <v>#DIV/0!</v>
      </c>
      <c r="BT37" s="143">
        <f t="shared" si="243"/>
        <v>0</v>
      </c>
      <c r="BU37" s="147" t="e">
        <f t="shared" si="244"/>
        <v>#DIV/0!</v>
      </c>
      <c r="BV37" s="143">
        <f t="shared" si="245"/>
        <v>0</v>
      </c>
      <c r="BW37" s="143" t="e">
        <f t="shared" si="246"/>
        <v>#DIV/0!</v>
      </c>
      <c r="BX37" s="3">
        <v>1.6986774770655257E-12</v>
      </c>
      <c r="BY37" s="3">
        <v>9.4454002365720605E-16</v>
      </c>
      <c r="BZ37" s="157">
        <f t="shared" si="247"/>
        <v>0</v>
      </c>
      <c r="CA37" s="157" t="e">
        <f t="shared" si="248"/>
        <v>#DIV/0!</v>
      </c>
      <c r="CB37" s="157">
        <f t="shared" si="249"/>
        <v>0</v>
      </c>
      <c r="CC37" s="158" t="e">
        <f t="shared" si="250"/>
        <v>#DIV/0!</v>
      </c>
      <c r="CD37" s="157">
        <f t="shared" si="251"/>
        <v>0</v>
      </c>
      <c r="CE37" s="477" t="e">
        <f t="shared" si="252"/>
        <v>#DIV/0!</v>
      </c>
      <c r="CF37" s="157">
        <f t="shared" si="253"/>
        <v>0</v>
      </c>
      <c r="CG37" s="157" t="e">
        <f t="shared" si="254"/>
        <v>#DIV/0!</v>
      </c>
      <c r="CH37" s="157">
        <f t="shared" si="255"/>
        <v>0</v>
      </c>
      <c r="CI37" s="157" t="e">
        <f t="shared" si="256"/>
        <v>#DIV/0!</v>
      </c>
      <c r="CJ37" s="157">
        <f t="shared" si="257"/>
        <v>0</v>
      </c>
      <c r="CK37" s="157" t="e">
        <f t="shared" si="258"/>
        <v>#DIV/0!</v>
      </c>
      <c r="CL37" s="157">
        <f t="shared" si="259"/>
        <v>0</v>
      </c>
      <c r="CM37" s="157" t="e">
        <f t="shared" si="260"/>
        <v>#DIV/0!</v>
      </c>
      <c r="CN37" s="66">
        <v>5.1340830000000002E-3</v>
      </c>
      <c r="CO37" s="66">
        <v>7.5577700000000003E-6</v>
      </c>
      <c r="CP37" s="3">
        <v>1.1139738540500025E+19</v>
      </c>
      <c r="CQ37" s="60">
        <v>1.0453256904066513E+18</v>
      </c>
      <c r="CR37" s="3">
        <v>8.0438364680336474E+17</v>
      </c>
      <c r="CS37" s="3">
        <v>8.527140119058072E+16</v>
      </c>
      <c r="CT37" s="6">
        <v>0.49881143094597263</v>
      </c>
      <c r="CU37" s="6">
        <v>4.5926073391395927E-2</v>
      </c>
      <c r="CV37" s="4">
        <v>24.581879797320056</v>
      </c>
      <c r="CW37" s="4">
        <v>0.55629982285426871</v>
      </c>
      <c r="CX37" s="157">
        <f t="shared" si="261"/>
        <v>0</v>
      </c>
      <c r="CY37" s="157" t="e">
        <f t="shared" si="262"/>
        <v>#DIV/0!</v>
      </c>
      <c r="CZ37" s="133">
        <f t="shared" si="263"/>
        <v>0</v>
      </c>
      <c r="DA37" s="133" t="e">
        <f t="shared" si="264"/>
        <v>#DIV/0!</v>
      </c>
      <c r="DB37" s="159">
        <f t="shared" si="265"/>
        <v>0</v>
      </c>
      <c r="DC37" s="167" t="e">
        <f t="shared" si="266"/>
        <v>#DIV/0!</v>
      </c>
      <c r="DD37" s="157">
        <f t="shared" si="267"/>
        <v>0</v>
      </c>
      <c r="DE37" s="157" t="e">
        <f t="shared" si="268"/>
        <v>#DIV/0!</v>
      </c>
      <c r="DF37" s="147">
        <f t="shared" si="269"/>
        <v>0</v>
      </c>
      <c r="DG37" s="133" t="e">
        <f t="shared" si="270"/>
        <v>#DIV/0!</v>
      </c>
      <c r="DH37" s="159">
        <f t="shared" si="271"/>
        <v>0</v>
      </c>
      <c r="DI37" s="167" t="e">
        <f t="shared" si="272"/>
        <v>#DIV/0!</v>
      </c>
      <c r="DJ37" s="157">
        <f t="shared" si="273"/>
        <v>0</v>
      </c>
      <c r="DK37" s="157" t="e">
        <f t="shared" si="274"/>
        <v>#DIV/0!</v>
      </c>
      <c r="DL37" s="143">
        <f t="shared" si="275"/>
        <v>0</v>
      </c>
      <c r="DM37" s="143" t="e">
        <f t="shared" si="276"/>
        <v>#DIV/0!</v>
      </c>
      <c r="DN37" s="147">
        <f t="shared" si="277"/>
        <v>0</v>
      </c>
      <c r="DO37" s="147" t="e">
        <f t="shared" si="278"/>
        <v>#DIV/0!</v>
      </c>
      <c r="DP37" s="133" t="e">
        <f t="shared" si="279"/>
        <v>#DIV/0!</v>
      </c>
      <c r="DQ37" s="133" t="e">
        <f t="shared" si="280"/>
        <v>#DIV/0!</v>
      </c>
      <c r="DR37" s="133" t="e">
        <f t="shared" si="281"/>
        <v>#DIV/0!</v>
      </c>
      <c r="DS37" s="133" t="e">
        <f t="shared" si="282"/>
        <v>#DIV/0!</v>
      </c>
      <c r="DT37" s="133" t="e">
        <f t="shared" si="283"/>
        <v>#DIV/0!</v>
      </c>
      <c r="DU37" s="133" t="e">
        <f t="shared" si="284"/>
        <v>#DIV/0!</v>
      </c>
      <c r="DV37" s="133" t="e">
        <f t="shared" si="285"/>
        <v>#DIV/0!</v>
      </c>
      <c r="DW37" s="133" t="e">
        <f t="shared" si="286"/>
        <v>#DIV/0!</v>
      </c>
      <c r="DX37" s="157" t="e">
        <f t="shared" si="287"/>
        <v>#DIV/0!</v>
      </c>
      <c r="DY37" s="157" t="e">
        <f t="shared" si="288"/>
        <v>#DIV/0!</v>
      </c>
      <c r="DZ37" s="147" t="e">
        <f t="shared" si="289"/>
        <v>#DIV/0!</v>
      </c>
      <c r="EA37" s="147" t="e">
        <f t="shared" si="290"/>
        <v>#DIV/0!</v>
      </c>
      <c r="EB37" s="157" t="e">
        <f t="shared" si="291"/>
        <v>#DIV/0!</v>
      </c>
      <c r="EC37" s="157" t="e">
        <f t="shared" si="292"/>
        <v>#DIV/0!</v>
      </c>
      <c r="ED37" s="147" t="e">
        <f t="shared" si="293"/>
        <v>#DIV/0!</v>
      </c>
      <c r="EE37" s="147" t="e">
        <f t="shared" si="294"/>
        <v>#DIV/0!</v>
      </c>
      <c r="EF37" s="147" t="e">
        <f t="shared" si="295"/>
        <v>#DIV/0!</v>
      </c>
      <c r="EG37" s="143" t="e">
        <f t="shared" si="296"/>
        <v>#DIV/0!</v>
      </c>
      <c r="EH37" s="147" t="e">
        <f t="shared" si="297"/>
        <v>#DIV/0!</v>
      </c>
      <c r="EI37" s="147" t="e">
        <f t="shared" si="298"/>
        <v>#DIV/0!</v>
      </c>
      <c r="EJ37" s="501">
        <f t="shared" si="310"/>
        <v>0</v>
      </c>
      <c r="EK37" s="143" t="e">
        <f t="shared" si="299"/>
        <v>#DIV/0!</v>
      </c>
      <c r="EL37" s="143" t="e">
        <f t="shared" si="299"/>
        <v>#DIV/0!</v>
      </c>
      <c r="EM37" s="147" t="e">
        <f t="shared" si="300"/>
        <v>#DIV/0!</v>
      </c>
      <c r="EN37" s="147" t="e">
        <f t="shared" si="301"/>
        <v>#DIV/0!</v>
      </c>
      <c r="EO37" s="143" t="e">
        <f t="shared" si="302"/>
        <v>#DIV/0!</v>
      </c>
      <c r="EP37" s="143" t="e">
        <f t="shared" si="303"/>
        <v>#DIV/0!</v>
      </c>
      <c r="EQ37" s="157" t="e">
        <f t="shared" si="304"/>
        <v>#DIV/0!</v>
      </c>
      <c r="ER37" s="157" t="e">
        <f t="shared" si="305"/>
        <v>#DIV/0!</v>
      </c>
      <c r="ES37" s="157" t="e">
        <f t="shared" si="306"/>
        <v>#DIV/0!</v>
      </c>
      <c r="ET37" s="157" t="e">
        <f t="shared" si="307"/>
        <v>#DIV/0!</v>
      </c>
      <c r="LQ37" s="214" t="str">
        <f t="shared" si="96"/>
        <v>A1x Bulk</v>
      </c>
      <c r="LR37" s="214" t="str">
        <f t="shared" si="97"/>
        <v>MN2022a</v>
      </c>
      <c r="LS37" s="211">
        <f t="shared" si="98"/>
        <v>0</v>
      </c>
      <c r="LT37" s="211" t="str">
        <f t="shared" si="99"/>
        <v/>
      </c>
      <c r="LU37" s="211">
        <f t="shared" si="100"/>
        <v>0</v>
      </c>
      <c r="LV37" s="211" t="e">
        <f t="shared" si="101"/>
        <v>#DIV/0!</v>
      </c>
      <c r="LW37" s="211">
        <f t="shared" si="102"/>
        <v>0</v>
      </c>
      <c r="LX37" s="211" t="e">
        <f t="shared" si="103"/>
        <v>#DIV/0!</v>
      </c>
      <c r="LY37" s="211"/>
      <c r="LZ37" s="211"/>
      <c r="MA37" s="211"/>
      <c r="MB37" s="211"/>
      <c r="MC37" s="211"/>
      <c r="MD37" s="211"/>
      <c r="ME37" s="211"/>
      <c r="MF37" s="211"/>
      <c r="MG37" s="211"/>
      <c r="MH37" s="211"/>
      <c r="MI37" s="211"/>
      <c r="MJ37" s="211"/>
      <c r="MK37" s="211"/>
      <c r="ML37" s="211"/>
      <c r="MM37" s="211"/>
      <c r="MN37" s="211"/>
      <c r="MO37" s="506" t="e">
        <f t="shared" si="107"/>
        <v>#DIV/0!</v>
      </c>
      <c r="MP37" s="506" t="e">
        <f t="shared" si="107"/>
        <v>#DIV/0!</v>
      </c>
      <c r="MQ37" s="109"/>
      <c r="MR37" s="109"/>
      <c r="MS37" s="109"/>
      <c r="MT37" s="109"/>
      <c r="MU37" s="109"/>
      <c r="MV37" s="109"/>
      <c r="MW37" s="506" t="e">
        <f t="shared" si="108"/>
        <v>#DIV/0!</v>
      </c>
      <c r="MX37" s="506" t="e">
        <f t="shared" si="108"/>
        <v>#DIV/0!</v>
      </c>
      <c r="MY37" s="109"/>
      <c r="MZ37" s="109"/>
      <c r="NA37" s="109"/>
      <c r="NB37" s="109"/>
      <c r="NC37" s="109"/>
      <c r="ND37" s="109"/>
    </row>
    <row r="38" spans="2:368">
      <c r="B38" s="245" t="s">
        <v>934</v>
      </c>
      <c r="C38" s="5">
        <f t="shared" si="308"/>
        <v>1.11E-2</v>
      </c>
      <c r="D38" s="66">
        <f t="shared" si="309"/>
        <v>5.5500000000000001E-5</v>
      </c>
      <c r="E38" s="67">
        <v>44727</v>
      </c>
      <c r="F38" s="5" t="s">
        <v>210</v>
      </c>
      <c r="G38" s="5" t="s">
        <v>893</v>
      </c>
      <c r="H38" s="5">
        <v>1</v>
      </c>
      <c r="J38" s="327">
        <v>44644</v>
      </c>
      <c r="K38" s="67" t="s">
        <v>823</v>
      </c>
      <c r="L38" s="5">
        <v>2</v>
      </c>
      <c r="M38" s="5">
        <v>1.87</v>
      </c>
      <c r="N38" s="5">
        <v>30</v>
      </c>
      <c r="O38" s="6"/>
      <c r="P38" s="6"/>
      <c r="Q38" s="6"/>
      <c r="R38" s="6"/>
      <c r="S38" s="6"/>
      <c r="T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133">
        <f t="shared" si="211"/>
        <v>0</v>
      </c>
      <c r="AJ38" s="133">
        <f t="shared" si="212"/>
        <v>0</v>
      </c>
      <c r="AK38" s="133">
        <f t="shared" si="213"/>
        <v>0</v>
      </c>
      <c r="AL38" s="133">
        <f t="shared" si="214"/>
        <v>0</v>
      </c>
      <c r="AM38" s="133">
        <f t="shared" si="215"/>
        <v>0</v>
      </c>
      <c r="AN38" s="133">
        <f t="shared" si="216"/>
        <v>0</v>
      </c>
      <c r="AO38" s="133">
        <f t="shared" si="217"/>
        <v>0</v>
      </c>
      <c r="AP38" s="133">
        <f t="shared" si="218"/>
        <v>0</v>
      </c>
      <c r="AQ38" s="133">
        <f t="shared" si="219"/>
        <v>0</v>
      </c>
      <c r="AR38" s="133">
        <f t="shared" si="220"/>
        <v>0</v>
      </c>
      <c r="AS38" s="5">
        <v>300.7</v>
      </c>
      <c r="AT38" s="5">
        <v>0.28000000000000003</v>
      </c>
      <c r="AU38" s="133">
        <f t="shared" si="221"/>
        <v>0</v>
      </c>
      <c r="AV38" s="133" t="e">
        <f t="shared" si="222"/>
        <v>#DIV/0!</v>
      </c>
      <c r="AW38" s="133">
        <f t="shared" si="223"/>
        <v>0</v>
      </c>
      <c r="AX38" s="133" t="e">
        <f t="shared" si="224"/>
        <v>#DIV/0!</v>
      </c>
      <c r="AY38" s="133">
        <f t="shared" si="225"/>
        <v>0</v>
      </c>
      <c r="AZ38" s="133" t="e">
        <f t="shared" si="226"/>
        <v>#DIV/0!</v>
      </c>
      <c r="BA38" s="133">
        <f t="shared" si="227"/>
        <v>0</v>
      </c>
      <c r="BB38" s="133" t="e">
        <f t="shared" si="228"/>
        <v>#DIV/0!</v>
      </c>
      <c r="BC38" s="6"/>
      <c r="BD38" s="8"/>
      <c r="BE38" s="133">
        <f t="shared" si="229"/>
        <v>0</v>
      </c>
      <c r="BF38" s="133" t="e">
        <f t="shared" si="230"/>
        <v>#DIV/0!</v>
      </c>
      <c r="BG38" s="133">
        <f t="shared" si="231"/>
        <v>0</v>
      </c>
      <c r="BH38" s="133" t="e">
        <f t="shared" si="232"/>
        <v>#DIV/0!</v>
      </c>
      <c r="BI38" s="143">
        <f t="shared" si="233"/>
        <v>0</v>
      </c>
      <c r="BJ38" s="133" t="e">
        <f t="shared" si="234"/>
        <v>#DIV/0!</v>
      </c>
      <c r="BK38" s="143">
        <f t="shared" si="235"/>
        <v>0</v>
      </c>
      <c r="BL38" s="133" t="e">
        <f t="shared" si="236"/>
        <v>#DIV/0!</v>
      </c>
      <c r="BM38" s="143">
        <f t="shared" si="237"/>
        <v>0</v>
      </c>
      <c r="BN38" s="133" t="e">
        <f t="shared" si="238"/>
        <v>#DIV/0!</v>
      </c>
      <c r="BO38" s="147">
        <f t="shared" si="239"/>
        <v>0</v>
      </c>
      <c r="BP38" s="147" t="e">
        <f t="shared" si="240"/>
        <v>#DIV/0!</v>
      </c>
      <c r="BR38" s="147">
        <f t="shared" si="241"/>
        <v>0</v>
      </c>
      <c r="BS38" s="147" t="e">
        <f t="shared" si="242"/>
        <v>#DIV/0!</v>
      </c>
      <c r="BT38" s="143">
        <f t="shared" si="243"/>
        <v>0</v>
      </c>
      <c r="BU38" s="147" t="e">
        <f t="shared" si="244"/>
        <v>#DIV/0!</v>
      </c>
      <c r="BV38" s="143">
        <f t="shared" si="245"/>
        <v>0</v>
      </c>
      <c r="BW38" s="143" t="e">
        <f t="shared" si="246"/>
        <v>#DIV/0!</v>
      </c>
      <c r="BX38" s="3">
        <v>1.6986774770655257E-12</v>
      </c>
      <c r="BY38" s="3">
        <v>9.4454002365720605E-16</v>
      </c>
      <c r="BZ38" s="157">
        <f t="shared" si="247"/>
        <v>0</v>
      </c>
      <c r="CA38" s="157" t="e">
        <f t="shared" si="248"/>
        <v>#DIV/0!</v>
      </c>
      <c r="CB38" s="157">
        <f t="shared" si="249"/>
        <v>0</v>
      </c>
      <c r="CC38" s="158" t="e">
        <f t="shared" si="250"/>
        <v>#DIV/0!</v>
      </c>
      <c r="CD38" s="157">
        <f t="shared" si="251"/>
        <v>0</v>
      </c>
      <c r="CE38" s="477" t="e">
        <f t="shared" si="252"/>
        <v>#DIV/0!</v>
      </c>
      <c r="CF38" s="157">
        <f t="shared" si="253"/>
        <v>0</v>
      </c>
      <c r="CG38" s="157" t="e">
        <f t="shared" si="254"/>
        <v>#DIV/0!</v>
      </c>
      <c r="CH38" s="157">
        <f t="shared" si="255"/>
        <v>0</v>
      </c>
      <c r="CI38" s="157" t="e">
        <f t="shared" si="256"/>
        <v>#DIV/0!</v>
      </c>
      <c r="CJ38" s="157">
        <f t="shared" si="257"/>
        <v>0</v>
      </c>
      <c r="CK38" s="157" t="e">
        <f t="shared" si="258"/>
        <v>#DIV/0!</v>
      </c>
      <c r="CL38" s="157">
        <f t="shared" si="259"/>
        <v>0</v>
      </c>
      <c r="CM38" s="157" t="e">
        <f t="shared" si="260"/>
        <v>#DIV/0!</v>
      </c>
      <c r="CN38" s="66">
        <v>5.1340830000000002E-3</v>
      </c>
      <c r="CO38" s="66">
        <v>7.5577700000000003E-6</v>
      </c>
      <c r="CP38" s="3">
        <v>1.1139738540500025E+19</v>
      </c>
      <c r="CQ38" s="60">
        <v>1.0453256904066513E+18</v>
      </c>
      <c r="CR38" s="3">
        <v>8.0438364680336474E+17</v>
      </c>
      <c r="CS38" s="3">
        <v>8.527140119058072E+16</v>
      </c>
      <c r="CT38" s="6">
        <v>0.49881143094597263</v>
      </c>
      <c r="CU38" s="6">
        <v>4.5926073391395927E-2</v>
      </c>
      <c r="CV38" s="4">
        <v>24.581879797320056</v>
      </c>
      <c r="CW38" s="4">
        <v>0.55629982285426871</v>
      </c>
      <c r="CX38" s="157">
        <f t="shared" si="261"/>
        <v>0</v>
      </c>
      <c r="CY38" s="157" t="e">
        <f t="shared" si="262"/>
        <v>#DIV/0!</v>
      </c>
      <c r="CZ38" s="133">
        <f t="shared" si="263"/>
        <v>0</v>
      </c>
      <c r="DA38" s="133" t="e">
        <f t="shared" si="264"/>
        <v>#DIV/0!</v>
      </c>
      <c r="DB38" s="159">
        <f t="shared" si="265"/>
        <v>0</v>
      </c>
      <c r="DC38" s="167" t="e">
        <f t="shared" si="266"/>
        <v>#DIV/0!</v>
      </c>
      <c r="DD38" s="157">
        <f t="shared" si="267"/>
        <v>0</v>
      </c>
      <c r="DE38" s="157" t="e">
        <f t="shared" si="268"/>
        <v>#DIV/0!</v>
      </c>
      <c r="DF38" s="147">
        <f t="shared" si="269"/>
        <v>0</v>
      </c>
      <c r="DG38" s="133" t="e">
        <f t="shared" si="270"/>
        <v>#DIV/0!</v>
      </c>
      <c r="DH38" s="159">
        <f t="shared" si="271"/>
        <v>0</v>
      </c>
      <c r="DI38" s="167" t="e">
        <f t="shared" si="272"/>
        <v>#DIV/0!</v>
      </c>
      <c r="DJ38" s="157">
        <f t="shared" si="273"/>
        <v>0</v>
      </c>
      <c r="DK38" s="157" t="e">
        <f t="shared" si="274"/>
        <v>#DIV/0!</v>
      </c>
      <c r="DL38" s="143">
        <f t="shared" si="275"/>
        <v>0</v>
      </c>
      <c r="DM38" s="143" t="e">
        <f t="shared" si="276"/>
        <v>#DIV/0!</v>
      </c>
      <c r="DN38" s="147">
        <f t="shared" si="277"/>
        <v>0</v>
      </c>
      <c r="DO38" s="147" t="e">
        <f t="shared" si="278"/>
        <v>#DIV/0!</v>
      </c>
      <c r="DP38" s="133" t="e">
        <f t="shared" si="279"/>
        <v>#DIV/0!</v>
      </c>
      <c r="DQ38" s="133" t="e">
        <f t="shared" si="280"/>
        <v>#DIV/0!</v>
      </c>
      <c r="DR38" s="133" t="e">
        <f t="shared" si="281"/>
        <v>#DIV/0!</v>
      </c>
      <c r="DS38" s="133" t="e">
        <f t="shared" si="282"/>
        <v>#DIV/0!</v>
      </c>
      <c r="DT38" s="133" t="e">
        <f t="shared" si="283"/>
        <v>#DIV/0!</v>
      </c>
      <c r="DU38" s="133" t="e">
        <f t="shared" si="284"/>
        <v>#DIV/0!</v>
      </c>
      <c r="DV38" s="133" t="e">
        <f t="shared" si="285"/>
        <v>#DIV/0!</v>
      </c>
      <c r="DW38" s="133" t="e">
        <f t="shared" si="286"/>
        <v>#DIV/0!</v>
      </c>
      <c r="DX38" s="157" t="e">
        <f t="shared" si="287"/>
        <v>#DIV/0!</v>
      </c>
      <c r="DY38" s="157" t="e">
        <f t="shared" si="288"/>
        <v>#DIV/0!</v>
      </c>
      <c r="DZ38" s="147" t="e">
        <f t="shared" si="289"/>
        <v>#DIV/0!</v>
      </c>
      <c r="EA38" s="147" t="e">
        <f t="shared" si="290"/>
        <v>#DIV/0!</v>
      </c>
      <c r="EB38" s="157" t="e">
        <f t="shared" si="291"/>
        <v>#DIV/0!</v>
      </c>
      <c r="EC38" s="157" t="e">
        <f t="shared" si="292"/>
        <v>#DIV/0!</v>
      </c>
      <c r="ED38" s="147" t="e">
        <f t="shared" si="293"/>
        <v>#DIV/0!</v>
      </c>
      <c r="EE38" s="147" t="e">
        <f t="shared" si="294"/>
        <v>#DIV/0!</v>
      </c>
      <c r="EF38" s="147" t="e">
        <f t="shared" si="295"/>
        <v>#DIV/0!</v>
      </c>
      <c r="EG38" s="143" t="e">
        <f t="shared" si="296"/>
        <v>#DIV/0!</v>
      </c>
      <c r="EH38" s="147" t="e">
        <f t="shared" si="297"/>
        <v>#DIV/0!</v>
      </c>
      <c r="EI38" s="147" t="e">
        <f t="shared" si="298"/>
        <v>#DIV/0!</v>
      </c>
      <c r="EJ38" s="501">
        <f t="shared" si="310"/>
        <v>0</v>
      </c>
      <c r="EK38" s="143" t="e">
        <f t="shared" si="299"/>
        <v>#DIV/0!</v>
      </c>
      <c r="EL38" s="143" t="e">
        <f t="shared" si="299"/>
        <v>#DIV/0!</v>
      </c>
      <c r="EM38" s="147" t="e">
        <f t="shared" si="300"/>
        <v>#DIV/0!</v>
      </c>
      <c r="EN38" s="147" t="e">
        <f t="shared" si="301"/>
        <v>#DIV/0!</v>
      </c>
      <c r="EO38" s="143" t="e">
        <f t="shared" si="302"/>
        <v>#DIV/0!</v>
      </c>
      <c r="EP38" s="143" t="e">
        <f t="shared" si="303"/>
        <v>#DIV/0!</v>
      </c>
      <c r="EQ38" s="157" t="e">
        <f t="shared" si="304"/>
        <v>#DIV/0!</v>
      </c>
      <c r="ER38" s="157" t="e">
        <f t="shared" si="305"/>
        <v>#DIV/0!</v>
      </c>
      <c r="ES38" s="157" t="e">
        <f t="shared" si="306"/>
        <v>#DIV/0!</v>
      </c>
      <c r="ET38" s="157" t="e">
        <f t="shared" si="307"/>
        <v>#DIV/0!</v>
      </c>
      <c r="LQ38" s="214" t="str">
        <f t="shared" si="96"/>
        <v>A1x Bulk</v>
      </c>
      <c r="LR38" s="214" t="str">
        <f t="shared" si="97"/>
        <v>MN2022a</v>
      </c>
      <c r="LS38" s="211">
        <f t="shared" si="98"/>
        <v>0</v>
      </c>
      <c r="LT38" s="211" t="str">
        <f t="shared" si="99"/>
        <v/>
      </c>
      <c r="LU38" s="211">
        <f t="shared" si="100"/>
        <v>0</v>
      </c>
      <c r="LV38" s="211" t="e">
        <f t="shared" si="101"/>
        <v>#DIV/0!</v>
      </c>
      <c r="LW38" s="211">
        <f t="shared" si="102"/>
        <v>0</v>
      </c>
      <c r="LX38" s="211" t="e">
        <f t="shared" si="103"/>
        <v>#DIV/0!</v>
      </c>
      <c r="LY38" s="211"/>
      <c r="LZ38" s="211"/>
      <c r="MA38" s="211"/>
      <c r="MB38" s="211"/>
      <c r="MC38" s="211"/>
      <c r="MD38" s="211"/>
      <c r="ME38" s="211"/>
      <c r="MF38" s="211"/>
      <c r="MG38" s="211"/>
      <c r="MH38" s="211"/>
      <c r="MI38" s="211"/>
      <c r="MJ38" s="211"/>
      <c r="MK38" s="211"/>
      <c r="ML38" s="211"/>
      <c r="MM38" s="211"/>
      <c r="MN38" s="211"/>
      <c r="MO38" s="506" t="e">
        <f t="shared" si="107"/>
        <v>#DIV/0!</v>
      </c>
      <c r="MP38" s="506" t="e">
        <f t="shared" si="107"/>
        <v>#DIV/0!</v>
      </c>
      <c r="MQ38" s="109"/>
      <c r="MR38" s="109"/>
      <c r="MS38" s="109"/>
      <c r="MT38" s="109"/>
      <c r="MU38" s="109"/>
      <c r="MV38" s="109"/>
      <c r="MW38" s="506" t="e">
        <f t="shared" si="108"/>
        <v>#DIV/0!</v>
      </c>
      <c r="MX38" s="506" t="e">
        <f t="shared" si="108"/>
        <v>#DIV/0!</v>
      </c>
      <c r="MY38" s="109"/>
      <c r="MZ38" s="109"/>
      <c r="NA38" s="109"/>
      <c r="NB38" s="109"/>
      <c r="NC38" s="109"/>
      <c r="ND38" s="109"/>
    </row>
    <row r="39" spans="2:368">
      <c r="B39" s="245" t="s">
        <v>934</v>
      </c>
      <c r="C39" s="5">
        <f t="shared" si="308"/>
        <v>1.11E-2</v>
      </c>
      <c r="D39" s="66">
        <f t="shared" si="309"/>
        <v>5.5500000000000001E-5</v>
      </c>
      <c r="E39" s="67">
        <v>44727</v>
      </c>
      <c r="F39" s="5" t="s">
        <v>210</v>
      </c>
      <c r="G39" s="5" t="s">
        <v>893</v>
      </c>
      <c r="H39" s="5">
        <v>1</v>
      </c>
      <c r="J39" s="327">
        <v>44644</v>
      </c>
      <c r="K39" s="67" t="s">
        <v>823</v>
      </c>
      <c r="L39" s="5">
        <v>3</v>
      </c>
      <c r="M39" s="5">
        <v>2.64</v>
      </c>
      <c r="N39" s="5">
        <v>30</v>
      </c>
      <c r="O39" s="6"/>
      <c r="P39" s="6"/>
      <c r="Q39" s="6"/>
      <c r="R39" s="6"/>
      <c r="S39" s="6"/>
      <c r="T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133">
        <f t="shared" si="211"/>
        <v>0</v>
      </c>
      <c r="AJ39" s="133">
        <f t="shared" si="212"/>
        <v>0</v>
      </c>
      <c r="AK39" s="133">
        <f t="shared" si="213"/>
        <v>0</v>
      </c>
      <c r="AL39" s="133">
        <f t="shared" si="214"/>
        <v>0</v>
      </c>
      <c r="AM39" s="133">
        <f t="shared" si="215"/>
        <v>0</v>
      </c>
      <c r="AN39" s="133">
        <f t="shared" si="216"/>
        <v>0</v>
      </c>
      <c r="AO39" s="133">
        <f t="shared" si="217"/>
        <v>0</v>
      </c>
      <c r="AP39" s="133">
        <f t="shared" si="218"/>
        <v>0</v>
      </c>
      <c r="AQ39" s="133">
        <f t="shared" si="219"/>
        <v>0</v>
      </c>
      <c r="AR39" s="133">
        <f t="shared" si="220"/>
        <v>0</v>
      </c>
      <c r="AS39" s="5">
        <v>300.7</v>
      </c>
      <c r="AT39" s="5">
        <v>0.28000000000000003</v>
      </c>
      <c r="AU39" s="133">
        <f t="shared" si="221"/>
        <v>0</v>
      </c>
      <c r="AV39" s="133" t="e">
        <f t="shared" si="222"/>
        <v>#DIV/0!</v>
      </c>
      <c r="AW39" s="133">
        <f t="shared" si="223"/>
        <v>0</v>
      </c>
      <c r="AX39" s="133" t="e">
        <f t="shared" si="224"/>
        <v>#DIV/0!</v>
      </c>
      <c r="AY39" s="133">
        <f t="shared" si="225"/>
        <v>0</v>
      </c>
      <c r="AZ39" s="133" t="e">
        <f t="shared" si="226"/>
        <v>#DIV/0!</v>
      </c>
      <c r="BA39" s="133">
        <f t="shared" si="227"/>
        <v>0</v>
      </c>
      <c r="BB39" s="133" t="e">
        <f t="shared" si="228"/>
        <v>#DIV/0!</v>
      </c>
      <c r="BC39" s="6"/>
      <c r="BD39" s="8"/>
      <c r="BE39" s="133">
        <f t="shared" si="229"/>
        <v>0</v>
      </c>
      <c r="BF39" s="133" t="e">
        <f t="shared" si="230"/>
        <v>#DIV/0!</v>
      </c>
      <c r="BG39" s="133">
        <f t="shared" si="231"/>
        <v>0</v>
      </c>
      <c r="BH39" s="133" t="e">
        <f t="shared" si="232"/>
        <v>#DIV/0!</v>
      </c>
      <c r="BI39" s="143">
        <f t="shared" si="233"/>
        <v>0</v>
      </c>
      <c r="BJ39" s="133" t="e">
        <f t="shared" si="234"/>
        <v>#DIV/0!</v>
      </c>
      <c r="BK39" s="143">
        <f t="shared" si="235"/>
        <v>0</v>
      </c>
      <c r="BL39" s="133" t="e">
        <f t="shared" si="236"/>
        <v>#DIV/0!</v>
      </c>
      <c r="BM39" s="143">
        <f t="shared" si="237"/>
        <v>0</v>
      </c>
      <c r="BN39" s="133" t="e">
        <f t="shared" si="238"/>
        <v>#DIV/0!</v>
      </c>
      <c r="BO39" s="147">
        <f t="shared" si="239"/>
        <v>0</v>
      </c>
      <c r="BP39" s="147" t="e">
        <f t="shared" si="240"/>
        <v>#DIV/0!</v>
      </c>
      <c r="BR39" s="147">
        <f t="shared" si="241"/>
        <v>0</v>
      </c>
      <c r="BS39" s="147" t="e">
        <f t="shared" si="242"/>
        <v>#DIV/0!</v>
      </c>
      <c r="BT39" s="143">
        <f t="shared" si="243"/>
        <v>0</v>
      </c>
      <c r="BU39" s="147" t="e">
        <f t="shared" si="244"/>
        <v>#DIV/0!</v>
      </c>
      <c r="BV39" s="143">
        <f t="shared" si="245"/>
        <v>0</v>
      </c>
      <c r="BW39" s="143" t="e">
        <f t="shared" si="246"/>
        <v>#DIV/0!</v>
      </c>
      <c r="BX39" s="3">
        <v>1.6986774770655257E-12</v>
      </c>
      <c r="BY39" s="3">
        <v>9.4454002365720605E-16</v>
      </c>
      <c r="BZ39" s="157">
        <f t="shared" si="247"/>
        <v>0</v>
      </c>
      <c r="CA39" s="157" t="e">
        <f t="shared" si="248"/>
        <v>#DIV/0!</v>
      </c>
      <c r="CB39" s="157">
        <f t="shared" si="249"/>
        <v>0</v>
      </c>
      <c r="CC39" s="158" t="e">
        <f t="shared" si="250"/>
        <v>#DIV/0!</v>
      </c>
      <c r="CD39" s="157">
        <f t="shared" si="251"/>
        <v>0</v>
      </c>
      <c r="CE39" s="477" t="e">
        <f t="shared" si="252"/>
        <v>#DIV/0!</v>
      </c>
      <c r="CF39" s="157">
        <f t="shared" si="253"/>
        <v>0</v>
      </c>
      <c r="CG39" s="157" t="e">
        <f t="shared" si="254"/>
        <v>#DIV/0!</v>
      </c>
      <c r="CH39" s="157">
        <f t="shared" si="255"/>
        <v>0</v>
      </c>
      <c r="CI39" s="157" t="e">
        <f t="shared" si="256"/>
        <v>#DIV/0!</v>
      </c>
      <c r="CJ39" s="157">
        <f t="shared" si="257"/>
        <v>0</v>
      </c>
      <c r="CK39" s="157" t="e">
        <f t="shared" si="258"/>
        <v>#DIV/0!</v>
      </c>
      <c r="CL39" s="157">
        <f t="shared" si="259"/>
        <v>0</v>
      </c>
      <c r="CM39" s="157" t="e">
        <f t="shared" si="260"/>
        <v>#DIV/0!</v>
      </c>
      <c r="CN39" s="66">
        <v>5.1340830000000002E-3</v>
      </c>
      <c r="CO39" s="66">
        <v>7.5577700000000003E-6</v>
      </c>
      <c r="CP39" s="3">
        <v>1.1139738540500025E+19</v>
      </c>
      <c r="CQ39" s="60">
        <v>1.0453256904066513E+18</v>
      </c>
      <c r="CR39" s="3">
        <v>8.0438364680336474E+17</v>
      </c>
      <c r="CS39" s="3">
        <v>8.527140119058072E+16</v>
      </c>
      <c r="CT39" s="6">
        <v>0.49881143094597263</v>
      </c>
      <c r="CU39" s="6">
        <v>4.5926073391395927E-2</v>
      </c>
      <c r="CV39" s="4">
        <v>24.581879797320056</v>
      </c>
      <c r="CW39" s="4">
        <v>0.55629982285426871</v>
      </c>
      <c r="CX39" s="157">
        <f t="shared" si="261"/>
        <v>0</v>
      </c>
      <c r="CY39" s="157" t="e">
        <f t="shared" si="262"/>
        <v>#DIV/0!</v>
      </c>
      <c r="CZ39" s="133">
        <f t="shared" si="263"/>
        <v>0</v>
      </c>
      <c r="DA39" s="133" t="e">
        <f t="shared" si="264"/>
        <v>#DIV/0!</v>
      </c>
      <c r="DB39" s="159">
        <f t="shared" si="265"/>
        <v>0</v>
      </c>
      <c r="DC39" s="167" t="e">
        <f t="shared" si="266"/>
        <v>#DIV/0!</v>
      </c>
      <c r="DD39" s="157">
        <f t="shared" si="267"/>
        <v>0</v>
      </c>
      <c r="DE39" s="157" t="e">
        <f t="shared" si="268"/>
        <v>#DIV/0!</v>
      </c>
      <c r="DF39" s="147">
        <f t="shared" si="269"/>
        <v>0</v>
      </c>
      <c r="DG39" s="133" t="e">
        <f t="shared" si="270"/>
        <v>#DIV/0!</v>
      </c>
      <c r="DH39" s="159">
        <f t="shared" si="271"/>
        <v>0</v>
      </c>
      <c r="DI39" s="167" t="e">
        <f t="shared" si="272"/>
        <v>#DIV/0!</v>
      </c>
      <c r="DJ39" s="157">
        <f t="shared" si="273"/>
        <v>0</v>
      </c>
      <c r="DK39" s="157" t="e">
        <f t="shared" si="274"/>
        <v>#DIV/0!</v>
      </c>
      <c r="DL39" s="143">
        <f t="shared" si="275"/>
        <v>0</v>
      </c>
      <c r="DM39" s="143" t="e">
        <f t="shared" si="276"/>
        <v>#DIV/0!</v>
      </c>
      <c r="DN39" s="147">
        <f t="shared" si="277"/>
        <v>0</v>
      </c>
      <c r="DO39" s="147" t="e">
        <f t="shared" si="278"/>
        <v>#DIV/0!</v>
      </c>
      <c r="DP39" s="133" t="e">
        <f t="shared" si="279"/>
        <v>#DIV/0!</v>
      </c>
      <c r="DQ39" s="133" t="e">
        <f t="shared" si="280"/>
        <v>#DIV/0!</v>
      </c>
      <c r="DR39" s="133" t="e">
        <f t="shared" si="281"/>
        <v>#DIV/0!</v>
      </c>
      <c r="DS39" s="133" t="e">
        <f t="shared" si="282"/>
        <v>#DIV/0!</v>
      </c>
      <c r="DT39" s="133" t="e">
        <f t="shared" si="283"/>
        <v>#DIV/0!</v>
      </c>
      <c r="DU39" s="133" t="e">
        <f t="shared" si="284"/>
        <v>#DIV/0!</v>
      </c>
      <c r="DV39" s="133" t="e">
        <f t="shared" si="285"/>
        <v>#DIV/0!</v>
      </c>
      <c r="DW39" s="133" t="e">
        <f t="shared" si="286"/>
        <v>#DIV/0!</v>
      </c>
      <c r="DX39" s="157" t="e">
        <f t="shared" si="287"/>
        <v>#DIV/0!</v>
      </c>
      <c r="DY39" s="157" t="e">
        <f t="shared" si="288"/>
        <v>#DIV/0!</v>
      </c>
      <c r="DZ39" s="147" t="e">
        <f t="shared" si="289"/>
        <v>#DIV/0!</v>
      </c>
      <c r="EA39" s="147" t="e">
        <f t="shared" si="290"/>
        <v>#DIV/0!</v>
      </c>
      <c r="EB39" s="157" t="e">
        <f t="shared" si="291"/>
        <v>#DIV/0!</v>
      </c>
      <c r="EC39" s="157" t="e">
        <f t="shared" si="292"/>
        <v>#DIV/0!</v>
      </c>
      <c r="ED39" s="147" t="e">
        <f t="shared" si="293"/>
        <v>#DIV/0!</v>
      </c>
      <c r="EE39" s="147" t="e">
        <f t="shared" si="294"/>
        <v>#DIV/0!</v>
      </c>
      <c r="EF39" s="147" t="e">
        <f t="shared" si="295"/>
        <v>#DIV/0!</v>
      </c>
      <c r="EG39" s="143" t="e">
        <f t="shared" si="296"/>
        <v>#DIV/0!</v>
      </c>
      <c r="EH39" s="147" t="e">
        <f t="shared" si="297"/>
        <v>#DIV/0!</v>
      </c>
      <c r="EI39" s="147" t="e">
        <f t="shared" si="298"/>
        <v>#DIV/0!</v>
      </c>
      <c r="EJ39" s="501">
        <f t="shared" si="310"/>
        <v>0</v>
      </c>
      <c r="EK39" s="143" t="e">
        <f t="shared" si="299"/>
        <v>#DIV/0!</v>
      </c>
      <c r="EL39" s="143" t="e">
        <f t="shared" si="299"/>
        <v>#DIV/0!</v>
      </c>
      <c r="EM39" s="147" t="e">
        <f t="shared" si="300"/>
        <v>#DIV/0!</v>
      </c>
      <c r="EN39" s="147" t="e">
        <f t="shared" si="301"/>
        <v>#DIV/0!</v>
      </c>
      <c r="EO39" s="143" t="e">
        <f t="shared" si="302"/>
        <v>#DIV/0!</v>
      </c>
      <c r="EP39" s="143" t="e">
        <f t="shared" si="303"/>
        <v>#DIV/0!</v>
      </c>
      <c r="EQ39" s="157" t="e">
        <f t="shared" si="304"/>
        <v>#DIV/0!</v>
      </c>
      <c r="ER39" s="157" t="e">
        <f t="shared" si="305"/>
        <v>#DIV/0!</v>
      </c>
      <c r="ES39" s="157" t="e">
        <f t="shared" si="306"/>
        <v>#DIV/0!</v>
      </c>
      <c r="ET39" s="157" t="e">
        <f t="shared" si="307"/>
        <v>#DIV/0!</v>
      </c>
      <c r="LQ39" s="214" t="str">
        <f t="shared" si="96"/>
        <v>A1x Bulk</v>
      </c>
      <c r="LR39" s="214" t="str">
        <f t="shared" si="97"/>
        <v>MN2022a</v>
      </c>
      <c r="LS39" s="211">
        <f t="shared" si="98"/>
        <v>0</v>
      </c>
      <c r="LT39" s="211" t="str">
        <f t="shared" si="99"/>
        <v/>
      </c>
      <c r="LU39" s="211">
        <f t="shared" si="100"/>
        <v>0</v>
      </c>
      <c r="LV39" s="211" t="e">
        <f t="shared" si="101"/>
        <v>#DIV/0!</v>
      </c>
      <c r="LW39" s="211">
        <f t="shared" si="102"/>
        <v>0</v>
      </c>
      <c r="LX39" s="211" t="e">
        <f t="shared" si="103"/>
        <v>#DIV/0!</v>
      </c>
      <c r="LY39" s="211"/>
      <c r="LZ39" s="211"/>
      <c r="MA39" s="211"/>
      <c r="MB39" s="211"/>
      <c r="MC39" s="211"/>
      <c r="MD39" s="211"/>
      <c r="ME39" s="211"/>
      <c r="MF39" s="211"/>
      <c r="MG39" s="211"/>
      <c r="MH39" s="211"/>
      <c r="MI39" s="211"/>
      <c r="MJ39" s="211"/>
      <c r="MK39" s="211"/>
      <c r="ML39" s="211"/>
      <c r="MM39" s="211"/>
      <c r="MN39" s="211"/>
      <c r="MO39" s="506" t="e">
        <f t="shared" si="107"/>
        <v>#DIV/0!</v>
      </c>
      <c r="MP39" s="506" t="e">
        <f t="shared" si="107"/>
        <v>#DIV/0!</v>
      </c>
      <c r="MQ39" s="109"/>
      <c r="MR39" s="109"/>
      <c r="MS39" s="109"/>
      <c r="MT39" s="109"/>
      <c r="MU39" s="109"/>
      <c r="MV39" s="109"/>
      <c r="MW39" s="506" t="e">
        <f t="shared" si="108"/>
        <v>#DIV/0!</v>
      </c>
      <c r="MX39" s="506" t="e">
        <f t="shared" si="108"/>
        <v>#DIV/0!</v>
      </c>
      <c r="MY39" s="109"/>
      <c r="MZ39" s="109"/>
      <c r="NA39" s="109"/>
      <c r="NB39" s="109"/>
      <c r="NC39" s="109"/>
      <c r="ND39" s="109"/>
    </row>
    <row r="40" spans="2:368">
      <c r="B40" s="245" t="s">
        <v>934</v>
      </c>
      <c r="C40" s="5">
        <f t="shared" si="308"/>
        <v>1.11E-2</v>
      </c>
      <c r="D40" s="66">
        <f t="shared" si="309"/>
        <v>5.5500000000000001E-5</v>
      </c>
      <c r="E40" s="67">
        <v>44727</v>
      </c>
      <c r="F40" s="5" t="s">
        <v>210</v>
      </c>
      <c r="G40" s="5" t="s">
        <v>893</v>
      </c>
      <c r="H40" s="5">
        <v>1</v>
      </c>
      <c r="J40" s="327">
        <v>44644</v>
      </c>
      <c r="K40" s="67" t="s">
        <v>823</v>
      </c>
      <c r="L40" s="5">
        <v>4</v>
      </c>
      <c r="M40" s="5">
        <v>2.95</v>
      </c>
      <c r="N40" s="5">
        <v>30</v>
      </c>
      <c r="O40" s="6"/>
      <c r="P40" s="6"/>
      <c r="Q40" s="6"/>
      <c r="R40" s="6"/>
      <c r="S40" s="6"/>
      <c r="T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133">
        <f t="shared" si="211"/>
        <v>0</v>
      </c>
      <c r="AJ40" s="133">
        <f t="shared" si="212"/>
        <v>0</v>
      </c>
      <c r="AK40" s="133">
        <f t="shared" si="213"/>
        <v>0</v>
      </c>
      <c r="AL40" s="133">
        <f t="shared" si="214"/>
        <v>0</v>
      </c>
      <c r="AM40" s="133">
        <f t="shared" si="215"/>
        <v>0</v>
      </c>
      <c r="AN40" s="133">
        <f t="shared" si="216"/>
        <v>0</v>
      </c>
      <c r="AO40" s="133">
        <f t="shared" si="217"/>
        <v>0</v>
      </c>
      <c r="AP40" s="133">
        <f t="shared" si="218"/>
        <v>0</v>
      </c>
      <c r="AQ40" s="133">
        <f t="shared" si="219"/>
        <v>0</v>
      </c>
      <c r="AR40" s="133">
        <f t="shared" si="220"/>
        <v>0</v>
      </c>
      <c r="AS40" s="5">
        <v>300.7</v>
      </c>
      <c r="AT40" s="5">
        <v>0.28000000000000003</v>
      </c>
      <c r="AU40" s="133">
        <f t="shared" si="221"/>
        <v>0</v>
      </c>
      <c r="AV40" s="133" t="e">
        <f t="shared" si="222"/>
        <v>#DIV/0!</v>
      </c>
      <c r="AW40" s="133">
        <f t="shared" si="223"/>
        <v>0</v>
      </c>
      <c r="AX40" s="133" t="e">
        <f t="shared" si="224"/>
        <v>#DIV/0!</v>
      </c>
      <c r="AY40" s="133">
        <f t="shared" si="225"/>
        <v>0</v>
      </c>
      <c r="AZ40" s="133" t="e">
        <f t="shared" si="226"/>
        <v>#DIV/0!</v>
      </c>
      <c r="BA40" s="133">
        <f t="shared" si="227"/>
        <v>0</v>
      </c>
      <c r="BB40" s="133" t="e">
        <f t="shared" si="228"/>
        <v>#DIV/0!</v>
      </c>
      <c r="BC40" s="6"/>
      <c r="BD40" s="8"/>
      <c r="BE40" s="133">
        <f t="shared" si="229"/>
        <v>0</v>
      </c>
      <c r="BF40" s="133" t="e">
        <f t="shared" si="230"/>
        <v>#DIV/0!</v>
      </c>
      <c r="BG40" s="133">
        <f t="shared" si="231"/>
        <v>0</v>
      </c>
      <c r="BH40" s="133" t="e">
        <f t="shared" si="232"/>
        <v>#DIV/0!</v>
      </c>
      <c r="BI40" s="143">
        <f t="shared" si="233"/>
        <v>0</v>
      </c>
      <c r="BJ40" s="133" t="e">
        <f t="shared" si="234"/>
        <v>#DIV/0!</v>
      </c>
      <c r="BK40" s="143">
        <f t="shared" si="235"/>
        <v>0</v>
      </c>
      <c r="BL40" s="133" t="e">
        <f t="shared" si="236"/>
        <v>#DIV/0!</v>
      </c>
      <c r="BM40" s="143">
        <f t="shared" si="237"/>
        <v>0</v>
      </c>
      <c r="BN40" s="133" t="e">
        <f t="shared" si="238"/>
        <v>#DIV/0!</v>
      </c>
      <c r="BO40" s="147">
        <f t="shared" si="239"/>
        <v>0</v>
      </c>
      <c r="BP40" s="147" t="e">
        <f t="shared" si="240"/>
        <v>#DIV/0!</v>
      </c>
      <c r="BR40" s="147">
        <f t="shared" si="241"/>
        <v>0</v>
      </c>
      <c r="BS40" s="147" t="e">
        <f t="shared" si="242"/>
        <v>#DIV/0!</v>
      </c>
      <c r="BT40" s="143">
        <f t="shared" si="243"/>
        <v>0</v>
      </c>
      <c r="BU40" s="147" t="e">
        <f t="shared" si="244"/>
        <v>#DIV/0!</v>
      </c>
      <c r="BV40" s="143">
        <f t="shared" si="245"/>
        <v>0</v>
      </c>
      <c r="BW40" s="143" t="e">
        <f t="shared" si="246"/>
        <v>#DIV/0!</v>
      </c>
      <c r="BX40" s="3">
        <v>1.6986774770655257E-12</v>
      </c>
      <c r="BY40" s="3">
        <v>9.4454002365720605E-16</v>
      </c>
      <c r="BZ40" s="157">
        <f t="shared" si="247"/>
        <v>0</v>
      </c>
      <c r="CA40" s="157" t="e">
        <f t="shared" si="248"/>
        <v>#DIV/0!</v>
      </c>
      <c r="CB40" s="157">
        <f t="shared" si="249"/>
        <v>0</v>
      </c>
      <c r="CC40" s="158" t="e">
        <f t="shared" si="250"/>
        <v>#DIV/0!</v>
      </c>
      <c r="CD40" s="157">
        <f t="shared" si="251"/>
        <v>0</v>
      </c>
      <c r="CE40" s="477" t="e">
        <f t="shared" si="252"/>
        <v>#DIV/0!</v>
      </c>
      <c r="CF40" s="157">
        <f t="shared" si="253"/>
        <v>0</v>
      </c>
      <c r="CG40" s="157" t="e">
        <f t="shared" si="254"/>
        <v>#DIV/0!</v>
      </c>
      <c r="CH40" s="157">
        <f t="shared" si="255"/>
        <v>0</v>
      </c>
      <c r="CI40" s="157" t="e">
        <f t="shared" si="256"/>
        <v>#DIV/0!</v>
      </c>
      <c r="CJ40" s="157">
        <f t="shared" si="257"/>
        <v>0</v>
      </c>
      <c r="CK40" s="157" t="e">
        <f t="shared" si="258"/>
        <v>#DIV/0!</v>
      </c>
      <c r="CL40" s="157">
        <f t="shared" si="259"/>
        <v>0</v>
      </c>
      <c r="CM40" s="157" t="e">
        <f t="shared" si="260"/>
        <v>#DIV/0!</v>
      </c>
      <c r="CN40" s="66">
        <v>5.1340830000000002E-3</v>
      </c>
      <c r="CO40" s="66">
        <v>7.5577700000000003E-6</v>
      </c>
      <c r="CP40" s="3">
        <v>1.1139738540500025E+19</v>
      </c>
      <c r="CQ40" s="60">
        <v>1.0453256904066513E+18</v>
      </c>
      <c r="CR40" s="3">
        <v>8.0438364680336474E+17</v>
      </c>
      <c r="CS40" s="3">
        <v>8.527140119058072E+16</v>
      </c>
      <c r="CT40" s="6">
        <v>0.49881143094597263</v>
      </c>
      <c r="CU40" s="6">
        <v>4.5926073391395927E-2</v>
      </c>
      <c r="CV40" s="4">
        <v>24.581879797320056</v>
      </c>
      <c r="CW40" s="4">
        <v>0.55629982285426871</v>
      </c>
      <c r="CX40" s="157">
        <f t="shared" si="261"/>
        <v>0</v>
      </c>
      <c r="CY40" s="157" t="e">
        <f t="shared" si="262"/>
        <v>#DIV/0!</v>
      </c>
      <c r="CZ40" s="133">
        <f t="shared" si="263"/>
        <v>0</v>
      </c>
      <c r="DA40" s="133" t="e">
        <f t="shared" si="264"/>
        <v>#DIV/0!</v>
      </c>
      <c r="DB40" s="159">
        <f t="shared" si="265"/>
        <v>0</v>
      </c>
      <c r="DC40" s="167" t="e">
        <f t="shared" si="266"/>
        <v>#DIV/0!</v>
      </c>
      <c r="DD40" s="157">
        <f t="shared" si="267"/>
        <v>0</v>
      </c>
      <c r="DE40" s="157" t="e">
        <f t="shared" si="268"/>
        <v>#DIV/0!</v>
      </c>
      <c r="DF40" s="147">
        <f t="shared" si="269"/>
        <v>0</v>
      </c>
      <c r="DG40" s="133" t="e">
        <f t="shared" si="270"/>
        <v>#DIV/0!</v>
      </c>
      <c r="DH40" s="159">
        <f t="shared" si="271"/>
        <v>0</v>
      </c>
      <c r="DI40" s="167" t="e">
        <f t="shared" si="272"/>
        <v>#DIV/0!</v>
      </c>
      <c r="DJ40" s="157">
        <f t="shared" si="273"/>
        <v>0</v>
      </c>
      <c r="DK40" s="157" t="e">
        <f t="shared" si="274"/>
        <v>#DIV/0!</v>
      </c>
      <c r="DL40" s="143">
        <f t="shared" si="275"/>
        <v>0</v>
      </c>
      <c r="DM40" s="143" t="e">
        <f t="shared" si="276"/>
        <v>#DIV/0!</v>
      </c>
      <c r="DN40" s="147">
        <f t="shared" si="277"/>
        <v>0</v>
      </c>
      <c r="DO40" s="147" t="e">
        <f t="shared" si="278"/>
        <v>#DIV/0!</v>
      </c>
      <c r="DP40" s="133" t="e">
        <f t="shared" si="279"/>
        <v>#DIV/0!</v>
      </c>
      <c r="DQ40" s="133" t="e">
        <f t="shared" si="280"/>
        <v>#DIV/0!</v>
      </c>
      <c r="DR40" s="133" t="e">
        <f t="shared" si="281"/>
        <v>#DIV/0!</v>
      </c>
      <c r="DS40" s="133" t="e">
        <f t="shared" si="282"/>
        <v>#DIV/0!</v>
      </c>
      <c r="DT40" s="133" t="e">
        <f t="shared" si="283"/>
        <v>#DIV/0!</v>
      </c>
      <c r="DU40" s="133" t="e">
        <f t="shared" si="284"/>
        <v>#DIV/0!</v>
      </c>
      <c r="DV40" s="133" t="e">
        <f t="shared" si="285"/>
        <v>#DIV/0!</v>
      </c>
      <c r="DW40" s="133" t="e">
        <f t="shared" si="286"/>
        <v>#DIV/0!</v>
      </c>
      <c r="DX40" s="157" t="e">
        <f t="shared" si="287"/>
        <v>#DIV/0!</v>
      </c>
      <c r="DY40" s="157" t="e">
        <f t="shared" si="288"/>
        <v>#DIV/0!</v>
      </c>
      <c r="DZ40" s="147" t="e">
        <f t="shared" si="289"/>
        <v>#DIV/0!</v>
      </c>
      <c r="EA40" s="147" t="e">
        <f t="shared" si="290"/>
        <v>#DIV/0!</v>
      </c>
      <c r="EB40" s="157" t="e">
        <f t="shared" si="291"/>
        <v>#DIV/0!</v>
      </c>
      <c r="EC40" s="157" t="e">
        <f t="shared" si="292"/>
        <v>#DIV/0!</v>
      </c>
      <c r="ED40" s="147" t="e">
        <f t="shared" si="293"/>
        <v>#DIV/0!</v>
      </c>
      <c r="EE40" s="147" t="e">
        <f t="shared" si="294"/>
        <v>#DIV/0!</v>
      </c>
      <c r="EF40" s="147" t="e">
        <f t="shared" si="295"/>
        <v>#DIV/0!</v>
      </c>
      <c r="EG40" s="143" t="e">
        <f t="shared" si="296"/>
        <v>#DIV/0!</v>
      </c>
      <c r="EH40" s="147" t="e">
        <f t="shared" si="297"/>
        <v>#DIV/0!</v>
      </c>
      <c r="EI40" s="147" t="e">
        <f t="shared" si="298"/>
        <v>#DIV/0!</v>
      </c>
      <c r="EJ40" s="501">
        <f t="shared" si="310"/>
        <v>0</v>
      </c>
      <c r="EK40" s="143" t="e">
        <f t="shared" si="299"/>
        <v>#DIV/0!</v>
      </c>
      <c r="EL40" s="143" t="e">
        <f t="shared" si="299"/>
        <v>#DIV/0!</v>
      </c>
      <c r="EM40" s="147" t="e">
        <f t="shared" si="300"/>
        <v>#DIV/0!</v>
      </c>
      <c r="EN40" s="147" t="e">
        <f t="shared" si="301"/>
        <v>#DIV/0!</v>
      </c>
      <c r="EO40" s="143" t="e">
        <f t="shared" si="302"/>
        <v>#DIV/0!</v>
      </c>
      <c r="EP40" s="143" t="e">
        <f t="shared" si="303"/>
        <v>#DIV/0!</v>
      </c>
      <c r="EQ40" s="157" t="e">
        <f t="shared" si="304"/>
        <v>#DIV/0!</v>
      </c>
      <c r="ER40" s="157" t="e">
        <f t="shared" si="305"/>
        <v>#DIV/0!</v>
      </c>
      <c r="ES40" s="157" t="e">
        <f t="shared" si="306"/>
        <v>#DIV/0!</v>
      </c>
      <c r="ET40" s="157" t="e">
        <f t="shared" si="307"/>
        <v>#DIV/0!</v>
      </c>
      <c r="LQ40" s="214" t="str">
        <f t="shared" si="96"/>
        <v>A1x Bulk</v>
      </c>
      <c r="LR40" s="214" t="str">
        <f t="shared" si="97"/>
        <v>MN2022a</v>
      </c>
      <c r="LS40" s="211">
        <f t="shared" si="98"/>
        <v>0</v>
      </c>
      <c r="LT40" s="211" t="str">
        <f t="shared" si="99"/>
        <v/>
      </c>
      <c r="LU40" s="211">
        <f t="shared" si="100"/>
        <v>0</v>
      </c>
      <c r="LV40" s="211" t="e">
        <f t="shared" si="101"/>
        <v>#DIV/0!</v>
      </c>
      <c r="LW40" s="211">
        <f t="shared" si="102"/>
        <v>0</v>
      </c>
      <c r="LX40" s="211" t="e">
        <f t="shared" si="103"/>
        <v>#DIV/0!</v>
      </c>
      <c r="LY40" s="211"/>
      <c r="LZ40" s="211"/>
      <c r="MA40" s="211"/>
      <c r="MB40" s="211"/>
      <c r="MC40" s="211"/>
      <c r="MD40" s="211"/>
      <c r="ME40" s="211"/>
      <c r="MF40" s="211"/>
      <c r="MG40" s="211"/>
      <c r="MH40" s="211"/>
      <c r="MI40" s="211"/>
      <c r="MJ40" s="211"/>
      <c r="MK40" s="211"/>
      <c r="ML40" s="211"/>
      <c r="MM40" s="211"/>
      <c r="MN40" s="211"/>
      <c r="MO40" s="506" t="e">
        <f t="shared" si="107"/>
        <v>#DIV/0!</v>
      </c>
      <c r="MP40" s="506" t="e">
        <f t="shared" si="107"/>
        <v>#DIV/0!</v>
      </c>
      <c r="MQ40" s="109"/>
      <c r="MR40" s="109"/>
      <c r="MS40" s="109"/>
      <c r="MT40" s="109"/>
      <c r="MU40" s="109"/>
      <c r="MV40" s="109"/>
      <c r="MW40" s="506" t="e">
        <f t="shared" si="108"/>
        <v>#DIV/0!</v>
      </c>
      <c r="MX40" s="506" t="e">
        <f t="shared" si="108"/>
        <v>#DIV/0!</v>
      </c>
      <c r="MY40" s="109"/>
      <c r="MZ40" s="109"/>
      <c r="NA40" s="109"/>
      <c r="NB40" s="109"/>
      <c r="NC40" s="109"/>
      <c r="ND40" s="109"/>
    </row>
    <row r="41" spans="2:368">
      <c r="B41" s="245" t="s">
        <v>934</v>
      </c>
      <c r="C41" s="5">
        <f t="shared" si="308"/>
        <v>1.11E-2</v>
      </c>
      <c r="D41" s="66">
        <f t="shared" si="309"/>
        <v>5.5500000000000001E-5</v>
      </c>
      <c r="E41" s="67">
        <v>44727</v>
      </c>
      <c r="F41" s="5" t="s">
        <v>210</v>
      </c>
      <c r="G41" s="5" t="s">
        <v>893</v>
      </c>
      <c r="H41" s="5">
        <v>1</v>
      </c>
      <c r="J41" s="327">
        <v>44644</v>
      </c>
      <c r="K41" s="67" t="s">
        <v>823</v>
      </c>
      <c r="L41" s="5">
        <v>5</v>
      </c>
      <c r="M41" s="5">
        <v>4.2</v>
      </c>
      <c r="N41" s="5">
        <v>30</v>
      </c>
      <c r="O41" s="6"/>
      <c r="P41" s="6"/>
      <c r="Q41" s="6"/>
      <c r="R41" s="6"/>
      <c r="S41" s="6"/>
      <c r="T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133">
        <f t="shared" si="211"/>
        <v>0</v>
      </c>
      <c r="AJ41" s="133">
        <f t="shared" si="212"/>
        <v>0</v>
      </c>
      <c r="AK41" s="133">
        <f t="shared" si="213"/>
        <v>0</v>
      </c>
      <c r="AL41" s="133">
        <f t="shared" si="214"/>
        <v>0</v>
      </c>
      <c r="AM41" s="133">
        <f t="shared" si="215"/>
        <v>0</v>
      </c>
      <c r="AN41" s="133">
        <f t="shared" si="216"/>
        <v>0</v>
      </c>
      <c r="AO41" s="133">
        <f t="shared" si="217"/>
        <v>0</v>
      </c>
      <c r="AP41" s="133">
        <f t="shared" si="218"/>
        <v>0</v>
      </c>
      <c r="AQ41" s="133">
        <f t="shared" si="219"/>
        <v>0</v>
      </c>
      <c r="AR41" s="133">
        <f t="shared" si="220"/>
        <v>0</v>
      </c>
      <c r="AS41" s="5">
        <v>300.7</v>
      </c>
      <c r="AT41" s="5">
        <v>0.28000000000000003</v>
      </c>
      <c r="AU41" s="133">
        <f t="shared" si="221"/>
        <v>0</v>
      </c>
      <c r="AV41" s="133" t="e">
        <f t="shared" si="222"/>
        <v>#DIV/0!</v>
      </c>
      <c r="AW41" s="133">
        <f t="shared" si="223"/>
        <v>0</v>
      </c>
      <c r="AX41" s="133" t="e">
        <f t="shared" si="224"/>
        <v>#DIV/0!</v>
      </c>
      <c r="AY41" s="133">
        <f t="shared" si="225"/>
        <v>0</v>
      </c>
      <c r="AZ41" s="133" t="e">
        <f t="shared" si="226"/>
        <v>#DIV/0!</v>
      </c>
      <c r="BA41" s="133">
        <f t="shared" si="227"/>
        <v>0</v>
      </c>
      <c r="BB41" s="133" t="e">
        <f t="shared" si="228"/>
        <v>#DIV/0!</v>
      </c>
      <c r="BC41" s="6"/>
      <c r="BD41" s="8"/>
      <c r="BE41" s="133">
        <f t="shared" si="229"/>
        <v>0</v>
      </c>
      <c r="BF41" s="133" t="e">
        <f t="shared" si="230"/>
        <v>#DIV/0!</v>
      </c>
      <c r="BG41" s="133">
        <f t="shared" si="231"/>
        <v>0</v>
      </c>
      <c r="BH41" s="133" t="e">
        <f t="shared" si="232"/>
        <v>#DIV/0!</v>
      </c>
      <c r="BI41" s="143">
        <f t="shared" si="233"/>
        <v>0</v>
      </c>
      <c r="BJ41" s="133" t="e">
        <f t="shared" si="234"/>
        <v>#DIV/0!</v>
      </c>
      <c r="BK41" s="143">
        <f t="shared" si="235"/>
        <v>0</v>
      </c>
      <c r="BL41" s="133" t="e">
        <f t="shared" si="236"/>
        <v>#DIV/0!</v>
      </c>
      <c r="BM41" s="143">
        <f t="shared" si="237"/>
        <v>0</v>
      </c>
      <c r="BN41" s="133" t="e">
        <f t="shared" si="238"/>
        <v>#DIV/0!</v>
      </c>
      <c r="BO41" s="147">
        <f t="shared" si="239"/>
        <v>0</v>
      </c>
      <c r="BP41" s="147" t="e">
        <f t="shared" si="240"/>
        <v>#DIV/0!</v>
      </c>
      <c r="BR41" s="147">
        <f t="shared" si="241"/>
        <v>0</v>
      </c>
      <c r="BS41" s="147" t="e">
        <f t="shared" si="242"/>
        <v>#DIV/0!</v>
      </c>
      <c r="BT41" s="143">
        <f t="shared" si="243"/>
        <v>0</v>
      </c>
      <c r="BU41" s="147" t="e">
        <f t="shared" si="244"/>
        <v>#DIV/0!</v>
      </c>
      <c r="BV41" s="143">
        <f t="shared" si="245"/>
        <v>0</v>
      </c>
      <c r="BW41" s="143" t="e">
        <f t="shared" si="246"/>
        <v>#DIV/0!</v>
      </c>
      <c r="BX41" s="3">
        <v>1.6986774770655257E-12</v>
      </c>
      <c r="BY41" s="3">
        <v>9.4454002365720605E-16</v>
      </c>
      <c r="BZ41" s="157">
        <f t="shared" si="247"/>
        <v>0</v>
      </c>
      <c r="CA41" s="157" t="e">
        <f t="shared" si="248"/>
        <v>#DIV/0!</v>
      </c>
      <c r="CB41" s="157">
        <f t="shared" si="249"/>
        <v>0</v>
      </c>
      <c r="CC41" s="158" t="e">
        <f t="shared" si="250"/>
        <v>#DIV/0!</v>
      </c>
      <c r="CD41" s="157">
        <f t="shared" si="251"/>
        <v>0</v>
      </c>
      <c r="CE41" s="477" t="e">
        <f t="shared" si="252"/>
        <v>#DIV/0!</v>
      </c>
      <c r="CF41" s="157">
        <f t="shared" si="253"/>
        <v>0</v>
      </c>
      <c r="CG41" s="157" t="e">
        <f t="shared" si="254"/>
        <v>#DIV/0!</v>
      </c>
      <c r="CH41" s="157">
        <f t="shared" si="255"/>
        <v>0</v>
      </c>
      <c r="CI41" s="157" t="e">
        <f t="shared" si="256"/>
        <v>#DIV/0!</v>
      </c>
      <c r="CJ41" s="157">
        <f t="shared" si="257"/>
        <v>0</v>
      </c>
      <c r="CK41" s="157" t="e">
        <f t="shared" si="258"/>
        <v>#DIV/0!</v>
      </c>
      <c r="CL41" s="157">
        <f t="shared" si="259"/>
        <v>0</v>
      </c>
      <c r="CM41" s="157" t="e">
        <f t="shared" si="260"/>
        <v>#DIV/0!</v>
      </c>
      <c r="CN41" s="66">
        <v>5.1340830000000002E-3</v>
      </c>
      <c r="CO41" s="66">
        <v>7.5577700000000003E-6</v>
      </c>
      <c r="CP41" s="3">
        <v>1.1139738540500025E+19</v>
      </c>
      <c r="CQ41" s="60">
        <v>1.0453256904066513E+18</v>
      </c>
      <c r="CR41" s="3">
        <v>8.0438364680336474E+17</v>
      </c>
      <c r="CS41" s="3">
        <v>8.527140119058072E+16</v>
      </c>
      <c r="CT41" s="6">
        <v>0.49881143094597263</v>
      </c>
      <c r="CU41" s="6">
        <v>4.5926073391395927E-2</v>
      </c>
      <c r="CV41" s="4">
        <v>24.581879797320056</v>
      </c>
      <c r="CW41" s="4">
        <v>0.55629982285426871</v>
      </c>
      <c r="CX41" s="157">
        <f t="shared" si="261"/>
        <v>0</v>
      </c>
      <c r="CY41" s="157" t="e">
        <f t="shared" si="262"/>
        <v>#DIV/0!</v>
      </c>
      <c r="CZ41" s="133">
        <f t="shared" si="263"/>
        <v>0</v>
      </c>
      <c r="DA41" s="133" t="e">
        <f t="shared" si="264"/>
        <v>#DIV/0!</v>
      </c>
      <c r="DB41" s="159">
        <f t="shared" si="265"/>
        <v>0</v>
      </c>
      <c r="DC41" s="167" t="e">
        <f t="shared" si="266"/>
        <v>#DIV/0!</v>
      </c>
      <c r="DD41" s="157">
        <f t="shared" si="267"/>
        <v>0</v>
      </c>
      <c r="DE41" s="157" t="e">
        <f t="shared" si="268"/>
        <v>#DIV/0!</v>
      </c>
      <c r="DF41" s="147">
        <f t="shared" si="269"/>
        <v>0</v>
      </c>
      <c r="DG41" s="133" t="e">
        <f t="shared" si="270"/>
        <v>#DIV/0!</v>
      </c>
      <c r="DH41" s="159">
        <f t="shared" si="271"/>
        <v>0</v>
      </c>
      <c r="DI41" s="167" t="e">
        <f t="shared" si="272"/>
        <v>#DIV/0!</v>
      </c>
      <c r="DJ41" s="157">
        <f t="shared" si="273"/>
        <v>0</v>
      </c>
      <c r="DK41" s="157" t="e">
        <f t="shared" si="274"/>
        <v>#DIV/0!</v>
      </c>
      <c r="DL41" s="143">
        <f t="shared" si="275"/>
        <v>0</v>
      </c>
      <c r="DM41" s="143" t="e">
        <f t="shared" si="276"/>
        <v>#DIV/0!</v>
      </c>
      <c r="DN41" s="147">
        <f t="shared" si="277"/>
        <v>0</v>
      </c>
      <c r="DO41" s="147" t="e">
        <f t="shared" si="278"/>
        <v>#DIV/0!</v>
      </c>
      <c r="DP41" s="133" t="e">
        <f t="shared" si="279"/>
        <v>#DIV/0!</v>
      </c>
      <c r="DQ41" s="133" t="e">
        <f t="shared" si="280"/>
        <v>#DIV/0!</v>
      </c>
      <c r="DR41" s="133" t="e">
        <f t="shared" si="281"/>
        <v>#DIV/0!</v>
      </c>
      <c r="DS41" s="133" t="e">
        <f t="shared" si="282"/>
        <v>#DIV/0!</v>
      </c>
      <c r="DT41" s="133" t="e">
        <f t="shared" si="283"/>
        <v>#DIV/0!</v>
      </c>
      <c r="DU41" s="133" t="e">
        <f t="shared" si="284"/>
        <v>#DIV/0!</v>
      </c>
      <c r="DV41" s="133" t="e">
        <f t="shared" si="285"/>
        <v>#DIV/0!</v>
      </c>
      <c r="DW41" s="133" t="e">
        <f t="shared" si="286"/>
        <v>#DIV/0!</v>
      </c>
      <c r="DX41" s="157" t="e">
        <f t="shared" si="287"/>
        <v>#DIV/0!</v>
      </c>
      <c r="DY41" s="157" t="e">
        <f t="shared" si="288"/>
        <v>#DIV/0!</v>
      </c>
      <c r="DZ41" s="147" t="e">
        <f t="shared" si="289"/>
        <v>#DIV/0!</v>
      </c>
      <c r="EA41" s="147" t="e">
        <f t="shared" si="290"/>
        <v>#DIV/0!</v>
      </c>
      <c r="EB41" s="157" t="e">
        <f t="shared" si="291"/>
        <v>#DIV/0!</v>
      </c>
      <c r="EC41" s="157" t="e">
        <f t="shared" si="292"/>
        <v>#DIV/0!</v>
      </c>
      <c r="ED41" s="147" t="e">
        <f t="shared" si="293"/>
        <v>#DIV/0!</v>
      </c>
      <c r="EE41" s="147" t="e">
        <f t="shared" si="294"/>
        <v>#DIV/0!</v>
      </c>
      <c r="EF41" s="147" t="e">
        <f t="shared" si="295"/>
        <v>#DIV/0!</v>
      </c>
      <c r="EG41" s="143" t="e">
        <f t="shared" si="296"/>
        <v>#DIV/0!</v>
      </c>
      <c r="EH41" s="147" t="e">
        <f t="shared" si="297"/>
        <v>#DIV/0!</v>
      </c>
      <c r="EI41" s="147" t="e">
        <f t="shared" si="298"/>
        <v>#DIV/0!</v>
      </c>
      <c r="EJ41" s="501">
        <f t="shared" si="310"/>
        <v>0</v>
      </c>
      <c r="EK41" s="143" t="e">
        <f t="shared" si="299"/>
        <v>#DIV/0!</v>
      </c>
      <c r="EL41" s="143" t="e">
        <f t="shared" si="299"/>
        <v>#DIV/0!</v>
      </c>
      <c r="EM41" s="147" t="e">
        <f t="shared" si="300"/>
        <v>#DIV/0!</v>
      </c>
      <c r="EN41" s="147" t="e">
        <f t="shared" si="301"/>
        <v>#DIV/0!</v>
      </c>
      <c r="EO41" s="143" t="e">
        <f t="shared" si="302"/>
        <v>#DIV/0!</v>
      </c>
      <c r="EP41" s="143" t="e">
        <f t="shared" si="303"/>
        <v>#DIV/0!</v>
      </c>
      <c r="EQ41" s="157" t="e">
        <f t="shared" si="304"/>
        <v>#DIV/0!</v>
      </c>
      <c r="ER41" s="157" t="e">
        <f t="shared" si="305"/>
        <v>#DIV/0!</v>
      </c>
      <c r="ES41" s="157" t="e">
        <f t="shared" si="306"/>
        <v>#DIV/0!</v>
      </c>
      <c r="ET41" s="157" t="e">
        <f t="shared" si="307"/>
        <v>#DIV/0!</v>
      </c>
      <c r="LQ41" s="214" t="str">
        <f t="shared" si="96"/>
        <v>A1x Bulk</v>
      </c>
      <c r="LR41" s="214" t="str">
        <f t="shared" si="97"/>
        <v>MN2022a</v>
      </c>
      <c r="LS41" s="211">
        <f t="shared" si="98"/>
        <v>0</v>
      </c>
      <c r="LT41" s="211" t="str">
        <f t="shared" si="99"/>
        <v/>
      </c>
      <c r="LU41" s="211">
        <f t="shared" si="100"/>
        <v>0</v>
      </c>
      <c r="LV41" s="211" t="e">
        <f t="shared" si="101"/>
        <v>#DIV/0!</v>
      </c>
      <c r="LW41" s="211">
        <f t="shared" si="102"/>
        <v>0</v>
      </c>
      <c r="LX41" s="211" t="e">
        <f t="shared" si="103"/>
        <v>#DIV/0!</v>
      </c>
      <c r="LY41" s="211"/>
      <c r="LZ41" s="211"/>
      <c r="MA41" s="211"/>
      <c r="MB41" s="211"/>
      <c r="MC41" s="211"/>
      <c r="MD41" s="211"/>
      <c r="ME41" s="211"/>
      <c r="MF41" s="211"/>
      <c r="MG41" s="211"/>
      <c r="MH41" s="211"/>
      <c r="MI41" s="211"/>
      <c r="MJ41" s="211"/>
      <c r="MK41" s="211"/>
      <c r="ML41" s="211"/>
      <c r="MM41" s="211"/>
      <c r="MN41" s="211"/>
      <c r="MO41" s="506" t="e">
        <f t="shared" si="107"/>
        <v>#DIV/0!</v>
      </c>
      <c r="MP41" s="506" t="e">
        <f t="shared" si="107"/>
        <v>#DIV/0!</v>
      </c>
      <c r="MQ41" s="109"/>
      <c r="MR41" s="109"/>
      <c r="MS41" s="109"/>
      <c r="MT41" s="109"/>
      <c r="MU41" s="109"/>
      <c r="MV41" s="109"/>
      <c r="MW41" s="506" t="e">
        <f t="shared" si="108"/>
        <v>#DIV/0!</v>
      </c>
      <c r="MX41" s="506" t="e">
        <f t="shared" si="108"/>
        <v>#DIV/0!</v>
      </c>
      <c r="MY41" s="109"/>
      <c r="MZ41" s="109"/>
      <c r="NA41" s="109"/>
      <c r="NB41" s="109"/>
      <c r="NC41" s="109"/>
      <c r="ND41" s="109"/>
    </row>
    <row r="42" spans="2:368">
      <c r="B42" s="245" t="s">
        <v>934</v>
      </c>
      <c r="C42" s="5">
        <f t="shared" si="308"/>
        <v>1.11E-2</v>
      </c>
      <c r="D42" s="66">
        <f t="shared" si="309"/>
        <v>5.5500000000000001E-5</v>
      </c>
      <c r="E42" s="67">
        <v>44727</v>
      </c>
      <c r="F42" s="5" t="s">
        <v>210</v>
      </c>
      <c r="G42" s="5" t="s">
        <v>893</v>
      </c>
      <c r="H42" s="5">
        <v>1</v>
      </c>
      <c r="J42" s="327">
        <v>44644</v>
      </c>
      <c r="K42" s="67" t="s">
        <v>823</v>
      </c>
      <c r="L42" s="5">
        <v>6</v>
      </c>
      <c r="M42" s="5">
        <v>4.82</v>
      </c>
      <c r="N42" s="5">
        <v>30</v>
      </c>
      <c r="O42" s="6"/>
      <c r="P42" s="6"/>
      <c r="Q42" s="6"/>
      <c r="R42" s="6"/>
      <c r="S42" s="6"/>
      <c r="T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133">
        <f t="shared" si="211"/>
        <v>0</v>
      </c>
      <c r="AJ42" s="133">
        <f t="shared" si="212"/>
        <v>0</v>
      </c>
      <c r="AK42" s="133">
        <f t="shared" si="213"/>
        <v>0</v>
      </c>
      <c r="AL42" s="133">
        <f t="shared" si="214"/>
        <v>0</v>
      </c>
      <c r="AM42" s="133">
        <f t="shared" si="215"/>
        <v>0</v>
      </c>
      <c r="AN42" s="133">
        <f t="shared" si="216"/>
        <v>0</v>
      </c>
      <c r="AO42" s="133">
        <f t="shared" si="217"/>
        <v>0</v>
      </c>
      <c r="AP42" s="133">
        <f t="shared" si="218"/>
        <v>0</v>
      </c>
      <c r="AQ42" s="133">
        <f t="shared" si="219"/>
        <v>0</v>
      </c>
      <c r="AR42" s="133">
        <f t="shared" si="220"/>
        <v>0</v>
      </c>
      <c r="AS42" s="5">
        <v>300.7</v>
      </c>
      <c r="AT42" s="5">
        <v>0.28000000000000003</v>
      </c>
      <c r="AU42" s="133">
        <f t="shared" si="221"/>
        <v>0</v>
      </c>
      <c r="AV42" s="133" t="e">
        <f t="shared" si="222"/>
        <v>#DIV/0!</v>
      </c>
      <c r="AW42" s="133">
        <f t="shared" si="223"/>
        <v>0</v>
      </c>
      <c r="AX42" s="133" t="e">
        <f t="shared" si="224"/>
        <v>#DIV/0!</v>
      </c>
      <c r="AY42" s="133">
        <f t="shared" si="225"/>
        <v>0</v>
      </c>
      <c r="AZ42" s="133" t="e">
        <f t="shared" si="226"/>
        <v>#DIV/0!</v>
      </c>
      <c r="BA42" s="133">
        <f t="shared" si="227"/>
        <v>0</v>
      </c>
      <c r="BB42" s="133" t="e">
        <f t="shared" si="228"/>
        <v>#DIV/0!</v>
      </c>
      <c r="BC42" s="6"/>
      <c r="BD42" s="8"/>
      <c r="BE42" s="133">
        <f t="shared" si="229"/>
        <v>0</v>
      </c>
      <c r="BF42" s="133" t="e">
        <f t="shared" si="230"/>
        <v>#DIV/0!</v>
      </c>
      <c r="BG42" s="133">
        <f t="shared" si="231"/>
        <v>0</v>
      </c>
      <c r="BH42" s="133" t="e">
        <f t="shared" si="232"/>
        <v>#DIV/0!</v>
      </c>
      <c r="BI42" s="143">
        <f t="shared" si="233"/>
        <v>0</v>
      </c>
      <c r="BJ42" s="133" t="e">
        <f t="shared" si="234"/>
        <v>#DIV/0!</v>
      </c>
      <c r="BK42" s="143">
        <f t="shared" si="235"/>
        <v>0</v>
      </c>
      <c r="BL42" s="133" t="e">
        <f t="shared" si="236"/>
        <v>#DIV/0!</v>
      </c>
      <c r="BM42" s="143">
        <f t="shared" si="237"/>
        <v>0</v>
      </c>
      <c r="BN42" s="133" t="e">
        <f t="shared" si="238"/>
        <v>#DIV/0!</v>
      </c>
      <c r="BO42" s="147">
        <f t="shared" si="239"/>
        <v>0</v>
      </c>
      <c r="BP42" s="147" t="e">
        <f t="shared" si="240"/>
        <v>#DIV/0!</v>
      </c>
      <c r="BR42" s="147">
        <f t="shared" si="241"/>
        <v>0</v>
      </c>
      <c r="BS42" s="147" t="e">
        <f t="shared" si="242"/>
        <v>#DIV/0!</v>
      </c>
      <c r="BT42" s="143">
        <f t="shared" si="243"/>
        <v>0</v>
      </c>
      <c r="BU42" s="147" t="e">
        <f t="shared" si="244"/>
        <v>#DIV/0!</v>
      </c>
      <c r="BV42" s="143">
        <f t="shared" si="245"/>
        <v>0</v>
      </c>
      <c r="BW42" s="143" t="e">
        <f t="shared" si="246"/>
        <v>#DIV/0!</v>
      </c>
      <c r="BX42" s="3">
        <v>1.6986774770655257E-12</v>
      </c>
      <c r="BY42" s="3">
        <v>9.4454002365720605E-16</v>
      </c>
      <c r="BZ42" s="157">
        <f t="shared" si="247"/>
        <v>0</v>
      </c>
      <c r="CA42" s="157" t="e">
        <f t="shared" si="248"/>
        <v>#DIV/0!</v>
      </c>
      <c r="CB42" s="157">
        <f t="shared" si="249"/>
        <v>0</v>
      </c>
      <c r="CC42" s="158" t="e">
        <f t="shared" si="250"/>
        <v>#DIV/0!</v>
      </c>
      <c r="CD42" s="157">
        <f t="shared" si="251"/>
        <v>0</v>
      </c>
      <c r="CE42" s="477" t="e">
        <f t="shared" si="252"/>
        <v>#DIV/0!</v>
      </c>
      <c r="CF42" s="157">
        <f t="shared" si="253"/>
        <v>0</v>
      </c>
      <c r="CG42" s="157" t="e">
        <f t="shared" si="254"/>
        <v>#DIV/0!</v>
      </c>
      <c r="CH42" s="157">
        <f t="shared" si="255"/>
        <v>0</v>
      </c>
      <c r="CI42" s="157" t="e">
        <f t="shared" si="256"/>
        <v>#DIV/0!</v>
      </c>
      <c r="CJ42" s="157">
        <f t="shared" si="257"/>
        <v>0</v>
      </c>
      <c r="CK42" s="157" t="e">
        <f t="shared" si="258"/>
        <v>#DIV/0!</v>
      </c>
      <c r="CL42" s="157">
        <f t="shared" si="259"/>
        <v>0</v>
      </c>
      <c r="CM42" s="157" t="e">
        <f t="shared" si="260"/>
        <v>#DIV/0!</v>
      </c>
      <c r="CN42" s="66">
        <v>5.1340830000000002E-3</v>
      </c>
      <c r="CO42" s="66">
        <v>7.5577700000000003E-6</v>
      </c>
      <c r="CP42" s="3">
        <v>1.1139738540500025E+19</v>
      </c>
      <c r="CQ42" s="60">
        <v>1.0453256904066513E+18</v>
      </c>
      <c r="CR42" s="3">
        <v>8.0438364680336474E+17</v>
      </c>
      <c r="CS42" s="3">
        <v>8.527140119058072E+16</v>
      </c>
      <c r="CT42" s="6">
        <v>0.49881143094597263</v>
      </c>
      <c r="CU42" s="6">
        <v>4.5926073391395927E-2</v>
      </c>
      <c r="CV42" s="4">
        <v>24.581879797320056</v>
      </c>
      <c r="CW42" s="4">
        <v>0.55629982285426871</v>
      </c>
      <c r="CX42" s="157">
        <f t="shared" si="261"/>
        <v>0</v>
      </c>
      <c r="CY42" s="157" t="e">
        <f t="shared" si="262"/>
        <v>#DIV/0!</v>
      </c>
      <c r="CZ42" s="133">
        <f t="shared" si="263"/>
        <v>0</v>
      </c>
      <c r="DA42" s="133" t="e">
        <f t="shared" si="264"/>
        <v>#DIV/0!</v>
      </c>
      <c r="DB42" s="159">
        <f t="shared" si="265"/>
        <v>0</v>
      </c>
      <c r="DC42" s="167" t="e">
        <f t="shared" si="266"/>
        <v>#DIV/0!</v>
      </c>
      <c r="DD42" s="157">
        <f t="shared" si="267"/>
        <v>0</v>
      </c>
      <c r="DE42" s="157" t="e">
        <f t="shared" si="268"/>
        <v>#DIV/0!</v>
      </c>
      <c r="DF42" s="147">
        <f t="shared" si="269"/>
        <v>0</v>
      </c>
      <c r="DG42" s="133" t="e">
        <f t="shared" si="270"/>
        <v>#DIV/0!</v>
      </c>
      <c r="DH42" s="159">
        <f t="shared" si="271"/>
        <v>0</v>
      </c>
      <c r="DI42" s="167" t="e">
        <f t="shared" si="272"/>
        <v>#DIV/0!</v>
      </c>
      <c r="DJ42" s="157">
        <f t="shared" si="273"/>
        <v>0</v>
      </c>
      <c r="DK42" s="157" t="e">
        <f t="shared" si="274"/>
        <v>#DIV/0!</v>
      </c>
      <c r="DL42" s="143">
        <f t="shared" si="275"/>
        <v>0</v>
      </c>
      <c r="DM42" s="143" t="e">
        <f t="shared" si="276"/>
        <v>#DIV/0!</v>
      </c>
      <c r="DN42" s="147">
        <f t="shared" si="277"/>
        <v>0</v>
      </c>
      <c r="DO42" s="147" t="e">
        <f t="shared" si="278"/>
        <v>#DIV/0!</v>
      </c>
      <c r="DP42" s="133" t="e">
        <f t="shared" si="279"/>
        <v>#DIV/0!</v>
      </c>
      <c r="DQ42" s="133" t="e">
        <f t="shared" si="280"/>
        <v>#DIV/0!</v>
      </c>
      <c r="DR42" s="133" t="e">
        <f t="shared" si="281"/>
        <v>#DIV/0!</v>
      </c>
      <c r="DS42" s="133" t="e">
        <f t="shared" si="282"/>
        <v>#DIV/0!</v>
      </c>
      <c r="DT42" s="133" t="e">
        <f t="shared" si="283"/>
        <v>#DIV/0!</v>
      </c>
      <c r="DU42" s="133" t="e">
        <f t="shared" si="284"/>
        <v>#DIV/0!</v>
      </c>
      <c r="DV42" s="133" t="e">
        <f t="shared" si="285"/>
        <v>#DIV/0!</v>
      </c>
      <c r="DW42" s="133" t="e">
        <f t="shared" si="286"/>
        <v>#DIV/0!</v>
      </c>
      <c r="DX42" s="157" t="e">
        <f t="shared" si="287"/>
        <v>#DIV/0!</v>
      </c>
      <c r="DY42" s="157" t="e">
        <f t="shared" si="288"/>
        <v>#DIV/0!</v>
      </c>
      <c r="DZ42" s="147" t="e">
        <f t="shared" si="289"/>
        <v>#DIV/0!</v>
      </c>
      <c r="EA42" s="147" t="e">
        <f t="shared" si="290"/>
        <v>#DIV/0!</v>
      </c>
      <c r="EB42" s="157" t="e">
        <f t="shared" si="291"/>
        <v>#DIV/0!</v>
      </c>
      <c r="EC42" s="157" t="e">
        <f t="shared" si="292"/>
        <v>#DIV/0!</v>
      </c>
      <c r="ED42" s="147" t="e">
        <f t="shared" si="293"/>
        <v>#DIV/0!</v>
      </c>
      <c r="EE42" s="147" t="e">
        <f t="shared" si="294"/>
        <v>#DIV/0!</v>
      </c>
      <c r="EF42" s="147" t="e">
        <f t="shared" si="295"/>
        <v>#DIV/0!</v>
      </c>
      <c r="EG42" s="143" t="e">
        <f t="shared" si="296"/>
        <v>#DIV/0!</v>
      </c>
      <c r="EH42" s="147" t="e">
        <f t="shared" si="297"/>
        <v>#DIV/0!</v>
      </c>
      <c r="EI42" s="147" t="e">
        <f t="shared" si="298"/>
        <v>#DIV/0!</v>
      </c>
      <c r="EJ42" s="501">
        <f t="shared" si="310"/>
        <v>0</v>
      </c>
      <c r="EK42" s="143" t="e">
        <f t="shared" si="299"/>
        <v>#DIV/0!</v>
      </c>
      <c r="EL42" s="143" t="e">
        <f t="shared" si="299"/>
        <v>#DIV/0!</v>
      </c>
      <c r="EM42" s="147" t="e">
        <f t="shared" si="300"/>
        <v>#DIV/0!</v>
      </c>
      <c r="EN42" s="147" t="e">
        <f t="shared" si="301"/>
        <v>#DIV/0!</v>
      </c>
      <c r="EO42" s="143" t="e">
        <f t="shared" si="302"/>
        <v>#DIV/0!</v>
      </c>
      <c r="EP42" s="143" t="e">
        <f t="shared" si="303"/>
        <v>#DIV/0!</v>
      </c>
      <c r="EQ42" s="157" t="e">
        <f t="shared" si="304"/>
        <v>#DIV/0!</v>
      </c>
      <c r="ER42" s="157" t="e">
        <f t="shared" si="305"/>
        <v>#DIV/0!</v>
      </c>
      <c r="ES42" s="157" t="e">
        <f t="shared" si="306"/>
        <v>#DIV/0!</v>
      </c>
      <c r="ET42" s="157" t="e">
        <f t="shared" si="307"/>
        <v>#DIV/0!</v>
      </c>
      <c r="LQ42" s="214" t="str">
        <f t="shared" si="96"/>
        <v>A1x Bulk</v>
      </c>
      <c r="LR42" s="214" t="str">
        <f t="shared" si="97"/>
        <v>MN2022a</v>
      </c>
      <c r="LS42" s="211">
        <f t="shared" si="98"/>
        <v>0</v>
      </c>
      <c r="LT42" s="211" t="str">
        <f t="shared" si="99"/>
        <v/>
      </c>
      <c r="LU42" s="211">
        <f t="shared" si="100"/>
        <v>0</v>
      </c>
      <c r="LV42" s="211" t="e">
        <f t="shared" si="101"/>
        <v>#DIV/0!</v>
      </c>
      <c r="LW42" s="211">
        <f t="shared" si="102"/>
        <v>0</v>
      </c>
      <c r="LX42" s="211" t="e">
        <f t="shared" si="103"/>
        <v>#DIV/0!</v>
      </c>
      <c r="LY42" s="211"/>
      <c r="LZ42" s="211"/>
      <c r="MA42" s="211"/>
      <c r="MB42" s="211"/>
      <c r="MC42" s="211"/>
      <c r="MD42" s="211"/>
      <c r="ME42" s="211"/>
      <c r="MF42" s="211"/>
      <c r="MG42" s="211"/>
      <c r="MH42" s="211"/>
      <c r="MI42" s="211"/>
      <c r="MJ42" s="211"/>
      <c r="MK42" s="211"/>
      <c r="ML42" s="211"/>
      <c r="MM42" s="211"/>
      <c r="MN42" s="211"/>
      <c r="MO42" s="506" t="e">
        <f t="shared" si="107"/>
        <v>#DIV/0!</v>
      </c>
      <c r="MP42" s="506" t="e">
        <f t="shared" si="107"/>
        <v>#DIV/0!</v>
      </c>
      <c r="MQ42" s="109"/>
      <c r="MR42" s="109"/>
      <c r="MS42" s="109"/>
      <c r="MT42" s="109"/>
      <c r="MU42" s="109"/>
      <c r="MV42" s="109"/>
      <c r="MW42" s="506" t="e">
        <f t="shared" si="108"/>
        <v>#DIV/0!</v>
      </c>
      <c r="MX42" s="506" t="e">
        <f t="shared" si="108"/>
        <v>#DIV/0!</v>
      </c>
      <c r="MY42" s="109"/>
      <c r="MZ42" s="109"/>
      <c r="NA42" s="109"/>
      <c r="NB42" s="109"/>
      <c r="NC42" s="109"/>
      <c r="ND42" s="109"/>
    </row>
    <row r="43" spans="2:368">
      <c r="B43" s="245" t="s">
        <v>934</v>
      </c>
      <c r="C43" s="5">
        <f t="shared" si="308"/>
        <v>1.11E-2</v>
      </c>
      <c r="D43" s="66">
        <f t="shared" si="309"/>
        <v>5.5500000000000001E-5</v>
      </c>
      <c r="E43" s="67">
        <v>44727</v>
      </c>
      <c r="F43" s="5" t="s">
        <v>210</v>
      </c>
      <c r="G43" s="5" t="s">
        <v>893</v>
      </c>
      <c r="H43" s="5">
        <v>1</v>
      </c>
      <c r="J43" s="327">
        <v>44644</v>
      </c>
      <c r="K43" s="67" t="s">
        <v>823</v>
      </c>
      <c r="L43" s="5">
        <v>8</v>
      </c>
      <c r="M43" s="5">
        <v>6.06</v>
      </c>
      <c r="N43" s="5">
        <v>30</v>
      </c>
      <c r="O43" s="6"/>
      <c r="P43" s="6"/>
      <c r="Q43" s="6"/>
      <c r="R43" s="6"/>
      <c r="S43" s="6"/>
      <c r="T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133">
        <f t="shared" si="211"/>
        <v>0</v>
      </c>
      <c r="AJ43" s="133">
        <f t="shared" si="212"/>
        <v>0</v>
      </c>
      <c r="AK43" s="133">
        <f t="shared" si="213"/>
        <v>0</v>
      </c>
      <c r="AL43" s="133">
        <f t="shared" si="214"/>
        <v>0</v>
      </c>
      <c r="AM43" s="133">
        <f t="shared" si="215"/>
        <v>0</v>
      </c>
      <c r="AN43" s="133">
        <f t="shared" si="216"/>
        <v>0</v>
      </c>
      <c r="AO43" s="133">
        <f t="shared" si="217"/>
        <v>0</v>
      </c>
      <c r="AP43" s="133">
        <f t="shared" si="218"/>
        <v>0</v>
      </c>
      <c r="AQ43" s="133">
        <f t="shared" si="219"/>
        <v>0</v>
      </c>
      <c r="AR43" s="133">
        <f t="shared" si="220"/>
        <v>0</v>
      </c>
      <c r="AS43" s="5">
        <v>300.7</v>
      </c>
      <c r="AT43" s="5">
        <v>0.28000000000000003</v>
      </c>
      <c r="AU43" s="133">
        <f t="shared" si="221"/>
        <v>0</v>
      </c>
      <c r="AV43" s="133" t="e">
        <f t="shared" si="222"/>
        <v>#DIV/0!</v>
      </c>
      <c r="AW43" s="133">
        <f t="shared" si="223"/>
        <v>0</v>
      </c>
      <c r="AX43" s="133" t="e">
        <f t="shared" si="224"/>
        <v>#DIV/0!</v>
      </c>
      <c r="AY43" s="133">
        <f t="shared" si="225"/>
        <v>0</v>
      </c>
      <c r="AZ43" s="133" t="e">
        <f t="shared" si="226"/>
        <v>#DIV/0!</v>
      </c>
      <c r="BA43" s="133">
        <f t="shared" si="227"/>
        <v>0</v>
      </c>
      <c r="BB43" s="133" t="e">
        <f t="shared" si="228"/>
        <v>#DIV/0!</v>
      </c>
      <c r="BC43" s="6"/>
      <c r="BD43" s="8"/>
      <c r="BE43" s="133">
        <f t="shared" si="229"/>
        <v>0</v>
      </c>
      <c r="BF43" s="133" t="e">
        <f t="shared" si="230"/>
        <v>#DIV/0!</v>
      </c>
      <c r="BG43" s="133">
        <f t="shared" si="231"/>
        <v>0</v>
      </c>
      <c r="BH43" s="133" t="e">
        <f t="shared" si="232"/>
        <v>#DIV/0!</v>
      </c>
      <c r="BI43" s="143">
        <f t="shared" si="233"/>
        <v>0</v>
      </c>
      <c r="BJ43" s="133" t="e">
        <f t="shared" si="234"/>
        <v>#DIV/0!</v>
      </c>
      <c r="BK43" s="143">
        <f t="shared" si="235"/>
        <v>0</v>
      </c>
      <c r="BL43" s="133" t="e">
        <f t="shared" si="236"/>
        <v>#DIV/0!</v>
      </c>
      <c r="BM43" s="143">
        <f t="shared" si="237"/>
        <v>0</v>
      </c>
      <c r="BN43" s="133" t="e">
        <f t="shared" si="238"/>
        <v>#DIV/0!</v>
      </c>
      <c r="BO43" s="147">
        <f t="shared" si="239"/>
        <v>0</v>
      </c>
      <c r="BP43" s="147" t="e">
        <f t="shared" si="240"/>
        <v>#DIV/0!</v>
      </c>
      <c r="BR43" s="147">
        <f t="shared" si="241"/>
        <v>0</v>
      </c>
      <c r="BS43" s="147" t="e">
        <f t="shared" si="242"/>
        <v>#DIV/0!</v>
      </c>
      <c r="BT43" s="143">
        <f t="shared" si="243"/>
        <v>0</v>
      </c>
      <c r="BU43" s="147" t="e">
        <f t="shared" si="244"/>
        <v>#DIV/0!</v>
      </c>
      <c r="BV43" s="143">
        <f t="shared" si="245"/>
        <v>0</v>
      </c>
      <c r="BW43" s="143" t="e">
        <f t="shared" si="246"/>
        <v>#DIV/0!</v>
      </c>
      <c r="BX43" s="3">
        <v>1.6986774770655257E-12</v>
      </c>
      <c r="BY43" s="3">
        <v>9.4454002365720605E-16</v>
      </c>
      <c r="BZ43" s="157">
        <f t="shared" si="247"/>
        <v>0</v>
      </c>
      <c r="CA43" s="157" t="e">
        <f t="shared" si="248"/>
        <v>#DIV/0!</v>
      </c>
      <c r="CB43" s="157">
        <f t="shared" si="249"/>
        <v>0</v>
      </c>
      <c r="CC43" s="158" t="e">
        <f t="shared" si="250"/>
        <v>#DIV/0!</v>
      </c>
      <c r="CD43" s="157">
        <f t="shared" si="251"/>
        <v>0</v>
      </c>
      <c r="CE43" s="477" t="e">
        <f t="shared" si="252"/>
        <v>#DIV/0!</v>
      </c>
      <c r="CF43" s="157">
        <f t="shared" si="253"/>
        <v>0</v>
      </c>
      <c r="CG43" s="157" t="e">
        <f t="shared" si="254"/>
        <v>#DIV/0!</v>
      </c>
      <c r="CH43" s="157">
        <f t="shared" si="255"/>
        <v>0</v>
      </c>
      <c r="CI43" s="157" t="e">
        <f t="shared" si="256"/>
        <v>#DIV/0!</v>
      </c>
      <c r="CJ43" s="157">
        <f t="shared" si="257"/>
        <v>0</v>
      </c>
      <c r="CK43" s="157" t="e">
        <f t="shared" si="258"/>
        <v>#DIV/0!</v>
      </c>
      <c r="CL43" s="157">
        <f t="shared" si="259"/>
        <v>0</v>
      </c>
      <c r="CM43" s="157" t="e">
        <f t="shared" si="260"/>
        <v>#DIV/0!</v>
      </c>
      <c r="CN43" s="66">
        <v>5.1340830000000002E-3</v>
      </c>
      <c r="CO43" s="66">
        <v>7.5577700000000003E-6</v>
      </c>
      <c r="CP43" s="3">
        <v>1.1139738540500025E+19</v>
      </c>
      <c r="CQ43" s="60">
        <v>1.0453256904066513E+18</v>
      </c>
      <c r="CR43" s="3">
        <v>8.0438364680336474E+17</v>
      </c>
      <c r="CS43" s="3">
        <v>8.527140119058072E+16</v>
      </c>
      <c r="CT43" s="6">
        <v>0.49881143094597263</v>
      </c>
      <c r="CU43" s="6">
        <v>4.5926073391395927E-2</v>
      </c>
      <c r="CV43" s="4">
        <v>24.581879797320056</v>
      </c>
      <c r="CW43" s="4">
        <v>0.55629982285426871</v>
      </c>
      <c r="CX43" s="157">
        <f t="shared" si="261"/>
        <v>0</v>
      </c>
      <c r="CY43" s="157" t="e">
        <f t="shared" si="262"/>
        <v>#DIV/0!</v>
      </c>
      <c r="CZ43" s="133">
        <f t="shared" si="263"/>
        <v>0</v>
      </c>
      <c r="DA43" s="133" t="e">
        <f t="shared" si="264"/>
        <v>#DIV/0!</v>
      </c>
      <c r="DB43" s="159">
        <f t="shared" si="265"/>
        <v>0</v>
      </c>
      <c r="DC43" s="167" t="e">
        <f t="shared" si="266"/>
        <v>#DIV/0!</v>
      </c>
      <c r="DD43" s="157">
        <f t="shared" si="267"/>
        <v>0</v>
      </c>
      <c r="DE43" s="157" t="e">
        <f t="shared" si="268"/>
        <v>#DIV/0!</v>
      </c>
      <c r="DF43" s="147">
        <f t="shared" si="269"/>
        <v>0</v>
      </c>
      <c r="DG43" s="133" t="e">
        <f t="shared" si="270"/>
        <v>#DIV/0!</v>
      </c>
      <c r="DH43" s="159">
        <f t="shared" si="271"/>
        <v>0</v>
      </c>
      <c r="DI43" s="167" t="e">
        <f t="shared" si="272"/>
        <v>#DIV/0!</v>
      </c>
      <c r="DJ43" s="157">
        <f t="shared" si="273"/>
        <v>0</v>
      </c>
      <c r="DK43" s="157" t="e">
        <f t="shared" si="274"/>
        <v>#DIV/0!</v>
      </c>
      <c r="DL43" s="143">
        <f t="shared" si="275"/>
        <v>0</v>
      </c>
      <c r="DM43" s="143" t="e">
        <f t="shared" si="276"/>
        <v>#DIV/0!</v>
      </c>
      <c r="DN43" s="147">
        <f t="shared" si="277"/>
        <v>0</v>
      </c>
      <c r="DO43" s="147" t="e">
        <f t="shared" si="278"/>
        <v>#DIV/0!</v>
      </c>
      <c r="DP43" s="133" t="e">
        <f t="shared" si="279"/>
        <v>#DIV/0!</v>
      </c>
      <c r="DQ43" s="133" t="e">
        <f t="shared" si="280"/>
        <v>#DIV/0!</v>
      </c>
      <c r="DR43" s="133" t="e">
        <f t="shared" si="281"/>
        <v>#DIV/0!</v>
      </c>
      <c r="DS43" s="133" t="e">
        <f t="shared" si="282"/>
        <v>#DIV/0!</v>
      </c>
      <c r="DT43" s="133" t="e">
        <f t="shared" si="283"/>
        <v>#DIV/0!</v>
      </c>
      <c r="DU43" s="133" t="e">
        <f t="shared" si="284"/>
        <v>#DIV/0!</v>
      </c>
      <c r="DV43" s="133" t="e">
        <f t="shared" si="285"/>
        <v>#DIV/0!</v>
      </c>
      <c r="DW43" s="133" t="e">
        <f t="shared" si="286"/>
        <v>#DIV/0!</v>
      </c>
      <c r="DX43" s="157" t="e">
        <f t="shared" si="287"/>
        <v>#DIV/0!</v>
      </c>
      <c r="DY43" s="157" t="e">
        <f t="shared" si="288"/>
        <v>#DIV/0!</v>
      </c>
      <c r="DZ43" s="147" t="e">
        <f t="shared" si="289"/>
        <v>#DIV/0!</v>
      </c>
      <c r="EA43" s="147" t="e">
        <f t="shared" si="290"/>
        <v>#DIV/0!</v>
      </c>
      <c r="EB43" s="157" t="e">
        <f t="shared" si="291"/>
        <v>#DIV/0!</v>
      </c>
      <c r="EC43" s="157" t="e">
        <f t="shared" si="292"/>
        <v>#DIV/0!</v>
      </c>
      <c r="ED43" s="147" t="e">
        <f t="shared" si="293"/>
        <v>#DIV/0!</v>
      </c>
      <c r="EE43" s="147" t="e">
        <f t="shared" si="294"/>
        <v>#DIV/0!</v>
      </c>
      <c r="EF43" s="147" t="e">
        <f t="shared" si="295"/>
        <v>#DIV/0!</v>
      </c>
      <c r="EG43" s="143" t="e">
        <f t="shared" si="296"/>
        <v>#DIV/0!</v>
      </c>
      <c r="EH43" s="147" t="e">
        <f t="shared" si="297"/>
        <v>#DIV/0!</v>
      </c>
      <c r="EI43" s="147" t="e">
        <f t="shared" si="298"/>
        <v>#DIV/0!</v>
      </c>
      <c r="EJ43" s="501">
        <f t="shared" si="310"/>
        <v>0</v>
      </c>
      <c r="EK43" s="143" t="e">
        <f t="shared" si="299"/>
        <v>#DIV/0!</v>
      </c>
      <c r="EL43" s="143" t="e">
        <f t="shared" si="299"/>
        <v>#DIV/0!</v>
      </c>
      <c r="EM43" s="147" t="e">
        <f t="shared" si="300"/>
        <v>#DIV/0!</v>
      </c>
      <c r="EN43" s="147" t="e">
        <f t="shared" si="301"/>
        <v>#DIV/0!</v>
      </c>
      <c r="EO43" s="143" t="e">
        <f t="shared" si="302"/>
        <v>#DIV/0!</v>
      </c>
      <c r="EP43" s="143" t="e">
        <f t="shared" si="303"/>
        <v>#DIV/0!</v>
      </c>
      <c r="EQ43" s="157" t="e">
        <f t="shared" si="304"/>
        <v>#DIV/0!</v>
      </c>
      <c r="ER43" s="157" t="e">
        <f t="shared" si="305"/>
        <v>#DIV/0!</v>
      </c>
      <c r="ES43" s="157" t="e">
        <f t="shared" si="306"/>
        <v>#DIV/0!</v>
      </c>
      <c r="ET43" s="157" t="e">
        <f t="shared" si="307"/>
        <v>#DIV/0!</v>
      </c>
      <c r="LQ43" s="214" t="str">
        <f t="shared" si="96"/>
        <v>A1x Bulk</v>
      </c>
      <c r="LR43" s="214" t="str">
        <f t="shared" si="97"/>
        <v>MN2022a</v>
      </c>
      <c r="LS43" s="211">
        <f t="shared" si="98"/>
        <v>0</v>
      </c>
      <c r="LT43" s="211" t="str">
        <f t="shared" si="99"/>
        <v/>
      </c>
      <c r="LU43" s="211">
        <f t="shared" si="100"/>
        <v>0</v>
      </c>
      <c r="LV43" s="211" t="e">
        <f t="shared" si="101"/>
        <v>#DIV/0!</v>
      </c>
      <c r="LW43" s="211">
        <f t="shared" si="102"/>
        <v>0</v>
      </c>
      <c r="LX43" s="211" t="e">
        <f t="shared" si="103"/>
        <v>#DIV/0!</v>
      </c>
      <c r="LY43" s="211"/>
      <c r="LZ43" s="211"/>
      <c r="MA43" s="211"/>
      <c r="MB43" s="211"/>
      <c r="MC43" s="211"/>
      <c r="MD43" s="211"/>
      <c r="ME43" s="211"/>
      <c r="MF43" s="211"/>
      <c r="MG43" s="211"/>
      <c r="MH43" s="211"/>
      <c r="MI43" s="211"/>
      <c r="MJ43" s="211"/>
      <c r="MK43" s="211"/>
      <c r="ML43" s="211"/>
      <c r="MM43" s="211"/>
      <c r="MN43" s="211"/>
      <c r="MO43" s="506" t="e">
        <f t="shared" si="107"/>
        <v>#DIV/0!</v>
      </c>
      <c r="MP43" s="506" t="e">
        <f t="shared" si="107"/>
        <v>#DIV/0!</v>
      </c>
      <c r="MQ43" s="109"/>
      <c r="MR43" s="109"/>
      <c r="MS43" s="109"/>
      <c r="MT43" s="109"/>
      <c r="MU43" s="109"/>
      <c r="MV43" s="109"/>
      <c r="MW43" s="506" t="e">
        <f t="shared" si="108"/>
        <v>#DIV/0!</v>
      </c>
      <c r="MX43" s="506" t="e">
        <f t="shared" si="108"/>
        <v>#DIV/0!</v>
      </c>
      <c r="MY43" s="109"/>
      <c r="MZ43" s="109"/>
      <c r="NA43" s="109"/>
      <c r="NB43" s="109"/>
      <c r="NC43" s="109"/>
      <c r="ND43" s="109"/>
    </row>
    <row r="44" spans="2:368">
      <c r="B44" s="245" t="s">
        <v>934</v>
      </c>
      <c r="C44" s="5">
        <f t="shared" si="308"/>
        <v>1.11E-2</v>
      </c>
      <c r="D44" s="66">
        <f t="shared" si="309"/>
        <v>5.5500000000000001E-5</v>
      </c>
      <c r="E44" s="67">
        <v>44727</v>
      </c>
      <c r="F44" s="5" t="s">
        <v>210</v>
      </c>
      <c r="G44" s="5" t="s">
        <v>893</v>
      </c>
      <c r="H44" s="5">
        <v>1</v>
      </c>
      <c r="J44" s="327">
        <v>44644</v>
      </c>
      <c r="K44" s="67" t="s">
        <v>823</v>
      </c>
      <c r="L44" s="5">
        <v>10</v>
      </c>
      <c r="M44" s="5">
        <v>7.41</v>
      </c>
      <c r="N44" s="5">
        <v>30</v>
      </c>
      <c r="O44" s="6"/>
      <c r="P44" s="6"/>
      <c r="Q44" s="6"/>
      <c r="R44" s="6"/>
      <c r="S44" s="6"/>
      <c r="T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133">
        <f t="shared" si="211"/>
        <v>0</v>
      </c>
      <c r="AJ44" s="133">
        <f t="shared" si="212"/>
        <v>0</v>
      </c>
      <c r="AK44" s="133">
        <f t="shared" si="213"/>
        <v>0</v>
      </c>
      <c r="AL44" s="133">
        <f t="shared" si="214"/>
        <v>0</v>
      </c>
      <c r="AM44" s="133">
        <f t="shared" si="215"/>
        <v>0</v>
      </c>
      <c r="AN44" s="133">
        <f t="shared" si="216"/>
        <v>0</v>
      </c>
      <c r="AO44" s="133">
        <f t="shared" si="217"/>
        <v>0</v>
      </c>
      <c r="AP44" s="133">
        <f t="shared" si="218"/>
        <v>0</v>
      </c>
      <c r="AQ44" s="133">
        <f t="shared" si="219"/>
        <v>0</v>
      </c>
      <c r="AR44" s="133">
        <f t="shared" si="220"/>
        <v>0</v>
      </c>
      <c r="AS44" s="5">
        <v>300.7</v>
      </c>
      <c r="AT44" s="5">
        <v>0.28000000000000003</v>
      </c>
      <c r="AU44" s="133">
        <f t="shared" si="221"/>
        <v>0</v>
      </c>
      <c r="AV44" s="133" t="e">
        <f t="shared" si="222"/>
        <v>#DIV/0!</v>
      </c>
      <c r="AW44" s="133">
        <f t="shared" si="223"/>
        <v>0</v>
      </c>
      <c r="AX44" s="133" t="e">
        <f t="shared" si="224"/>
        <v>#DIV/0!</v>
      </c>
      <c r="AY44" s="133">
        <f t="shared" si="225"/>
        <v>0</v>
      </c>
      <c r="AZ44" s="133" t="e">
        <f t="shared" si="226"/>
        <v>#DIV/0!</v>
      </c>
      <c r="BA44" s="133">
        <f t="shared" si="227"/>
        <v>0</v>
      </c>
      <c r="BB44" s="133" t="e">
        <f t="shared" si="228"/>
        <v>#DIV/0!</v>
      </c>
      <c r="BC44" s="6"/>
      <c r="BD44" s="8"/>
      <c r="BE44" s="133">
        <f t="shared" si="229"/>
        <v>0</v>
      </c>
      <c r="BF44" s="133" t="e">
        <f t="shared" si="230"/>
        <v>#DIV/0!</v>
      </c>
      <c r="BG44" s="133">
        <f t="shared" si="231"/>
        <v>0</v>
      </c>
      <c r="BH44" s="133" t="e">
        <f t="shared" si="232"/>
        <v>#DIV/0!</v>
      </c>
      <c r="BI44" s="143">
        <f t="shared" si="233"/>
        <v>0</v>
      </c>
      <c r="BJ44" s="133" t="e">
        <f t="shared" si="234"/>
        <v>#DIV/0!</v>
      </c>
      <c r="BK44" s="143">
        <f t="shared" si="235"/>
        <v>0</v>
      </c>
      <c r="BL44" s="133" t="e">
        <f t="shared" si="236"/>
        <v>#DIV/0!</v>
      </c>
      <c r="BM44" s="143">
        <f t="shared" si="237"/>
        <v>0</v>
      </c>
      <c r="BN44" s="133" t="e">
        <f t="shared" si="238"/>
        <v>#DIV/0!</v>
      </c>
      <c r="BO44" s="147">
        <f t="shared" si="239"/>
        <v>0</v>
      </c>
      <c r="BP44" s="147" t="e">
        <f t="shared" si="240"/>
        <v>#DIV/0!</v>
      </c>
      <c r="BR44" s="147">
        <f t="shared" si="241"/>
        <v>0</v>
      </c>
      <c r="BS44" s="147" t="e">
        <f t="shared" si="242"/>
        <v>#DIV/0!</v>
      </c>
      <c r="BT44" s="143">
        <f t="shared" si="243"/>
        <v>0</v>
      </c>
      <c r="BU44" s="147" t="e">
        <f t="shared" si="244"/>
        <v>#DIV/0!</v>
      </c>
      <c r="BV44" s="143">
        <f t="shared" si="245"/>
        <v>0</v>
      </c>
      <c r="BW44" s="143" t="e">
        <f t="shared" si="246"/>
        <v>#DIV/0!</v>
      </c>
      <c r="BX44" s="3">
        <v>1.6986774770655257E-12</v>
      </c>
      <c r="BY44" s="3">
        <v>9.4454002365720605E-16</v>
      </c>
      <c r="BZ44" s="157">
        <f t="shared" si="247"/>
        <v>0</v>
      </c>
      <c r="CA44" s="157" t="e">
        <f t="shared" si="248"/>
        <v>#DIV/0!</v>
      </c>
      <c r="CB44" s="157">
        <f t="shared" si="249"/>
        <v>0</v>
      </c>
      <c r="CC44" s="158" t="e">
        <f t="shared" si="250"/>
        <v>#DIV/0!</v>
      </c>
      <c r="CD44" s="157">
        <f t="shared" si="251"/>
        <v>0</v>
      </c>
      <c r="CE44" s="477" t="e">
        <f t="shared" si="252"/>
        <v>#DIV/0!</v>
      </c>
      <c r="CF44" s="157">
        <f t="shared" si="253"/>
        <v>0</v>
      </c>
      <c r="CG44" s="157" t="e">
        <f t="shared" si="254"/>
        <v>#DIV/0!</v>
      </c>
      <c r="CH44" s="157">
        <f t="shared" si="255"/>
        <v>0</v>
      </c>
      <c r="CI44" s="157" t="e">
        <f t="shared" si="256"/>
        <v>#DIV/0!</v>
      </c>
      <c r="CJ44" s="157">
        <f t="shared" si="257"/>
        <v>0</v>
      </c>
      <c r="CK44" s="157" t="e">
        <f t="shared" si="258"/>
        <v>#DIV/0!</v>
      </c>
      <c r="CL44" s="157">
        <f t="shared" si="259"/>
        <v>0</v>
      </c>
      <c r="CM44" s="157" t="e">
        <f t="shared" si="260"/>
        <v>#DIV/0!</v>
      </c>
      <c r="CN44" s="66">
        <v>5.1340830000000002E-3</v>
      </c>
      <c r="CO44" s="66">
        <v>7.5577700000000003E-6</v>
      </c>
      <c r="CP44" s="3">
        <v>1.1139738540500025E+19</v>
      </c>
      <c r="CQ44" s="60">
        <v>1.0453256904066513E+18</v>
      </c>
      <c r="CR44" s="3">
        <v>8.0438364680336474E+17</v>
      </c>
      <c r="CS44" s="3">
        <v>8.527140119058072E+16</v>
      </c>
      <c r="CT44" s="6">
        <v>0.49881143094597263</v>
      </c>
      <c r="CU44" s="6">
        <v>4.5926073391395927E-2</v>
      </c>
      <c r="CV44" s="4">
        <v>24.581879797320056</v>
      </c>
      <c r="CW44" s="4">
        <v>0.55629982285426871</v>
      </c>
      <c r="CX44" s="157">
        <f t="shared" si="261"/>
        <v>0</v>
      </c>
      <c r="CY44" s="157" t="e">
        <f t="shared" si="262"/>
        <v>#DIV/0!</v>
      </c>
      <c r="CZ44" s="133">
        <f t="shared" si="263"/>
        <v>0</v>
      </c>
      <c r="DA44" s="133" t="e">
        <f t="shared" si="264"/>
        <v>#DIV/0!</v>
      </c>
      <c r="DB44" s="159">
        <f t="shared" si="265"/>
        <v>0</v>
      </c>
      <c r="DC44" s="167" t="e">
        <f t="shared" si="266"/>
        <v>#DIV/0!</v>
      </c>
      <c r="DD44" s="157">
        <f t="shared" si="267"/>
        <v>0</v>
      </c>
      <c r="DE44" s="157" t="e">
        <f t="shared" si="268"/>
        <v>#DIV/0!</v>
      </c>
      <c r="DF44" s="147">
        <f t="shared" si="269"/>
        <v>0</v>
      </c>
      <c r="DG44" s="133" t="e">
        <f t="shared" si="270"/>
        <v>#DIV/0!</v>
      </c>
      <c r="DH44" s="159">
        <f t="shared" si="271"/>
        <v>0</v>
      </c>
      <c r="DI44" s="167" t="e">
        <f t="shared" si="272"/>
        <v>#DIV/0!</v>
      </c>
      <c r="DJ44" s="157">
        <f t="shared" si="273"/>
        <v>0</v>
      </c>
      <c r="DK44" s="157" t="e">
        <f t="shared" si="274"/>
        <v>#DIV/0!</v>
      </c>
      <c r="DL44" s="143">
        <f t="shared" si="275"/>
        <v>0</v>
      </c>
      <c r="DM44" s="143" t="e">
        <f t="shared" si="276"/>
        <v>#DIV/0!</v>
      </c>
      <c r="DN44" s="147">
        <f t="shared" si="277"/>
        <v>0</v>
      </c>
      <c r="DO44" s="147" t="e">
        <f t="shared" si="278"/>
        <v>#DIV/0!</v>
      </c>
      <c r="DP44" s="133" t="e">
        <f t="shared" si="279"/>
        <v>#DIV/0!</v>
      </c>
      <c r="DQ44" s="133" t="e">
        <f t="shared" si="280"/>
        <v>#DIV/0!</v>
      </c>
      <c r="DR44" s="133" t="e">
        <f t="shared" si="281"/>
        <v>#DIV/0!</v>
      </c>
      <c r="DS44" s="133" t="e">
        <f t="shared" si="282"/>
        <v>#DIV/0!</v>
      </c>
      <c r="DT44" s="133" t="e">
        <f t="shared" si="283"/>
        <v>#DIV/0!</v>
      </c>
      <c r="DU44" s="133" t="e">
        <f t="shared" si="284"/>
        <v>#DIV/0!</v>
      </c>
      <c r="DV44" s="133" t="e">
        <f t="shared" si="285"/>
        <v>#DIV/0!</v>
      </c>
      <c r="DW44" s="133" t="e">
        <f t="shared" si="286"/>
        <v>#DIV/0!</v>
      </c>
      <c r="DX44" s="157" t="e">
        <f t="shared" si="287"/>
        <v>#DIV/0!</v>
      </c>
      <c r="DY44" s="157" t="e">
        <f t="shared" si="288"/>
        <v>#DIV/0!</v>
      </c>
      <c r="DZ44" s="147" t="e">
        <f t="shared" si="289"/>
        <v>#DIV/0!</v>
      </c>
      <c r="EA44" s="147" t="e">
        <f t="shared" si="290"/>
        <v>#DIV/0!</v>
      </c>
      <c r="EB44" s="157" t="e">
        <f t="shared" si="291"/>
        <v>#DIV/0!</v>
      </c>
      <c r="EC44" s="157" t="e">
        <f t="shared" si="292"/>
        <v>#DIV/0!</v>
      </c>
      <c r="ED44" s="147" t="e">
        <f t="shared" si="293"/>
        <v>#DIV/0!</v>
      </c>
      <c r="EE44" s="147" t="e">
        <f t="shared" si="294"/>
        <v>#DIV/0!</v>
      </c>
      <c r="EF44" s="147" t="e">
        <f t="shared" si="295"/>
        <v>#DIV/0!</v>
      </c>
      <c r="EG44" s="143" t="e">
        <f t="shared" si="296"/>
        <v>#DIV/0!</v>
      </c>
      <c r="EH44" s="147" t="e">
        <f t="shared" si="297"/>
        <v>#DIV/0!</v>
      </c>
      <c r="EI44" s="147" t="e">
        <f t="shared" si="298"/>
        <v>#DIV/0!</v>
      </c>
      <c r="EJ44" s="501">
        <f t="shared" si="310"/>
        <v>0</v>
      </c>
      <c r="EK44" s="143" t="e">
        <f t="shared" si="299"/>
        <v>#DIV/0!</v>
      </c>
      <c r="EL44" s="143" t="e">
        <f t="shared" si="299"/>
        <v>#DIV/0!</v>
      </c>
      <c r="EM44" s="147" t="e">
        <f t="shared" si="300"/>
        <v>#DIV/0!</v>
      </c>
      <c r="EN44" s="147" t="e">
        <f t="shared" si="301"/>
        <v>#DIV/0!</v>
      </c>
      <c r="EO44" s="143" t="e">
        <f t="shared" si="302"/>
        <v>#DIV/0!</v>
      </c>
      <c r="EP44" s="143" t="e">
        <f t="shared" si="303"/>
        <v>#DIV/0!</v>
      </c>
      <c r="EQ44" s="157" t="e">
        <f t="shared" si="304"/>
        <v>#DIV/0!</v>
      </c>
      <c r="ER44" s="157" t="e">
        <f t="shared" si="305"/>
        <v>#DIV/0!</v>
      </c>
      <c r="ES44" s="157" t="e">
        <f t="shared" si="306"/>
        <v>#DIV/0!</v>
      </c>
      <c r="ET44" s="157" t="e">
        <f t="shared" si="307"/>
        <v>#DIV/0!</v>
      </c>
      <c r="LQ44" s="214" t="str">
        <f t="shared" si="96"/>
        <v>A1x Bulk</v>
      </c>
      <c r="LR44" s="214" t="str">
        <f t="shared" si="97"/>
        <v>MN2022a</v>
      </c>
      <c r="LS44" s="211">
        <f t="shared" si="98"/>
        <v>0</v>
      </c>
      <c r="LT44" s="211" t="str">
        <f t="shared" si="99"/>
        <v/>
      </c>
      <c r="LU44" s="211">
        <f t="shared" si="100"/>
        <v>0</v>
      </c>
      <c r="LV44" s="211" t="e">
        <f t="shared" si="101"/>
        <v>#DIV/0!</v>
      </c>
      <c r="LW44" s="211">
        <f t="shared" si="102"/>
        <v>0</v>
      </c>
      <c r="LX44" s="211" t="e">
        <f t="shared" si="103"/>
        <v>#DIV/0!</v>
      </c>
      <c r="LY44" s="211"/>
      <c r="LZ44" s="211"/>
      <c r="MA44" s="211"/>
      <c r="MB44" s="211"/>
      <c r="MC44" s="211"/>
      <c r="MD44" s="211"/>
      <c r="ME44" s="211"/>
      <c r="MF44" s="211"/>
      <c r="MG44" s="211"/>
      <c r="MH44" s="211"/>
      <c r="MI44" s="211"/>
      <c r="MJ44" s="211"/>
      <c r="MK44" s="211"/>
      <c r="ML44" s="211"/>
      <c r="MM44" s="211"/>
      <c r="MN44" s="211"/>
      <c r="MO44" s="506" t="e">
        <f t="shared" si="107"/>
        <v>#DIV/0!</v>
      </c>
      <c r="MP44" s="506" t="e">
        <f t="shared" si="107"/>
        <v>#DIV/0!</v>
      </c>
      <c r="MQ44" s="109"/>
      <c r="MR44" s="109"/>
      <c r="MS44" s="109"/>
      <c r="MT44" s="109"/>
      <c r="MU44" s="109"/>
      <c r="MV44" s="109"/>
      <c r="MW44" s="506" t="e">
        <f t="shared" si="108"/>
        <v>#DIV/0!</v>
      </c>
      <c r="MX44" s="506" t="e">
        <f t="shared" si="108"/>
        <v>#DIV/0!</v>
      </c>
      <c r="MY44" s="109"/>
      <c r="MZ44" s="109"/>
      <c r="NA44" s="109"/>
      <c r="NB44" s="109"/>
      <c r="NC44" s="109"/>
      <c r="ND44" s="109"/>
    </row>
    <row r="45" spans="2:368">
      <c r="B45" s="245" t="s">
        <v>934</v>
      </c>
      <c r="C45" s="5">
        <f t="shared" si="308"/>
        <v>1.11E-2</v>
      </c>
      <c r="D45" s="66">
        <f t="shared" si="309"/>
        <v>5.5500000000000001E-5</v>
      </c>
      <c r="E45" s="67">
        <v>44727</v>
      </c>
      <c r="F45" s="5" t="s">
        <v>210</v>
      </c>
      <c r="G45" s="5" t="s">
        <v>893</v>
      </c>
      <c r="H45" s="5">
        <v>1</v>
      </c>
      <c r="J45" s="327">
        <v>44644</v>
      </c>
      <c r="K45" s="67" t="s">
        <v>823</v>
      </c>
      <c r="L45" s="5">
        <v>12</v>
      </c>
      <c r="M45" s="5">
        <v>8.65</v>
      </c>
      <c r="N45" s="5">
        <v>30</v>
      </c>
      <c r="O45" s="6"/>
      <c r="P45" s="6"/>
      <c r="Q45" s="6"/>
      <c r="R45" s="6"/>
      <c r="S45" s="6"/>
      <c r="T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133">
        <f t="shared" si="211"/>
        <v>0</v>
      </c>
      <c r="AJ45" s="133">
        <f t="shared" si="212"/>
        <v>0</v>
      </c>
      <c r="AK45" s="133">
        <f t="shared" si="213"/>
        <v>0</v>
      </c>
      <c r="AL45" s="133">
        <f t="shared" si="214"/>
        <v>0</v>
      </c>
      <c r="AM45" s="133">
        <f t="shared" si="215"/>
        <v>0</v>
      </c>
      <c r="AN45" s="133">
        <f t="shared" si="216"/>
        <v>0</v>
      </c>
      <c r="AO45" s="133">
        <f t="shared" si="217"/>
        <v>0</v>
      </c>
      <c r="AP45" s="133">
        <f t="shared" si="218"/>
        <v>0</v>
      </c>
      <c r="AQ45" s="133">
        <f t="shared" si="219"/>
        <v>0</v>
      </c>
      <c r="AR45" s="133">
        <f t="shared" si="220"/>
        <v>0</v>
      </c>
      <c r="AS45" s="5">
        <v>300.7</v>
      </c>
      <c r="AT45" s="5">
        <v>0.28000000000000003</v>
      </c>
      <c r="AU45" s="133">
        <f t="shared" si="221"/>
        <v>0</v>
      </c>
      <c r="AV45" s="133" t="e">
        <f t="shared" si="222"/>
        <v>#DIV/0!</v>
      </c>
      <c r="AW45" s="133">
        <f t="shared" si="223"/>
        <v>0</v>
      </c>
      <c r="AX45" s="133" t="e">
        <f t="shared" si="224"/>
        <v>#DIV/0!</v>
      </c>
      <c r="AY45" s="133">
        <f t="shared" si="225"/>
        <v>0</v>
      </c>
      <c r="AZ45" s="133" t="e">
        <f t="shared" si="226"/>
        <v>#DIV/0!</v>
      </c>
      <c r="BA45" s="133">
        <f t="shared" si="227"/>
        <v>0</v>
      </c>
      <c r="BB45" s="133" t="e">
        <f t="shared" si="228"/>
        <v>#DIV/0!</v>
      </c>
      <c r="BC45" s="6"/>
      <c r="BD45" s="8"/>
      <c r="BE45" s="133">
        <f t="shared" si="229"/>
        <v>0</v>
      </c>
      <c r="BF45" s="133" t="e">
        <f t="shared" si="230"/>
        <v>#DIV/0!</v>
      </c>
      <c r="BG45" s="133">
        <f t="shared" si="231"/>
        <v>0</v>
      </c>
      <c r="BH45" s="133" t="e">
        <f t="shared" si="232"/>
        <v>#DIV/0!</v>
      </c>
      <c r="BI45" s="143">
        <f t="shared" si="233"/>
        <v>0</v>
      </c>
      <c r="BJ45" s="133" t="e">
        <f t="shared" si="234"/>
        <v>#DIV/0!</v>
      </c>
      <c r="BK45" s="143">
        <f t="shared" si="235"/>
        <v>0</v>
      </c>
      <c r="BL45" s="133" t="e">
        <f t="shared" si="236"/>
        <v>#DIV/0!</v>
      </c>
      <c r="BM45" s="143">
        <f t="shared" si="237"/>
        <v>0</v>
      </c>
      <c r="BN45" s="133" t="e">
        <f t="shared" si="238"/>
        <v>#DIV/0!</v>
      </c>
      <c r="BO45" s="147">
        <f t="shared" si="239"/>
        <v>0</v>
      </c>
      <c r="BP45" s="147" t="e">
        <f t="shared" si="240"/>
        <v>#DIV/0!</v>
      </c>
      <c r="BR45" s="147">
        <f t="shared" si="241"/>
        <v>0</v>
      </c>
      <c r="BS45" s="147" t="e">
        <f t="shared" si="242"/>
        <v>#DIV/0!</v>
      </c>
      <c r="BT45" s="143">
        <f t="shared" si="243"/>
        <v>0</v>
      </c>
      <c r="BU45" s="147" t="e">
        <f t="shared" si="244"/>
        <v>#DIV/0!</v>
      </c>
      <c r="BV45" s="143">
        <f t="shared" si="245"/>
        <v>0</v>
      </c>
      <c r="BW45" s="143" t="e">
        <f t="shared" si="246"/>
        <v>#DIV/0!</v>
      </c>
      <c r="BX45" s="3">
        <v>1.6986774770655257E-12</v>
      </c>
      <c r="BY45" s="3">
        <v>9.4454002365720605E-16</v>
      </c>
      <c r="BZ45" s="157">
        <f t="shared" si="247"/>
        <v>0</v>
      </c>
      <c r="CA45" s="157" t="e">
        <f t="shared" si="248"/>
        <v>#DIV/0!</v>
      </c>
      <c r="CB45" s="157">
        <f t="shared" si="249"/>
        <v>0</v>
      </c>
      <c r="CC45" s="158" t="e">
        <f t="shared" si="250"/>
        <v>#DIV/0!</v>
      </c>
      <c r="CD45" s="157">
        <f t="shared" si="251"/>
        <v>0</v>
      </c>
      <c r="CE45" s="477" t="e">
        <f t="shared" si="252"/>
        <v>#DIV/0!</v>
      </c>
      <c r="CF45" s="157">
        <f t="shared" si="253"/>
        <v>0</v>
      </c>
      <c r="CG45" s="157" t="e">
        <f t="shared" si="254"/>
        <v>#DIV/0!</v>
      </c>
      <c r="CH45" s="157">
        <f t="shared" si="255"/>
        <v>0</v>
      </c>
      <c r="CI45" s="157" t="e">
        <f t="shared" si="256"/>
        <v>#DIV/0!</v>
      </c>
      <c r="CJ45" s="157">
        <f t="shared" si="257"/>
        <v>0</v>
      </c>
      <c r="CK45" s="157" t="e">
        <f t="shared" si="258"/>
        <v>#DIV/0!</v>
      </c>
      <c r="CL45" s="157">
        <f t="shared" si="259"/>
        <v>0</v>
      </c>
      <c r="CM45" s="157" t="e">
        <f t="shared" si="260"/>
        <v>#DIV/0!</v>
      </c>
      <c r="CN45" s="66">
        <v>5.1340830000000002E-3</v>
      </c>
      <c r="CO45" s="66">
        <v>7.5577700000000003E-6</v>
      </c>
      <c r="CP45" s="3">
        <v>1.1139738540500025E+19</v>
      </c>
      <c r="CQ45" s="60">
        <v>1.0453256904066513E+18</v>
      </c>
      <c r="CR45" s="3">
        <v>8.0438364680336474E+17</v>
      </c>
      <c r="CS45" s="3">
        <v>8.527140119058072E+16</v>
      </c>
      <c r="CT45" s="6">
        <v>0.49881143094597263</v>
      </c>
      <c r="CU45" s="6">
        <v>4.5926073391395927E-2</v>
      </c>
      <c r="CV45" s="4">
        <v>24.581879797320056</v>
      </c>
      <c r="CW45" s="4">
        <v>0.55629982285426871</v>
      </c>
      <c r="CX45" s="157">
        <f t="shared" si="261"/>
        <v>0</v>
      </c>
      <c r="CY45" s="157" t="e">
        <f t="shared" si="262"/>
        <v>#DIV/0!</v>
      </c>
      <c r="CZ45" s="133">
        <f t="shared" si="263"/>
        <v>0</v>
      </c>
      <c r="DA45" s="133" t="e">
        <f t="shared" si="264"/>
        <v>#DIV/0!</v>
      </c>
      <c r="DB45" s="159">
        <f t="shared" si="265"/>
        <v>0</v>
      </c>
      <c r="DC45" s="167" t="e">
        <f t="shared" si="266"/>
        <v>#DIV/0!</v>
      </c>
      <c r="DD45" s="157">
        <f t="shared" si="267"/>
        <v>0</v>
      </c>
      <c r="DE45" s="157" t="e">
        <f t="shared" si="268"/>
        <v>#DIV/0!</v>
      </c>
      <c r="DF45" s="147">
        <f t="shared" si="269"/>
        <v>0</v>
      </c>
      <c r="DG45" s="133" t="e">
        <f t="shared" si="270"/>
        <v>#DIV/0!</v>
      </c>
      <c r="DH45" s="159">
        <f t="shared" si="271"/>
        <v>0</v>
      </c>
      <c r="DI45" s="167" t="e">
        <f t="shared" si="272"/>
        <v>#DIV/0!</v>
      </c>
      <c r="DJ45" s="157">
        <f t="shared" si="273"/>
        <v>0</v>
      </c>
      <c r="DK45" s="157" t="e">
        <f t="shared" si="274"/>
        <v>#DIV/0!</v>
      </c>
      <c r="DL45" s="143">
        <f t="shared" si="275"/>
        <v>0</v>
      </c>
      <c r="DM45" s="143" t="e">
        <f t="shared" si="276"/>
        <v>#DIV/0!</v>
      </c>
      <c r="DN45" s="147">
        <f t="shared" si="277"/>
        <v>0</v>
      </c>
      <c r="DO45" s="147" t="e">
        <f t="shared" si="278"/>
        <v>#DIV/0!</v>
      </c>
      <c r="DP45" s="133" t="e">
        <f t="shared" si="279"/>
        <v>#DIV/0!</v>
      </c>
      <c r="DQ45" s="133" t="e">
        <f t="shared" si="280"/>
        <v>#DIV/0!</v>
      </c>
      <c r="DR45" s="133" t="e">
        <f t="shared" si="281"/>
        <v>#DIV/0!</v>
      </c>
      <c r="DS45" s="133" t="e">
        <f t="shared" si="282"/>
        <v>#DIV/0!</v>
      </c>
      <c r="DT45" s="133" t="e">
        <f t="shared" si="283"/>
        <v>#DIV/0!</v>
      </c>
      <c r="DU45" s="133" t="e">
        <f t="shared" si="284"/>
        <v>#DIV/0!</v>
      </c>
      <c r="DV45" s="133" t="e">
        <f t="shared" si="285"/>
        <v>#DIV/0!</v>
      </c>
      <c r="DW45" s="133" t="e">
        <f t="shared" si="286"/>
        <v>#DIV/0!</v>
      </c>
      <c r="DX45" s="157" t="e">
        <f t="shared" si="287"/>
        <v>#DIV/0!</v>
      </c>
      <c r="DY45" s="157" t="e">
        <f t="shared" si="288"/>
        <v>#DIV/0!</v>
      </c>
      <c r="DZ45" s="147" t="e">
        <f t="shared" si="289"/>
        <v>#DIV/0!</v>
      </c>
      <c r="EA45" s="147" t="e">
        <f t="shared" si="290"/>
        <v>#DIV/0!</v>
      </c>
      <c r="EB45" s="157" t="e">
        <f t="shared" si="291"/>
        <v>#DIV/0!</v>
      </c>
      <c r="EC45" s="157" t="e">
        <f t="shared" si="292"/>
        <v>#DIV/0!</v>
      </c>
      <c r="ED45" s="147" t="e">
        <f t="shared" si="293"/>
        <v>#DIV/0!</v>
      </c>
      <c r="EE45" s="147" t="e">
        <f t="shared" si="294"/>
        <v>#DIV/0!</v>
      </c>
      <c r="EF45" s="147" t="e">
        <f t="shared" si="295"/>
        <v>#DIV/0!</v>
      </c>
      <c r="EG45" s="143" t="e">
        <f t="shared" si="296"/>
        <v>#DIV/0!</v>
      </c>
      <c r="EH45" s="147" t="e">
        <f t="shared" si="297"/>
        <v>#DIV/0!</v>
      </c>
      <c r="EI45" s="147" t="e">
        <f t="shared" si="298"/>
        <v>#DIV/0!</v>
      </c>
      <c r="EJ45" s="501">
        <f t="shared" si="310"/>
        <v>0</v>
      </c>
      <c r="EK45" s="143" t="e">
        <f t="shared" si="299"/>
        <v>#DIV/0!</v>
      </c>
      <c r="EL45" s="143" t="e">
        <f t="shared" si="299"/>
        <v>#DIV/0!</v>
      </c>
      <c r="EM45" s="147" t="e">
        <f t="shared" si="300"/>
        <v>#DIV/0!</v>
      </c>
      <c r="EN45" s="147" t="e">
        <f t="shared" si="301"/>
        <v>#DIV/0!</v>
      </c>
      <c r="EO45" s="143" t="e">
        <f t="shared" si="302"/>
        <v>#DIV/0!</v>
      </c>
      <c r="EP45" s="143" t="e">
        <f t="shared" si="303"/>
        <v>#DIV/0!</v>
      </c>
      <c r="EQ45" s="157" t="e">
        <f t="shared" si="304"/>
        <v>#DIV/0!</v>
      </c>
      <c r="ER45" s="157" t="e">
        <f t="shared" si="305"/>
        <v>#DIV/0!</v>
      </c>
      <c r="ES45" s="157" t="e">
        <f t="shared" si="306"/>
        <v>#DIV/0!</v>
      </c>
      <c r="ET45" s="157" t="e">
        <f t="shared" si="307"/>
        <v>#DIV/0!</v>
      </c>
      <c r="LQ45" s="214" t="str">
        <f t="shared" si="96"/>
        <v>A1x Bulk</v>
      </c>
      <c r="LR45" s="214" t="str">
        <f t="shared" si="97"/>
        <v>MN2022a</v>
      </c>
      <c r="LS45" s="211">
        <f t="shared" si="98"/>
        <v>0</v>
      </c>
      <c r="LT45" s="211" t="str">
        <f t="shared" si="99"/>
        <v/>
      </c>
      <c r="LU45" s="211">
        <f t="shared" si="100"/>
        <v>0</v>
      </c>
      <c r="LV45" s="211" t="e">
        <f t="shared" si="101"/>
        <v>#DIV/0!</v>
      </c>
      <c r="LW45" s="211">
        <f t="shared" si="102"/>
        <v>0</v>
      </c>
      <c r="LX45" s="211" t="e">
        <f t="shared" si="103"/>
        <v>#DIV/0!</v>
      </c>
      <c r="LY45" s="211"/>
      <c r="LZ45" s="211"/>
      <c r="MA45" s="211"/>
      <c r="MB45" s="211"/>
      <c r="MC45" s="211"/>
      <c r="MD45" s="211"/>
      <c r="ME45" s="211"/>
      <c r="MF45" s="211"/>
      <c r="MG45" s="211"/>
      <c r="MH45" s="211"/>
      <c r="MI45" s="211"/>
      <c r="MJ45" s="211"/>
      <c r="MK45" s="211"/>
      <c r="ML45" s="211"/>
      <c r="MM45" s="211"/>
      <c r="MN45" s="211"/>
      <c r="MO45" s="506" t="e">
        <f t="shared" si="107"/>
        <v>#DIV/0!</v>
      </c>
      <c r="MP45" s="506" t="e">
        <f t="shared" si="107"/>
        <v>#DIV/0!</v>
      </c>
      <c r="MQ45" s="109"/>
      <c r="MR45" s="109"/>
      <c r="MS45" s="109"/>
      <c r="MT45" s="109"/>
      <c r="MU45" s="109"/>
      <c r="MV45" s="109"/>
      <c r="MW45" s="506" t="e">
        <f t="shared" si="108"/>
        <v>#DIV/0!</v>
      </c>
      <c r="MX45" s="506" t="e">
        <f t="shared" si="108"/>
        <v>#DIV/0!</v>
      </c>
      <c r="MY45" s="109"/>
      <c r="MZ45" s="109"/>
      <c r="NA45" s="109"/>
      <c r="NB45" s="109"/>
      <c r="NC45" s="109"/>
      <c r="ND45" s="109"/>
    </row>
    <row r="46" spans="2:368">
      <c r="B46" s="245" t="s">
        <v>934</v>
      </c>
      <c r="C46" s="5">
        <f t="shared" si="308"/>
        <v>1.11E-2</v>
      </c>
      <c r="D46" s="66">
        <f t="shared" si="309"/>
        <v>5.5500000000000001E-5</v>
      </c>
      <c r="E46" s="67">
        <v>44727</v>
      </c>
      <c r="F46" s="5" t="s">
        <v>210</v>
      </c>
      <c r="G46" s="5" t="s">
        <v>893</v>
      </c>
      <c r="H46" s="5">
        <v>1</v>
      </c>
      <c r="J46" s="327">
        <v>44644</v>
      </c>
      <c r="K46" s="67" t="s">
        <v>823</v>
      </c>
      <c r="L46" s="5">
        <v>15</v>
      </c>
      <c r="M46" s="5">
        <v>10.31</v>
      </c>
      <c r="N46" s="5">
        <v>30</v>
      </c>
      <c r="O46" s="6"/>
      <c r="P46" s="6"/>
      <c r="Q46" s="6"/>
      <c r="R46" s="6"/>
      <c r="S46" s="6"/>
      <c r="T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133">
        <f t="shared" si="211"/>
        <v>0</v>
      </c>
      <c r="AJ46" s="133">
        <f t="shared" si="212"/>
        <v>0</v>
      </c>
      <c r="AK46" s="133">
        <f t="shared" si="213"/>
        <v>0</v>
      </c>
      <c r="AL46" s="133">
        <f t="shared" si="214"/>
        <v>0</v>
      </c>
      <c r="AM46" s="133">
        <f t="shared" si="215"/>
        <v>0</v>
      </c>
      <c r="AN46" s="133">
        <f t="shared" si="216"/>
        <v>0</v>
      </c>
      <c r="AO46" s="133">
        <f t="shared" si="217"/>
        <v>0</v>
      </c>
      <c r="AP46" s="133">
        <f t="shared" si="218"/>
        <v>0</v>
      </c>
      <c r="AQ46" s="133">
        <f t="shared" si="219"/>
        <v>0</v>
      </c>
      <c r="AR46" s="133">
        <f t="shared" si="220"/>
        <v>0</v>
      </c>
      <c r="AS46" s="5">
        <v>300.7</v>
      </c>
      <c r="AT46" s="5">
        <v>0.28000000000000003</v>
      </c>
      <c r="AU46" s="133">
        <f t="shared" si="221"/>
        <v>0</v>
      </c>
      <c r="AV46" s="133" t="e">
        <f t="shared" si="222"/>
        <v>#DIV/0!</v>
      </c>
      <c r="AW46" s="133">
        <f t="shared" si="223"/>
        <v>0</v>
      </c>
      <c r="AX46" s="133" t="e">
        <f t="shared" si="224"/>
        <v>#DIV/0!</v>
      </c>
      <c r="AY46" s="133">
        <f t="shared" si="225"/>
        <v>0</v>
      </c>
      <c r="AZ46" s="133" t="e">
        <f t="shared" si="226"/>
        <v>#DIV/0!</v>
      </c>
      <c r="BA46" s="133">
        <f t="shared" si="227"/>
        <v>0</v>
      </c>
      <c r="BB46" s="133" t="e">
        <f t="shared" si="228"/>
        <v>#DIV/0!</v>
      </c>
      <c r="BC46" s="6"/>
      <c r="BD46" s="8"/>
      <c r="BE46" s="133">
        <f t="shared" si="229"/>
        <v>0</v>
      </c>
      <c r="BF46" s="133" t="e">
        <f t="shared" si="230"/>
        <v>#DIV/0!</v>
      </c>
      <c r="BG46" s="133">
        <f t="shared" si="231"/>
        <v>0</v>
      </c>
      <c r="BH46" s="133" t="e">
        <f t="shared" si="232"/>
        <v>#DIV/0!</v>
      </c>
      <c r="BI46" s="143">
        <f t="shared" si="233"/>
        <v>0</v>
      </c>
      <c r="BJ46" s="133" t="e">
        <f t="shared" si="234"/>
        <v>#DIV/0!</v>
      </c>
      <c r="BK46" s="143">
        <f t="shared" si="235"/>
        <v>0</v>
      </c>
      <c r="BL46" s="133" t="e">
        <f t="shared" si="236"/>
        <v>#DIV/0!</v>
      </c>
      <c r="BM46" s="143">
        <f t="shared" si="237"/>
        <v>0</v>
      </c>
      <c r="BN46" s="133" t="e">
        <f t="shared" si="238"/>
        <v>#DIV/0!</v>
      </c>
      <c r="BO46" s="147">
        <f t="shared" si="239"/>
        <v>0</v>
      </c>
      <c r="BP46" s="147" t="e">
        <f t="shared" si="240"/>
        <v>#DIV/0!</v>
      </c>
      <c r="BR46" s="147">
        <f t="shared" si="241"/>
        <v>0</v>
      </c>
      <c r="BS46" s="147" t="e">
        <f t="shared" si="242"/>
        <v>#DIV/0!</v>
      </c>
      <c r="BT46" s="143">
        <f t="shared" si="243"/>
        <v>0</v>
      </c>
      <c r="BU46" s="147" t="e">
        <f t="shared" si="244"/>
        <v>#DIV/0!</v>
      </c>
      <c r="BV46" s="143">
        <f t="shared" si="245"/>
        <v>0</v>
      </c>
      <c r="BW46" s="143" t="e">
        <f t="shared" si="246"/>
        <v>#DIV/0!</v>
      </c>
      <c r="BX46" s="3">
        <v>1.6986774770655257E-12</v>
      </c>
      <c r="BY46" s="3">
        <v>9.4454002365720605E-16</v>
      </c>
      <c r="BZ46" s="157">
        <f t="shared" si="247"/>
        <v>0</v>
      </c>
      <c r="CA46" s="157" t="e">
        <f t="shared" si="248"/>
        <v>#DIV/0!</v>
      </c>
      <c r="CB46" s="157">
        <f t="shared" si="249"/>
        <v>0</v>
      </c>
      <c r="CC46" s="158" t="e">
        <f t="shared" si="250"/>
        <v>#DIV/0!</v>
      </c>
      <c r="CD46" s="157">
        <f t="shared" si="251"/>
        <v>0</v>
      </c>
      <c r="CE46" s="477" t="e">
        <f t="shared" si="252"/>
        <v>#DIV/0!</v>
      </c>
      <c r="CF46" s="157">
        <f t="shared" si="253"/>
        <v>0</v>
      </c>
      <c r="CG46" s="157" t="e">
        <f t="shared" si="254"/>
        <v>#DIV/0!</v>
      </c>
      <c r="CH46" s="157">
        <f t="shared" si="255"/>
        <v>0</v>
      </c>
      <c r="CI46" s="157" t="e">
        <f t="shared" si="256"/>
        <v>#DIV/0!</v>
      </c>
      <c r="CJ46" s="157">
        <f t="shared" si="257"/>
        <v>0</v>
      </c>
      <c r="CK46" s="157" t="e">
        <f t="shared" si="258"/>
        <v>#DIV/0!</v>
      </c>
      <c r="CL46" s="157">
        <f t="shared" si="259"/>
        <v>0</v>
      </c>
      <c r="CM46" s="157" t="e">
        <f t="shared" si="260"/>
        <v>#DIV/0!</v>
      </c>
      <c r="CN46" s="66">
        <v>5.1340830000000002E-3</v>
      </c>
      <c r="CO46" s="66">
        <v>7.5577700000000003E-6</v>
      </c>
      <c r="CP46" s="3">
        <v>1.1139738540500025E+19</v>
      </c>
      <c r="CQ46" s="60">
        <v>1.0453256904066513E+18</v>
      </c>
      <c r="CR46" s="3">
        <v>8.0438364680336474E+17</v>
      </c>
      <c r="CS46" s="3">
        <v>8.527140119058072E+16</v>
      </c>
      <c r="CT46" s="6">
        <v>0.49881143094597263</v>
      </c>
      <c r="CU46" s="6">
        <v>4.5926073391395927E-2</v>
      </c>
      <c r="CV46" s="4">
        <v>24.581879797320056</v>
      </c>
      <c r="CW46" s="4">
        <v>0.55629982285426871</v>
      </c>
      <c r="CX46" s="157">
        <f t="shared" si="261"/>
        <v>0</v>
      </c>
      <c r="CY46" s="157" t="e">
        <f t="shared" si="262"/>
        <v>#DIV/0!</v>
      </c>
      <c r="CZ46" s="133">
        <f t="shared" si="263"/>
        <v>0</v>
      </c>
      <c r="DA46" s="133" t="e">
        <f t="shared" si="264"/>
        <v>#DIV/0!</v>
      </c>
      <c r="DB46" s="159">
        <f t="shared" si="265"/>
        <v>0</v>
      </c>
      <c r="DC46" s="167" t="e">
        <f t="shared" si="266"/>
        <v>#DIV/0!</v>
      </c>
      <c r="DD46" s="157">
        <f t="shared" si="267"/>
        <v>0</v>
      </c>
      <c r="DE46" s="157" t="e">
        <f t="shared" si="268"/>
        <v>#DIV/0!</v>
      </c>
      <c r="DF46" s="147">
        <f t="shared" si="269"/>
        <v>0</v>
      </c>
      <c r="DG46" s="133" t="e">
        <f t="shared" si="270"/>
        <v>#DIV/0!</v>
      </c>
      <c r="DH46" s="159">
        <f t="shared" si="271"/>
        <v>0</v>
      </c>
      <c r="DI46" s="167" t="e">
        <f t="shared" si="272"/>
        <v>#DIV/0!</v>
      </c>
      <c r="DJ46" s="157">
        <f t="shared" si="273"/>
        <v>0</v>
      </c>
      <c r="DK46" s="157" t="e">
        <f t="shared" si="274"/>
        <v>#DIV/0!</v>
      </c>
      <c r="DL46" s="143">
        <f t="shared" si="275"/>
        <v>0</v>
      </c>
      <c r="DM46" s="143" t="e">
        <f t="shared" si="276"/>
        <v>#DIV/0!</v>
      </c>
      <c r="DN46" s="147">
        <f t="shared" si="277"/>
        <v>0</v>
      </c>
      <c r="DO46" s="147" t="e">
        <f t="shared" si="278"/>
        <v>#DIV/0!</v>
      </c>
      <c r="DP46" s="133" t="e">
        <f t="shared" si="279"/>
        <v>#DIV/0!</v>
      </c>
      <c r="DQ46" s="133" t="e">
        <f t="shared" si="280"/>
        <v>#DIV/0!</v>
      </c>
      <c r="DR46" s="133" t="e">
        <f t="shared" si="281"/>
        <v>#DIV/0!</v>
      </c>
      <c r="DS46" s="133" t="e">
        <f t="shared" si="282"/>
        <v>#DIV/0!</v>
      </c>
      <c r="DT46" s="133" t="e">
        <f t="shared" si="283"/>
        <v>#DIV/0!</v>
      </c>
      <c r="DU46" s="133" t="e">
        <f t="shared" si="284"/>
        <v>#DIV/0!</v>
      </c>
      <c r="DV46" s="133" t="e">
        <f t="shared" si="285"/>
        <v>#DIV/0!</v>
      </c>
      <c r="DW46" s="133" t="e">
        <f t="shared" si="286"/>
        <v>#DIV/0!</v>
      </c>
      <c r="DX46" s="157" t="e">
        <f t="shared" si="287"/>
        <v>#DIV/0!</v>
      </c>
      <c r="DY46" s="157" t="e">
        <f t="shared" si="288"/>
        <v>#DIV/0!</v>
      </c>
      <c r="DZ46" s="147" t="e">
        <f t="shared" si="289"/>
        <v>#DIV/0!</v>
      </c>
      <c r="EA46" s="147" t="e">
        <f t="shared" si="290"/>
        <v>#DIV/0!</v>
      </c>
      <c r="EB46" s="157" t="e">
        <f t="shared" si="291"/>
        <v>#DIV/0!</v>
      </c>
      <c r="EC46" s="157" t="e">
        <f t="shared" si="292"/>
        <v>#DIV/0!</v>
      </c>
      <c r="ED46" s="147" t="e">
        <f t="shared" si="293"/>
        <v>#DIV/0!</v>
      </c>
      <c r="EE46" s="147" t="e">
        <f t="shared" si="294"/>
        <v>#DIV/0!</v>
      </c>
      <c r="EF46" s="147" t="e">
        <f t="shared" si="295"/>
        <v>#DIV/0!</v>
      </c>
      <c r="EG46" s="143" t="e">
        <f t="shared" si="296"/>
        <v>#DIV/0!</v>
      </c>
      <c r="EH46" s="147" t="e">
        <f t="shared" si="297"/>
        <v>#DIV/0!</v>
      </c>
      <c r="EI46" s="147" t="e">
        <f t="shared" si="298"/>
        <v>#DIV/0!</v>
      </c>
      <c r="EJ46" s="501">
        <f t="shared" si="310"/>
        <v>0</v>
      </c>
      <c r="EK46" s="143" t="e">
        <f t="shared" si="299"/>
        <v>#DIV/0!</v>
      </c>
      <c r="EL46" s="143" t="e">
        <f t="shared" si="299"/>
        <v>#DIV/0!</v>
      </c>
      <c r="EM46" s="147" t="e">
        <f t="shared" si="300"/>
        <v>#DIV/0!</v>
      </c>
      <c r="EN46" s="147" t="e">
        <f t="shared" si="301"/>
        <v>#DIV/0!</v>
      </c>
      <c r="EO46" s="143" t="e">
        <f t="shared" si="302"/>
        <v>#DIV/0!</v>
      </c>
      <c r="EP46" s="143" t="e">
        <f t="shared" si="303"/>
        <v>#DIV/0!</v>
      </c>
      <c r="EQ46" s="157" t="e">
        <f t="shared" si="304"/>
        <v>#DIV/0!</v>
      </c>
      <c r="ER46" s="157" t="e">
        <f t="shared" si="305"/>
        <v>#DIV/0!</v>
      </c>
      <c r="ES46" s="157" t="e">
        <f t="shared" si="306"/>
        <v>#DIV/0!</v>
      </c>
      <c r="ET46" s="157" t="e">
        <f t="shared" si="307"/>
        <v>#DIV/0!</v>
      </c>
      <c r="LQ46" s="214" t="str">
        <f t="shared" si="96"/>
        <v>A1x Bulk</v>
      </c>
      <c r="LR46" s="214" t="str">
        <f t="shared" si="97"/>
        <v>MN2022a</v>
      </c>
      <c r="LS46" s="211">
        <f t="shared" si="98"/>
        <v>0</v>
      </c>
      <c r="LT46" s="211" t="str">
        <f t="shared" si="99"/>
        <v/>
      </c>
      <c r="LU46" s="211">
        <f t="shared" si="100"/>
        <v>0</v>
      </c>
      <c r="LV46" s="211" t="e">
        <f t="shared" si="101"/>
        <v>#DIV/0!</v>
      </c>
      <c r="LW46" s="211">
        <f t="shared" si="102"/>
        <v>0</v>
      </c>
      <c r="LX46" s="211" t="e">
        <f t="shared" si="103"/>
        <v>#DIV/0!</v>
      </c>
      <c r="LY46" s="211"/>
      <c r="LZ46" s="211"/>
      <c r="MA46" s="211"/>
      <c r="MB46" s="211"/>
      <c r="MC46" s="211"/>
      <c r="MD46" s="211"/>
      <c r="ME46" s="211"/>
      <c r="MF46" s="211"/>
      <c r="MG46" s="211"/>
      <c r="MH46" s="211"/>
      <c r="MI46" s="211"/>
      <c r="MJ46" s="211"/>
      <c r="MK46" s="211"/>
      <c r="ML46" s="211"/>
      <c r="MM46" s="211"/>
      <c r="MN46" s="211"/>
      <c r="MO46" s="506" t="e">
        <f t="shared" si="107"/>
        <v>#DIV/0!</v>
      </c>
      <c r="MP46" s="506" t="e">
        <f t="shared" si="107"/>
        <v>#DIV/0!</v>
      </c>
      <c r="MQ46" s="109"/>
      <c r="MR46" s="109"/>
      <c r="MS46" s="109"/>
      <c r="MT46" s="109"/>
      <c r="MU46" s="109"/>
      <c r="MV46" s="109"/>
      <c r="MW46" s="506" t="e">
        <f t="shared" si="108"/>
        <v>#DIV/0!</v>
      </c>
      <c r="MX46" s="506" t="e">
        <f t="shared" si="108"/>
        <v>#DIV/0!</v>
      </c>
      <c r="MY46" s="109"/>
      <c r="MZ46" s="109"/>
      <c r="NA46" s="109"/>
      <c r="NB46" s="109"/>
      <c r="NC46" s="109"/>
      <c r="ND46" s="109"/>
    </row>
    <row r="47" spans="2:368">
      <c r="B47" s="245" t="s">
        <v>934</v>
      </c>
      <c r="C47" s="5">
        <f t="shared" si="308"/>
        <v>1.11E-2</v>
      </c>
      <c r="D47" s="66">
        <f t="shared" si="309"/>
        <v>5.5500000000000001E-5</v>
      </c>
      <c r="E47" s="67">
        <v>44727</v>
      </c>
      <c r="F47" s="5" t="s">
        <v>210</v>
      </c>
      <c r="G47" s="5" t="s">
        <v>893</v>
      </c>
      <c r="H47" s="5">
        <v>1</v>
      </c>
      <c r="J47" s="327">
        <v>44644</v>
      </c>
      <c r="K47" s="67" t="s">
        <v>823</v>
      </c>
      <c r="L47" s="5">
        <v>20</v>
      </c>
      <c r="M47" s="5">
        <v>13.16</v>
      </c>
      <c r="N47" s="5">
        <v>30</v>
      </c>
      <c r="O47" s="6"/>
      <c r="P47" s="118"/>
      <c r="Q47" s="6"/>
      <c r="R47" s="118"/>
      <c r="S47" s="6"/>
      <c r="T47" s="118"/>
      <c r="V47" s="118"/>
      <c r="W47" s="6"/>
      <c r="X47" s="118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133">
        <f t="shared" si="211"/>
        <v>0</v>
      </c>
      <c r="AJ47" s="133">
        <f t="shared" si="212"/>
        <v>0</v>
      </c>
      <c r="AK47" s="133">
        <f t="shared" si="213"/>
        <v>0</v>
      </c>
      <c r="AL47" s="133">
        <f t="shared" si="214"/>
        <v>0</v>
      </c>
      <c r="AM47" s="133">
        <f t="shared" si="215"/>
        <v>0</v>
      </c>
      <c r="AN47" s="133">
        <f t="shared" si="216"/>
        <v>0</v>
      </c>
      <c r="AO47" s="133">
        <f t="shared" si="217"/>
        <v>0</v>
      </c>
      <c r="AP47" s="133">
        <f t="shared" si="218"/>
        <v>0</v>
      </c>
      <c r="AQ47" s="133">
        <f t="shared" si="219"/>
        <v>0</v>
      </c>
      <c r="AR47" s="133">
        <f t="shared" si="220"/>
        <v>0</v>
      </c>
      <c r="AS47" s="5">
        <v>300.7</v>
      </c>
      <c r="AT47" s="5">
        <v>0.28000000000000003</v>
      </c>
      <c r="AU47" s="133">
        <f t="shared" si="221"/>
        <v>0</v>
      </c>
      <c r="AV47" s="133" t="e">
        <f t="shared" si="222"/>
        <v>#DIV/0!</v>
      </c>
      <c r="AW47" s="133">
        <f t="shared" si="223"/>
        <v>0</v>
      </c>
      <c r="AX47" s="133" t="e">
        <f t="shared" si="224"/>
        <v>#DIV/0!</v>
      </c>
      <c r="AY47" s="133">
        <f t="shared" si="225"/>
        <v>0</v>
      </c>
      <c r="AZ47" s="133" t="e">
        <f t="shared" si="226"/>
        <v>#DIV/0!</v>
      </c>
      <c r="BA47" s="133">
        <f t="shared" si="227"/>
        <v>0</v>
      </c>
      <c r="BB47" s="133" t="e">
        <f t="shared" si="228"/>
        <v>#DIV/0!</v>
      </c>
      <c r="BC47" s="6"/>
      <c r="BD47" s="8"/>
      <c r="BE47" s="133">
        <f t="shared" si="229"/>
        <v>0</v>
      </c>
      <c r="BF47" s="133" t="e">
        <f t="shared" si="230"/>
        <v>#DIV/0!</v>
      </c>
      <c r="BG47" s="133">
        <f t="shared" si="231"/>
        <v>0</v>
      </c>
      <c r="BH47" s="133" t="e">
        <f t="shared" si="232"/>
        <v>#DIV/0!</v>
      </c>
      <c r="BI47" s="143">
        <f t="shared" si="233"/>
        <v>0</v>
      </c>
      <c r="BJ47" s="133" t="e">
        <f t="shared" si="234"/>
        <v>#DIV/0!</v>
      </c>
      <c r="BK47" s="143">
        <f t="shared" si="235"/>
        <v>0</v>
      </c>
      <c r="BL47" s="133" t="e">
        <f t="shared" si="236"/>
        <v>#DIV/0!</v>
      </c>
      <c r="BM47" s="143">
        <f t="shared" si="237"/>
        <v>0</v>
      </c>
      <c r="BN47" s="133" t="e">
        <f t="shared" si="238"/>
        <v>#DIV/0!</v>
      </c>
      <c r="BO47" s="147">
        <f t="shared" si="239"/>
        <v>0</v>
      </c>
      <c r="BP47" s="147" t="e">
        <f t="shared" si="240"/>
        <v>#DIV/0!</v>
      </c>
      <c r="BR47" s="147">
        <f t="shared" si="241"/>
        <v>0</v>
      </c>
      <c r="BS47" s="147" t="e">
        <f t="shared" si="242"/>
        <v>#DIV/0!</v>
      </c>
      <c r="BT47" s="143">
        <f t="shared" si="243"/>
        <v>0</v>
      </c>
      <c r="BU47" s="147" t="e">
        <f t="shared" si="244"/>
        <v>#DIV/0!</v>
      </c>
      <c r="BV47" s="143">
        <f t="shared" si="245"/>
        <v>0</v>
      </c>
      <c r="BW47" s="143" t="e">
        <f t="shared" si="246"/>
        <v>#DIV/0!</v>
      </c>
      <c r="BX47" s="3">
        <v>1.6986774770655257E-12</v>
      </c>
      <c r="BY47" s="3">
        <v>9.4454002365720605E-16</v>
      </c>
      <c r="BZ47" s="157">
        <f t="shared" si="247"/>
        <v>0</v>
      </c>
      <c r="CA47" s="157" t="e">
        <f t="shared" si="248"/>
        <v>#DIV/0!</v>
      </c>
      <c r="CB47" s="157">
        <f t="shared" si="249"/>
        <v>0</v>
      </c>
      <c r="CC47" s="158" t="e">
        <f t="shared" si="250"/>
        <v>#DIV/0!</v>
      </c>
      <c r="CD47" s="157">
        <f t="shared" si="251"/>
        <v>0</v>
      </c>
      <c r="CE47" s="477" t="e">
        <f t="shared" si="252"/>
        <v>#DIV/0!</v>
      </c>
      <c r="CF47" s="157">
        <f t="shared" si="253"/>
        <v>0</v>
      </c>
      <c r="CG47" s="157" t="e">
        <f t="shared" si="254"/>
        <v>#DIV/0!</v>
      </c>
      <c r="CH47" s="157">
        <f t="shared" si="255"/>
        <v>0</v>
      </c>
      <c r="CI47" s="157" t="e">
        <f t="shared" si="256"/>
        <v>#DIV/0!</v>
      </c>
      <c r="CJ47" s="157">
        <f t="shared" si="257"/>
        <v>0</v>
      </c>
      <c r="CK47" s="157" t="e">
        <f t="shared" si="258"/>
        <v>#DIV/0!</v>
      </c>
      <c r="CL47" s="157">
        <f t="shared" si="259"/>
        <v>0</v>
      </c>
      <c r="CM47" s="157" t="e">
        <f t="shared" si="260"/>
        <v>#DIV/0!</v>
      </c>
      <c r="CN47" s="66">
        <v>5.1340830000000002E-3</v>
      </c>
      <c r="CO47" s="66">
        <v>7.5577700000000003E-6</v>
      </c>
      <c r="CP47" s="3">
        <v>1.1139738540500025E+19</v>
      </c>
      <c r="CQ47" s="60">
        <v>1.0453256904066513E+18</v>
      </c>
      <c r="CR47" s="3">
        <v>8.0438364680336474E+17</v>
      </c>
      <c r="CS47" s="3">
        <v>8.527140119058072E+16</v>
      </c>
      <c r="CT47" s="6">
        <v>0.49881143094597263</v>
      </c>
      <c r="CU47" s="6">
        <v>4.5926073391395927E-2</v>
      </c>
      <c r="CV47" s="4">
        <v>24.581879797320056</v>
      </c>
      <c r="CW47" s="4">
        <v>0.55629982285426871</v>
      </c>
      <c r="CX47" s="157">
        <f t="shared" si="261"/>
        <v>0</v>
      </c>
      <c r="CY47" s="157" t="e">
        <f t="shared" si="262"/>
        <v>#DIV/0!</v>
      </c>
      <c r="CZ47" s="133">
        <f t="shared" si="263"/>
        <v>0</v>
      </c>
      <c r="DA47" s="133" t="e">
        <f t="shared" si="264"/>
        <v>#DIV/0!</v>
      </c>
      <c r="DB47" s="159">
        <f t="shared" si="265"/>
        <v>0</v>
      </c>
      <c r="DC47" s="167" t="e">
        <f t="shared" si="266"/>
        <v>#DIV/0!</v>
      </c>
      <c r="DD47" s="157">
        <f t="shared" si="267"/>
        <v>0</v>
      </c>
      <c r="DE47" s="157" t="e">
        <f t="shared" si="268"/>
        <v>#DIV/0!</v>
      </c>
      <c r="DF47" s="147">
        <f t="shared" si="269"/>
        <v>0</v>
      </c>
      <c r="DG47" s="133" t="e">
        <f t="shared" si="270"/>
        <v>#DIV/0!</v>
      </c>
      <c r="DH47" s="159">
        <f t="shared" si="271"/>
        <v>0</v>
      </c>
      <c r="DI47" s="167" t="e">
        <f t="shared" si="272"/>
        <v>#DIV/0!</v>
      </c>
      <c r="DJ47" s="157">
        <f t="shared" si="273"/>
        <v>0</v>
      </c>
      <c r="DK47" s="157" t="e">
        <f t="shared" si="274"/>
        <v>#DIV/0!</v>
      </c>
      <c r="DL47" s="143">
        <f t="shared" si="275"/>
        <v>0</v>
      </c>
      <c r="DM47" s="143" t="e">
        <f t="shared" si="276"/>
        <v>#DIV/0!</v>
      </c>
      <c r="DN47" s="147">
        <f t="shared" si="277"/>
        <v>0</v>
      </c>
      <c r="DO47" s="147" t="e">
        <f t="shared" si="278"/>
        <v>#DIV/0!</v>
      </c>
      <c r="DP47" s="133" t="e">
        <f t="shared" si="279"/>
        <v>#DIV/0!</v>
      </c>
      <c r="DQ47" s="133" t="e">
        <f t="shared" si="280"/>
        <v>#DIV/0!</v>
      </c>
      <c r="DR47" s="133" t="e">
        <f t="shared" si="281"/>
        <v>#DIV/0!</v>
      </c>
      <c r="DS47" s="133" t="e">
        <f t="shared" si="282"/>
        <v>#DIV/0!</v>
      </c>
      <c r="DT47" s="133" t="e">
        <f t="shared" si="283"/>
        <v>#DIV/0!</v>
      </c>
      <c r="DU47" s="133" t="e">
        <f t="shared" si="284"/>
        <v>#DIV/0!</v>
      </c>
      <c r="DV47" s="133" t="e">
        <f t="shared" si="285"/>
        <v>#DIV/0!</v>
      </c>
      <c r="DW47" s="133" t="e">
        <f t="shared" si="286"/>
        <v>#DIV/0!</v>
      </c>
      <c r="DX47" s="157" t="e">
        <f t="shared" si="287"/>
        <v>#DIV/0!</v>
      </c>
      <c r="DY47" s="157" t="e">
        <f t="shared" si="288"/>
        <v>#DIV/0!</v>
      </c>
      <c r="DZ47" s="147" t="e">
        <f t="shared" si="289"/>
        <v>#DIV/0!</v>
      </c>
      <c r="EA47" s="147" t="e">
        <f t="shared" si="290"/>
        <v>#DIV/0!</v>
      </c>
      <c r="EB47" s="157" t="e">
        <f t="shared" si="291"/>
        <v>#DIV/0!</v>
      </c>
      <c r="EC47" s="157" t="e">
        <f t="shared" si="292"/>
        <v>#DIV/0!</v>
      </c>
      <c r="ED47" s="147" t="e">
        <f t="shared" si="293"/>
        <v>#DIV/0!</v>
      </c>
      <c r="EE47" s="147" t="e">
        <f t="shared" si="294"/>
        <v>#DIV/0!</v>
      </c>
      <c r="EF47" s="147" t="e">
        <f t="shared" si="295"/>
        <v>#DIV/0!</v>
      </c>
      <c r="EG47" s="143" t="e">
        <f t="shared" si="296"/>
        <v>#DIV/0!</v>
      </c>
      <c r="EH47" s="147" t="e">
        <f t="shared" si="297"/>
        <v>#DIV/0!</v>
      </c>
      <c r="EI47" s="147" t="e">
        <f t="shared" si="298"/>
        <v>#DIV/0!</v>
      </c>
      <c r="EJ47" s="501">
        <f t="shared" si="310"/>
        <v>0</v>
      </c>
      <c r="EK47" s="143" t="e">
        <f t="shared" si="299"/>
        <v>#DIV/0!</v>
      </c>
      <c r="EL47" s="143" t="e">
        <f t="shared" si="299"/>
        <v>#DIV/0!</v>
      </c>
      <c r="EM47" s="147" t="e">
        <f t="shared" si="300"/>
        <v>#DIV/0!</v>
      </c>
      <c r="EN47" s="147" t="e">
        <f t="shared" si="301"/>
        <v>#DIV/0!</v>
      </c>
      <c r="EO47" s="143" t="e">
        <f t="shared" si="302"/>
        <v>#DIV/0!</v>
      </c>
      <c r="EP47" s="143" t="e">
        <f t="shared" si="303"/>
        <v>#DIV/0!</v>
      </c>
      <c r="EQ47" s="157" t="e">
        <f t="shared" si="304"/>
        <v>#DIV/0!</v>
      </c>
      <c r="ER47" s="157" t="e">
        <f t="shared" si="305"/>
        <v>#DIV/0!</v>
      </c>
      <c r="ES47" s="157" t="e">
        <f t="shared" si="306"/>
        <v>#DIV/0!</v>
      </c>
      <c r="ET47" s="157" t="e">
        <f t="shared" si="307"/>
        <v>#DIV/0!</v>
      </c>
      <c r="LQ47" s="214" t="str">
        <f t="shared" si="96"/>
        <v>A1x Bulk</v>
      </c>
      <c r="LR47" s="214" t="str">
        <f t="shared" si="97"/>
        <v>MN2022a</v>
      </c>
      <c r="LS47" s="211">
        <f t="shared" si="98"/>
        <v>0</v>
      </c>
      <c r="LT47" s="211" t="str">
        <f t="shared" si="99"/>
        <v/>
      </c>
      <c r="LU47" s="211">
        <f t="shared" si="100"/>
        <v>0</v>
      </c>
      <c r="LV47" s="211" t="e">
        <f t="shared" si="101"/>
        <v>#DIV/0!</v>
      </c>
      <c r="LW47" s="211">
        <f t="shared" si="102"/>
        <v>0</v>
      </c>
      <c r="LX47" s="211" t="e">
        <f t="shared" si="103"/>
        <v>#DIV/0!</v>
      </c>
      <c r="LY47" s="211"/>
      <c r="LZ47" s="211"/>
      <c r="MA47" s="211"/>
      <c r="MB47" s="211"/>
      <c r="MC47" s="211"/>
      <c r="MD47" s="211"/>
      <c r="ME47" s="211"/>
      <c r="MF47" s="211"/>
      <c r="MG47" s="211"/>
      <c r="MH47" s="211"/>
      <c r="MI47" s="211"/>
      <c r="MJ47" s="211"/>
      <c r="MK47" s="211"/>
      <c r="ML47" s="211"/>
      <c r="MM47" s="211"/>
      <c r="MN47" s="211"/>
      <c r="MO47" s="506" t="e">
        <f t="shared" si="107"/>
        <v>#DIV/0!</v>
      </c>
      <c r="MP47" s="506" t="e">
        <f t="shared" si="107"/>
        <v>#DIV/0!</v>
      </c>
      <c r="MQ47" s="109"/>
      <c r="MR47" s="109"/>
      <c r="MS47" s="109"/>
      <c r="MT47" s="109"/>
      <c r="MU47" s="109"/>
      <c r="MV47" s="109"/>
      <c r="MW47" s="506" t="e">
        <f t="shared" si="108"/>
        <v>#DIV/0!</v>
      </c>
      <c r="MX47" s="506" t="e">
        <f t="shared" si="108"/>
        <v>#DIV/0!</v>
      </c>
      <c r="MY47" s="109"/>
      <c r="MZ47" s="109"/>
      <c r="NA47" s="109"/>
      <c r="NB47" s="109"/>
      <c r="NC47" s="109"/>
      <c r="ND47" s="109"/>
    </row>
    <row r="48" spans="2:368" s="484" customFormat="1">
      <c r="B48" s="485" t="s">
        <v>934</v>
      </c>
      <c r="C48" s="117">
        <f t="shared" si="308"/>
        <v>1.11E-2</v>
      </c>
      <c r="D48" s="486">
        <f t="shared" si="309"/>
        <v>5.5500000000000001E-5</v>
      </c>
      <c r="E48" s="487">
        <v>44727</v>
      </c>
      <c r="F48" s="117" t="s">
        <v>210</v>
      </c>
      <c r="G48" s="117" t="s">
        <v>893</v>
      </c>
      <c r="H48" s="117">
        <v>1</v>
      </c>
      <c r="I48" s="117"/>
      <c r="J48" s="488">
        <v>44644</v>
      </c>
      <c r="K48" s="487" t="s">
        <v>823</v>
      </c>
      <c r="L48" s="117"/>
      <c r="M48" s="117"/>
      <c r="N48" s="117"/>
      <c r="O48" s="118"/>
      <c r="P48" s="118"/>
      <c r="Q48" s="118"/>
      <c r="R48" s="118"/>
      <c r="S48" s="118"/>
      <c r="T48" s="118"/>
      <c r="U48" s="118"/>
      <c r="V48" s="118"/>
      <c r="W48" s="118"/>
      <c r="X48" s="118"/>
      <c r="Y48" s="118"/>
      <c r="Z48" s="118"/>
      <c r="AA48" s="118"/>
      <c r="AB48" s="118"/>
      <c r="AC48" s="118"/>
      <c r="AD48" s="118"/>
      <c r="AE48" s="118"/>
      <c r="AF48" s="118"/>
      <c r="AG48" s="118"/>
      <c r="AH48" s="118"/>
      <c r="AI48" s="489">
        <f>SUM(AI35:AI47)</f>
        <v>-6.3067744999999995</v>
      </c>
      <c r="AJ48" s="489">
        <f>SQRT(SUMSQ(AJ35:AJ47))</f>
        <v>0</v>
      </c>
      <c r="AK48" s="489">
        <f>SUM(AK35:AK47)</f>
        <v>-4.3458000000000004E-2</v>
      </c>
      <c r="AL48" s="489">
        <f>SQRT(SUMSQ(AL35:AL47))</f>
        <v>0</v>
      </c>
      <c r="AM48" s="489">
        <f>SUM(AM35:AM47)</f>
        <v>-2.21285175</v>
      </c>
      <c r="AN48" s="489">
        <f>SQRT(SUMSQ(AN35:AN47))</f>
        <v>0</v>
      </c>
      <c r="AO48" s="489">
        <f>SUM(AO35:AO47)</f>
        <v>-1.3901317499999999</v>
      </c>
      <c r="AP48" s="489">
        <f>SQRT(SUMSQ(AP35:AP47))</f>
        <v>0</v>
      </c>
      <c r="AQ48" s="489">
        <f>SUM(AQ35:AQ47)</f>
        <v>-0.25606525000000002</v>
      </c>
      <c r="AR48" s="489">
        <f>SQRT(SUMSQ(AR35:AR47))</f>
        <v>0</v>
      </c>
      <c r="AS48" s="117">
        <v>300.7</v>
      </c>
      <c r="AT48" s="117">
        <v>0.28000000000000003</v>
      </c>
      <c r="AU48" s="489">
        <f t="shared" si="221"/>
        <v>-4.3649185786802033E-2</v>
      </c>
      <c r="AV48" s="489">
        <f t="shared" si="222"/>
        <v>2.6817898625542113E-7</v>
      </c>
      <c r="AW48" s="489">
        <f t="shared" si="223"/>
        <v>-2.2323218499999999</v>
      </c>
      <c r="AX48" s="489">
        <f t="shared" si="224"/>
        <v>1.3655491257042074E-5</v>
      </c>
      <c r="AY48" s="489">
        <f t="shared" si="225"/>
        <v>-1.4084786664974618</v>
      </c>
      <c r="AZ48" s="489">
        <f t="shared" si="226"/>
        <v>1.1437989889900576E-5</v>
      </c>
      <c r="BA48" s="489">
        <f t="shared" si="227"/>
        <v>-0.2605713051607445</v>
      </c>
      <c r="BB48" s="489">
        <f t="shared" si="228"/>
        <v>1.5801767030291538E-6</v>
      </c>
      <c r="BC48" s="118"/>
      <c r="BD48" s="490"/>
      <c r="BE48" s="489">
        <f t="shared" si="229"/>
        <v>-7.2541675956162459</v>
      </c>
      <c r="BF48" s="489">
        <f t="shared" si="230"/>
        <v>5.8909728341598927E-5</v>
      </c>
      <c r="BG48" s="489">
        <f t="shared" si="231"/>
        <v>-4.3674769395207751E-2</v>
      </c>
      <c r="BH48" s="489">
        <f t="shared" si="232"/>
        <v>2.6833617100110031E-7</v>
      </c>
      <c r="BI48" s="247">
        <f t="shared" si="233"/>
        <v>-6.3019506018638971</v>
      </c>
      <c r="BJ48" s="489">
        <f t="shared" si="234"/>
        <v>3.5637893924891237E-8</v>
      </c>
      <c r="BK48" s="247">
        <f t="shared" si="235"/>
        <v>-3.7045418029122652E-2</v>
      </c>
      <c r="BL48" s="489">
        <f t="shared" si="236"/>
        <v>2.7368336579176815E-7</v>
      </c>
      <c r="BM48" s="247">
        <f t="shared" si="237"/>
        <v>-2.2316474198949763</v>
      </c>
      <c r="BN48" s="489">
        <f t="shared" si="238"/>
        <v>1.3655491885728028E-5</v>
      </c>
      <c r="BO48" s="168">
        <f t="shared" si="239"/>
        <v>-0.25804084006454575</v>
      </c>
      <c r="BP48" s="168">
        <f t="shared" si="240"/>
        <v>1.5803103150589651E-6</v>
      </c>
      <c r="BQ48" s="117"/>
      <c r="BR48" s="168">
        <f t="shared" si="241"/>
        <v>-0.25769007452252363</v>
      </c>
      <c r="BS48" s="168">
        <f t="shared" si="242"/>
        <v>1.5803103150589842E-6</v>
      </c>
      <c r="BT48" s="247">
        <f t="shared" si="243"/>
        <v>-2.1831357172970245</v>
      </c>
      <c r="BU48" s="168">
        <f t="shared" si="244"/>
        <v>1.9445892204212122E-11</v>
      </c>
      <c r="BV48" s="247">
        <f t="shared" si="245"/>
        <v>69.845466419541836</v>
      </c>
      <c r="BW48" s="247">
        <f t="shared" si="246"/>
        <v>4.6698169945978983E-4</v>
      </c>
      <c r="BX48" s="491">
        <v>1.6986774770655257E-12</v>
      </c>
      <c r="BY48" s="491">
        <v>9.4454002365720605E-16</v>
      </c>
      <c r="BZ48" s="482">
        <f t="shared" si="247"/>
        <v>-4.3773232565474771E-13</v>
      </c>
      <c r="CA48" s="482">
        <f t="shared" si="248"/>
        <v>-2.4341339193607536E-16</v>
      </c>
      <c r="CB48" s="482">
        <f t="shared" si="249"/>
        <v>-1.2322491109531896E-11</v>
      </c>
      <c r="CC48" s="492">
        <f t="shared" si="250"/>
        <v>-6.852582325120658E-15</v>
      </c>
      <c r="CD48" s="482">
        <f t="shared" si="251"/>
        <v>-3.7084434723497463E-12</v>
      </c>
      <c r="CE48" s="497">
        <f t="shared" si="252"/>
        <v>-2.0620590620626236E-15</v>
      </c>
      <c r="CF48" s="482">
        <f t="shared" si="253"/>
        <v>-6.2928217234547799E-14</v>
      </c>
      <c r="CG48" s="482">
        <f t="shared" si="254"/>
        <v>-3.4993968287160851E-17</v>
      </c>
      <c r="CH48" s="482">
        <f t="shared" si="255"/>
        <v>-1.0704981548965736E-11</v>
      </c>
      <c r="CI48" s="482">
        <f t="shared" si="256"/>
        <v>-5.9524445708789063E-15</v>
      </c>
      <c r="CJ48" s="482">
        <f t="shared" si="257"/>
        <v>-1.6545238509593914E-16</v>
      </c>
      <c r="CK48" s="482">
        <f t="shared" si="258"/>
        <v>-9.1998914954293625E-20</v>
      </c>
      <c r="CL48" s="482">
        <f t="shared" si="259"/>
        <v>-4.7760327018336767E-16</v>
      </c>
      <c r="CM48" s="482">
        <f t="shared" si="260"/>
        <v>-2.6556874723979389E-19</v>
      </c>
      <c r="CN48" s="486">
        <v>5.1340830000000002E-3</v>
      </c>
      <c r="CO48" s="486">
        <v>7.5577700000000003E-6</v>
      </c>
      <c r="CP48" s="491">
        <v>1.1139738540500025E+19</v>
      </c>
      <c r="CQ48" s="493">
        <v>1.0453256904066513E+18</v>
      </c>
      <c r="CR48" s="491">
        <v>8.0438364680336474E+17</v>
      </c>
      <c r="CS48" s="491">
        <v>8.527140119058072E+16</v>
      </c>
      <c r="CT48" s="118">
        <v>0.49881143094597263</v>
      </c>
      <c r="CU48" s="118">
        <v>4.5926073391395927E-2</v>
      </c>
      <c r="CV48" s="267">
        <v>24.581879797320056</v>
      </c>
      <c r="CW48" s="267">
        <v>0.55629982285426871</v>
      </c>
      <c r="CX48" s="482">
        <f t="shared" si="261"/>
        <v>-4.5067461819815145E-11</v>
      </c>
      <c r="CY48" s="482">
        <f t="shared" si="262"/>
        <v>-4.1809822899874693E-13</v>
      </c>
      <c r="CZ48" s="489">
        <f t="shared" si="263"/>
        <v>-0.1587442470693404</v>
      </c>
      <c r="DA48" s="489">
        <f t="shared" si="264"/>
        <v>-1.6729698364170941E-3</v>
      </c>
      <c r="DB48" s="494">
        <f t="shared" si="265"/>
        <v>-1.5874424706934041E-5</v>
      </c>
      <c r="DC48" s="495">
        <f t="shared" si="266"/>
        <v>-1.6729698364170942E-7</v>
      </c>
      <c r="DD48" s="482">
        <f t="shared" si="267"/>
        <v>-1.1915139405691922E-10</v>
      </c>
      <c r="DE48" s="482">
        <f t="shared" si="268"/>
        <v>-2.9142310106792615E-12</v>
      </c>
      <c r="DF48" s="168">
        <f t="shared" si="269"/>
        <v>-0.38056525887386999</v>
      </c>
      <c r="DG48" s="489">
        <f t="shared" si="270"/>
        <v>-9.5004559865273838E-3</v>
      </c>
      <c r="DH48" s="494">
        <f t="shared" si="271"/>
        <v>-3.8056525887386999E-5</v>
      </c>
      <c r="DI48" s="495">
        <f t="shared" si="272"/>
        <v>-9.5004559865273834E-7</v>
      </c>
      <c r="DJ48" s="482">
        <f t="shared" si="273"/>
        <v>-1.7258774288965654E-8</v>
      </c>
      <c r="DK48" s="482">
        <f t="shared" si="274"/>
        <v>-1.597079922191594E-9</v>
      </c>
      <c r="DL48" s="247">
        <f t="shared" si="275"/>
        <v>-62.318168783940841</v>
      </c>
      <c r="DM48" s="247">
        <f t="shared" si="276"/>
        <v>-5.7751686446090211</v>
      </c>
      <c r="DN48" s="168">
        <f t="shared" si="277"/>
        <v>-6.2318168783940843E-3</v>
      </c>
      <c r="DO48" s="168">
        <f t="shared" si="278"/>
        <v>-5.7751686446090209E-4</v>
      </c>
      <c r="DP48" s="489">
        <f t="shared" si="279"/>
        <v>0.37823696631099585</v>
      </c>
      <c r="DQ48" s="489">
        <f t="shared" si="280"/>
        <v>4.1071708484784362E-3</v>
      </c>
      <c r="DR48" s="489">
        <f t="shared" si="281"/>
        <v>2.6112782440540342E-3</v>
      </c>
      <c r="DS48" s="489">
        <f t="shared" si="282"/>
        <v>8.587372302417998E-3</v>
      </c>
      <c r="DT48" s="489">
        <f t="shared" si="283"/>
        <v>0.41712753165930128</v>
      </c>
      <c r="DU48" s="489">
        <f t="shared" si="284"/>
        <v>5.0192175870797506E-3</v>
      </c>
      <c r="DV48" s="489">
        <f t="shared" si="285"/>
        <v>2.5473188665044375E-3</v>
      </c>
      <c r="DW48" s="489">
        <f t="shared" si="286"/>
        <v>8.6150026256573611E-3</v>
      </c>
      <c r="DX48" s="482">
        <f t="shared" si="287"/>
        <v>4.0083733301115568E-6</v>
      </c>
      <c r="DY48" s="482">
        <f t="shared" si="288"/>
        <v>9.8063009214490278E-8</v>
      </c>
      <c r="DZ48" s="168">
        <f t="shared" si="289"/>
        <v>-1885.4009520052914</v>
      </c>
      <c r="EA48" s="168">
        <f t="shared" si="290"/>
        <v>-1.8786097811581158E-2</v>
      </c>
      <c r="EB48" s="482">
        <f t="shared" si="291"/>
        <v>1.0597518717448079E-5</v>
      </c>
      <c r="EC48" s="482">
        <f t="shared" si="292"/>
        <v>9.849135451941788E-8</v>
      </c>
      <c r="ED48" s="168" t="str">
        <f t="shared" si="293"/>
        <v/>
      </c>
      <c r="EE48" s="168" t="str">
        <f t="shared" si="294"/>
        <v/>
      </c>
      <c r="EF48" s="168" t="str">
        <f t="shared" si="295"/>
        <v/>
      </c>
      <c r="EG48" s="247" t="str">
        <f t="shared" si="296"/>
        <v/>
      </c>
      <c r="EH48" s="168" t="str">
        <f t="shared" si="297"/>
        <v/>
      </c>
      <c r="EI48" s="168" t="str">
        <f t="shared" si="298"/>
        <v/>
      </c>
      <c r="EJ48" s="503">
        <f>SUM(EJ35:EJ47)</f>
        <v>-3.1718325838836172E-4</v>
      </c>
      <c r="EK48" s="247" t="str">
        <f t="shared" si="299"/>
        <v/>
      </c>
      <c r="EL48" s="247" t="str">
        <f t="shared" si="299"/>
        <v/>
      </c>
      <c r="EM48" s="168">
        <f t="shared" si="300"/>
        <v>0.14375958444563477</v>
      </c>
      <c r="EN48" s="168">
        <f t="shared" si="301"/>
        <v>8.8162049391830936E-7</v>
      </c>
      <c r="EO48" s="247">
        <f t="shared" si="302"/>
        <v>24.455542626315122</v>
      </c>
      <c r="EP48" s="247">
        <f t="shared" si="303"/>
        <v>1.4997614004237536E-4</v>
      </c>
      <c r="EQ48" s="482">
        <f t="shared" si="304"/>
        <v>5.8784050160859578E-3</v>
      </c>
      <c r="ER48" s="482">
        <f t="shared" si="305"/>
        <v>4.342837055729318E-8</v>
      </c>
      <c r="ES48" s="482">
        <f t="shared" si="306"/>
        <v>4.0890525934352433E-2</v>
      </c>
      <c r="ET48" s="482">
        <f t="shared" si="307"/>
        <v>2.5076537199129251E-7</v>
      </c>
      <c r="EU48" s="117"/>
      <c r="EV48" s="117"/>
      <c r="EW48" s="117"/>
      <c r="EX48" s="117"/>
      <c r="EY48" s="117"/>
      <c r="EZ48" s="117"/>
      <c r="FA48" s="117"/>
      <c r="FB48" s="117"/>
      <c r="FC48" s="117"/>
      <c r="FD48" s="117"/>
      <c r="FE48" s="117"/>
      <c r="FF48" s="117"/>
      <c r="FG48" s="117"/>
      <c r="FH48" s="117"/>
      <c r="FI48" s="117"/>
      <c r="FJ48" s="117"/>
      <c r="FK48" s="161"/>
      <c r="FL48" s="161"/>
      <c r="FM48" s="161"/>
      <c r="FN48" s="161"/>
      <c r="FO48" s="161"/>
      <c r="FP48" s="161"/>
      <c r="FQ48" s="161"/>
      <c r="FR48" s="161"/>
      <c r="FS48" s="161"/>
      <c r="FT48" s="161"/>
      <c r="FU48" s="161"/>
      <c r="FV48" s="161"/>
      <c r="FW48" s="161"/>
      <c r="FX48" s="161"/>
      <c r="FY48" s="161"/>
      <c r="FZ48" s="161"/>
      <c r="GA48" s="117"/>
      <c r="GB48" s="117"/>
      <c r="GC48" s="117"/>
      <c r="GD48" s="117"/>
      <c r="GE48" s="161"/>
      <c r="GF48" s="161"/>
      <c r="GG48" s="161"/>
      <c r="GH48" s="161"/>
      <c r="GI48" s="161"/>
      <c r="GJ48" s="161"/>
      <c r="GK48" s="161"/>
      <c r="GL48" s="161"/>
      <c r="GM48" s="161"/>
      <c r="GN48" s="161"/>
      <c r="GO48" s="161"/>
      <c r="GP48" s="161"/>
      <c r="GQ48" s="161"/>
      <c r="GR48" s="161"/>
      <c r="GS48" s="161"/>
      <c r="GT48" s="161"/>
      <c r="GU48" s="117"/>
      <c r="GV48" s="117"/>
      <c r="GW48" s="161"/>
      <c r="GX48" s="161"/>
      <c r="GY48" s="161"/>
      <c r="GZ48" s="161"/>
      <c r="HA48" s="161"/>
      <c r="HB48" s="161"/>
      <c r="HC48" s="117"/>
      <c r="HD48" s="117"/>
      <c r="HE48" s="161"/>
      <c r="HF48" s="161"/>
      <c r="HG48" s="161"/>
      <c r="HH48" s="161"/>
      <c r="HI48" s="161"/>
      <c r="HJ48" s="161"/>
      <c r="HK48" s="117"/>
      <c r="HL48" s="117"/>
      <c r="HM48" s="117"/>
      <c r="HN48" s="117"/>
      <c r="HO48" s="117"/>
      <c r="HP48" s="117"/>
      <c r="HQ48" s="117"/>
      <c r="HR48" s="117"/>
      <c r="HS48" s="117"/>
      <c r="HT48" s="117"/>
      <c r="HU48" s="117"/>
      <c r="HV48" s="117"/>
      <c r="HW48" s="117"/>
      <c r="HX48" s="117"/>
      <c r="HY48" s="117"/>
      <c r="HZ48" s="117"/>
      <c r="IA48" s="117"/>
      <c r="IB48" s="117"/>
      <c r="IC48" s="117"/>
      <c r="ID48" s="117"/>
      <c r="IE48" s="117"/>
      <c r="IF48" s="117"/>
      <c r="IG48" s="117"/>
      <c r="IH48" s="117"/>
      <c r="II48" s="117"/>
      <c r="IJ48" s="117"/>
      <c r="IK48" s="117"/>
      <c r="IL48" s="117"/>
      <c r="IM48" s="117"/>
      <c r="IN48" s="117"/>
      <c r="IO48" s="117"/>
      <c r="IP48" s="117"/>
      <c r="IQ48" s="117"/>
      <c r="IR48" s="117"/>
      <c r="IS48" s="117"/>
      <c r="IT48" s="117"/>
      <c r="IU48" s="161"/>
      <c r="IV48" s="161"/>
      <c r="IW48" s="161"/>
      <c r="IX48" s="161"/>
      <c r="IY48" s="161"/>
      <c r="IZ48" s="161"/>
      <c r="JA48" s="161"/>
      <c r="JB48" s="161"/>
      <c r="JC48" s="161"/>
      <c r="JD48" s="161"/>
      <c r="JE48" s="161"/>
      <c r="JF48" s="161"/>
      <c r="JG48" s="161"/>
      <c r="JH48" s="161"/>
      <c r="JI48" s="161"/>
      <c r="JJ48" s="161"/>
      <c r="JK48" s="161"/>
      <c r="JL48" s="161"/>
      <c r="JM48" s="161"/>
      <c r="JN48" s="161"/>
      <c r="JO48" s="161"/>
      <c r="JP48" s="161"/>
      <c r="JQ48" s="161"/>
      <c r="JR48" s="161"/>
      <c r="JS48" s="161"/>
      <c r="JT48" s="161"/>
      <c r="JU48" s="117"/>
      <c r="JV48" s="117"/>
      <c r="JW48" s="117"/>
      <c r="JX48" s="117"/>
      <c r="JY48" s="161"/>
      <c r="JZ48" s="161"/>
      <c r="KA48" s="161"/>
      <c r="KB48" s="161"/>
      <c r="KC48" s="117"/>
      <c r="KD48" s="117"/>
      <c r="KE48" s="161"/>
      <c r="KF48" s="161"/>
      <c r="KG48" s="161"/>
      <c r="KH48" s="161"/>
      <c r="KI48" s="161"/>
      <c r="KJ48" s="161"/>
      <c r="KK48" s="161"/>
      <c r="KL48" s="161"/>
      <c r="KM48" s="161"/>
      <c r="KN48" s="161"/>
      <c r="KO48" s="161"/>
      <c r="KP48" s="161"/>
      <c r="KQ48" s="161"/>
      <c r="KR48" s="161"/>
      <c r="KS48" s="161"/>
      <c r="KT48" s="161"/>
      <c r="KU48" s="117"/>
      <c r="KV48" s="117"/>
      <c r="KW48" s="161"/>
      <c r="KX48" s="161"/>
      <c r="KY48" s="161"/>
      <c r="KZ48" s="161"/>
      <c r="LA48" s="161"/>
      <c r="LB48" s="161"/>
      <c r="LC48" s="161"/>
      <c r="LD48" s="161"/>
      <c r="LE48" s="161"/>
      <c r="LF48" s="161"/>
      <c r="LG48" s="161"/>
      <c r="LH48" s="161"/>
      <c r="LI48" s="161"/>
      <c r="LJ48" s="161"/>
      <c r="LK48" s="161"/>
      <c r="LL48" s="161"/>
      <c r="LM48" s="161"/>
      <c r="LN48" s="161"/>
      <c r="LQ48" s="214" t="str">
        <f t="shared" si="96"/>
        <v>A1x Bulk</v>
      </c>
      <c r="LR48" s="214" t="str">
        <f t="shared" si="97"/>
        <v>MN2022a</v>
      </c>
      <c r="LS48" s="211">
        <f t="shared" si="98"/>
        <v>-0.1587442470693404</v>
      </c>
      <c r="LT48" s="211">
        <f t="shared" si="99"/>
        <v>-1.6729698364170941E-3</v>
      </c>
      <c r="LU48" s="211">
        <f t="shared" si="100"/>
        <v>-0.38056525887386999</v>
      </c>
      <c r="LV48" s="211">
        <f t="shared" si="101"/>
        <v>-9.5004559865273838E-3</v>
      </c>
      <c r="LW48" s="211">
        <f t="shared" si="102"/>
        <v>-62.318168783940841</v>
      </c>
      <c r="LX48" s="211">
        <f t="shared" si="103"/>
        <v>-5.7751686446090211</v>
      </c>
      <c r="LY48" s="211"/>
      <c r="LZ48" s="211"/>
      <c r="MA48" s="211"/>
      <c r="MB48" s="211"/>
      <c r="MC48" s="211"/>
      <c r="MD48" s="211"/>
      <c r="ME48" s="211"/>
      <c r="MF48" s="211"/>
      <c r="MG48" s="211"/>
      <c r="MH48" s="211"/>
      <c r="MI48" s="211"/>
      <c r="MJ48" s="211"/>
      <c r="MK48" s="211"/>
      <c r="ML48" s="211"/>
      <c r="MM48" s="211"/>
      <c r="MN48" s="211"/>
      <c r="MO48" s="506">
        <f t="shared" si="107"/>
        <v>0.41712753165930128</v>
      </c>
      <c r="MP48" s="506">
        <f t="shared" si="107"/>
        <v>5.0192175870797506E-3</v>
      </c>
      <c r="MQ48" s="109"/>
      <c r="MR48" s="109"/>
      <c r="MS48" s="109"/>
      <c r="MT48" s="109"/>
      <c r="MU48" s="109"/>
      <c r="MV48" s="109"/>
      <c r="MW48" s="506">
        <f t="shared" si="108"/>
        <v>0.37823696631099585</v>
      </c>
      <c r="MX48" s="506">
        <f t="shared" si="108"/>
        <v>4.1071708484784362E-3</v>
      </c>
      <c r="MY48" s="109"/>
      <c r="MZ48" s="109"/>
      <c r="NA48" s="109"/>
      <c r="NB48" s="109"/>
      <c r="NC48" s="109"/>
      <c r="ND48" s="109"/>
    </row>
    <row r="49" spans="2:368" s="484" customFormat="1">
      <c r="B49" s="485"/>
      <c r="C49" s="117"/>
      <c r="D49" s="486"/>
      <c r="E49" s="487"/>
      <c r="F49" s="117"/>
      <c r="G49" s="117"/>
      <c r="H49" s="117"/>
      <c r="I49" s="117"/>
      <c r="J49" s="488"/>
      <c r="K49" s="487"/>
      <c r="L49" s="117"/>
      <c r="M49" s="117"/>
      <c r="N49" s="117"/>
      <c r="X49" s="118"/>
      <c r="Y49" s="118"/>
      <c r="Z49" s="118"/>
      <c r="AA49" s="118"/>
      <c r="AB49" s="118"/>
      <c r="AC49" s="118"/>
      <c r="AD49" s="118"/>
      <c r="AE49" s="118"/>
      <c r="AF49" s="118"/>
      <c r="AG49" s="118"/>
      <c r="AH49" s="118"/>
      <c r="AI49" s="489"/>
      <c r="AJ49" s="489"/>
      <c r="AK49" s="489"/>
      <c r="AL49" s="489"/>
      <c r="AM49" s="489"/>
      <c r="AN49" s="489"/>
      <c r="AO49" s="489"/>
      <c r="AP49" s="489"/>
      <c r="AQ49" s="489"/>
      <c r="AR49" s="489"/>
      <c r="AS49" s="117"/>
      <c r="AT49" s="117"/>
      <c r="AU49" s="489"/>
      <c r="AV49" s="489"/>
      <c r="AW49" s="489"/>
      <c r="AX49" s="489"/>
      <c r="AY49" s="489"/>
      <c r="AZ49" s="489"/>
      <c r="BA49" s="489"/>
      <c r="BB49" s="489"/>
      <c r="BC49" s="118"/>
      <c r="BD49" s="490"/>
      <c r="BE49" s="489"/>
      <c r="BF49" s="489"/>
      <c r="BG49" s="489"/>
      <c r="BH49" s="489"/>
      <c r="BI49" s="247"/>
      <c r="BJ49" s="489"/>
      <c r="BK49" s="247"/>
      <c r="BL49" s="489"/>
      <c r="BM49" s="247"/>
      <c r="BN49" s="489"/>
      <c r="BO49" s="168"/>
      <c r="BP49" s="168"/>
      <c r="BQ49" s="117"/>
      <c r="BR49" s="168"/>
      <c r="BS49" s="168"/>
      <c r="BT49" s="247"/>
      <c r="BU49" s="168"/>
      <c r="BV49" s="481"/>
      <c r="BW49" s="247"/>
      <c r="BX49" s="491"/>
      <c r="BY49" s="491"/>
      <c r="BZ49" s="482"/>
      <c r="CA49" s="482"/>
      <c r="CB49" s="482"/>
      <c r="CC49" s="492"/>
      <c r="CD49" s="157"/>
      <c r="CE49" s="477"/>
      <c r="CF49" s="157"/>
      <c r="CG49" s="157"/>
      <c r="CH49" s="482"/>
      <c r="CI49" s="482"/>
      <c r="CJ49" s="482"/>
      <c r="CK49" s="482"/>
      <c r="CL49" s="482"/>
      <c r="CM49" s="482"/>
      <c r="CN49" s="66"/>
      <c r="CO49" s="66"/>
      <c r="CP49" s="491"/>
      <c r="CQ49" s="493"/>
      <c r="CR49" s="491"/>
      <c r="CS49" s="491"/>
      <c r="CT49" s="118"/>
      <c r="CU49" s="118"/>
      <c r="CV49" s="267"/>
      <c r="CW49" s="267"/>
      <c r="CX49" s="482"/>
      <c r="CY49" s="482"/>
      <c r="CZ49" s="247"/>
      <c r="DA49" s="247"/>
      <c r="DB49" s="494"/>
      <c r="DC49" s="495"/>
      <c r="DD49" s="482"/>
      <c r="DE49" s="482"/>
      <c r="DF49" s="489"/>
      <c r="DG49" s="489"/>
      <c r="DH49" s="494"/>
      <c r="DI49" s="495"/>
      <c r="DJ49" s="482"/>
      <c r="DK49" s="482"/>
      <c r="DL49" s="247"/>
      <c r="DM49" s="247"/>
      <c r="DN49" s="168"/>
      <c r="DO49" s="168"/>
      <c r="DP49" s="489"/>
      <c r="DQ49" s="489"/>
      <c r="DR49" s="489"/>
      <c r="DS49" s="489"/>
      <c r="DT49" s="489"/>
      <c r="DU49" s="489"/>
      <c r="DV49" s="489"/>
      <c r="DW49" s="489"/>
      <c r="DX49" s="482"/>
      <c r="DY49" s="482"/>
      <c r="DZ49" s="168"/>
      <c r="EA49" s="168"/>
      <c r="EB49" s="482"/>
      <c r="EC49" s="482"/>
      <c r="ED49" s="168"/>
      <c r="EE49" s="168"/>
      <c r="EF49" s="168"/>
      <c r="EG49" s="247"/>
      <c r="EH49" s="168"/>
      <c r="EI49" s="168"/>
      <c r="EJ49" s="502"/>
      <c r="EK49" s="247"/>
      <c r="EL49" s="247"/>
      <c r="EM49" s="168"/>
      <c r="EN49" s="168"/>
      <c r="EO49" s="247"/>
      <c r="EP49" s="247"/>
      <c r="EQ49" s="482"/>
      <c r="ER49" s="482"/>
      <c r="ES49" s="482"/>
      <c r="ET49" s="482"/>
      <c r="EU49" s="117"/>
      <c r="EV49" s="117"/>
      <c r="EW49" s="117"/>
      <c r="EX49" s="117"/>
      <c r="EY49" s="117"/>
      <c r="EZ49" s="117"/>
      <c r="FA49" s="117"/>
      <c r="FB49" s="117"/>
      <c r="FC49" s="117"/>
      <c r="FD49" s="117"/>
      <c r="FE49" s="117"/>
      <c r="FF49" s="117"/>
      <c r="FG49" s="117"/>
      <c r="FH49" s="117"/>
      <c r="FI49" s="117"/>
      <c r="FJ49" s="117"/>
      <c r="FK49" s="161"/>
      <c r="FL49" s="161"/>
      <c r="FM49" s="161"/>
      <c r="FN49" s="161"/>
      <c r="FO49" s="161"/>
      <c r="FP49" s="161"/>
      <c r="FQ49" s="161"/>
      <c r="FR49" s="161"/>
      <c r="FS49" s="161"/>
      <c r="FT49" s="161"/>
      <c r="FU49" s="161"/>
      <c r="FV49" s="161"/>
      <c r="FW49" s="161"/>
      <c r="FX49" s="161"/>
      <c r="FY49" s="161"/>
      <c r="FZ49" s="161"/>
      <c r="GA49" s="117"/>
      <c r="GB49" s="117"/>
      <c r="GC49" s="117"/>
      <c r="GD49" s="117"/>
      <c r="GE49" s="161"/>
      <c r="GF49" s="161"/>
      <c r="GG49" s="161"/>
      <c r="GH49" s="161"/>
      <c r="GI49" s="161"/>
      <c r="GJ49" s="161"/>
      <c r="GK49" s="161"/>
      <c r="GL49" s="161"/>
      <c r="GM49" s="161"/>
      <c r="GN49" s="161"/>
      <c r="GO49" s="161"/>
      <c r="GP49" s="161"/>
      <c r="GQ49" s="161"/>
      <c r="GR49" s="161"/>
      <c r="GS49" s="161"/>
      <c r="GT49" s="161"/>
      <c r="GU49" s="117"/>
      <c r="GV49" s="117"/>
      <c r="GW49" s="161"/>
      <c r="GX49" s="161"/>
      <c r="GY49" s="161"/>
      <c r="GZ49" s="161"/>
      <c r="HA49" s="161"/>
      <c r="HB49" s="161"/>
      <c r="HC49" s="117"/>
      <c r="HD49" s="117"/>
      <c r="HE49" s="161"/>
      <c r="HF49" s="161"/>
      <c r="HG49" s="161"/>
      <c r="HH49" s="161"/>
      <c r="HI49" s="161"/>
      <c r="HJ49" s="161"/>
      <c r="HK49" s="117"/>
      <c r="HL49" s="117"/>
      <c r="HM49" s="117"/>
      <c r="HN49" s="117"/>
      <c r="HO49" s="117"/>
      <c r="HP49" s="117"/>
      <c r="HQ49" s="117"/>
      <c r="HR49" s="117"/>
      <c r="HS49" s="117"/>
      <c r="HT49" s="117"/>
      <c r="HU49" s="117"/>
      <c r="HV49" s="117"/>
      <c r="HW49" s="117"/>
      <c r="HX49" s="117"/>
      <c r="HY49" s="117"/>
      <c r="HZ49" s="117"/>
      <c r="IA49" s="117"/>
      <c r="IB49" s="117"/>
      <c r="IC49" s="117"/>
      <c r="ID49" s="117"/>
      <c r="IE49" s="117"/>
      <c r="IF49" s="117"/>
      <c r="IG49" s="117"/>
      <c r="IH49" s="117"/>
      <c r="II49" s="117"/>
      <c r="IJ49" s="117"/>
      <c r="IK49" s="117"/>
      <c r="IL49" s="117"/>
      <c r="IM49" s="117"/>
      <c r="IN49" s="117"/>
      <c r="IO49" s="117"/>
      <c r="IP49" s="117"/>
      <c r="IQ49" s="117"/>
      <c r="IR49" s="117"/>
      <c r="IS49" s="117"/>
      <c r="IT49" s="117"/>
      <c r="IU49" s="161"/>
      <c r="IV49" s="161"/>
      <c r="IW49" s="161"/>
      <c r="IX49" s="161"/>
      <c r="IY49" s="161"/>
      <c r="IZ49" s="161"/>
      <c r="JA49" s="161"/>
      <c r="JB49" s="161"/>
      <c r="JC49" s="161"/>
      <c r="JD49" s="161"/>
      <c r="JE49" s="161"/>
      <c r="JF49" s="161"/>
      <c r="JG49" s="161"/>
      <c r="JH49" s="161"/>
      <c r="JI49" s="161"/>
      <c r="JJ49" s="161"/>
      <c r="JK49" s="161"/>
      <c r="JL49" s="161"/>
      <c r="JM49" s="161"/>
      <c r="JN49" s="161"/>
      <c r="JO49" s="161"/>
      <c r="JP49" s="161"/>
      <c r="JQ49" s="161"/>
      <c r="JR49" s="161"/>
      <c r="JS49" s="161"/>
      <c r="JT49" s="161"/>
      <c r="JU49" s="117"/>
      <c r="JV49" s="117"/>
      <c r="JW49" s="117"/>
      <c r="JX49" s="117"/>
      <c r="JY49" s="161"/>
      <c r="JZ49" s="161"/>
      <c r="KA49" s="161"/>
      <c r="KB49" s="161"/>
      <c r="KC49" s="117"/>
      <c r="KD49" s="117"/>
      <c r="KE49" s="161"/>
      <c r="KF49" s="161"/>
      <c r="KG49" s="161"/>
      <c r="KH49" s="161"/>
      <c r="KI49" s="161"/>
      <c r="KJ49" s="161"/>
      <c r="KK49" s="161"/>
      <c r="KL49" s="161"/>
      <c r="KM49" s="161"/>
      <c r="KN49" s="161"/>
      <c r="KO49" s="161"/>
      <c r="KP49" s="161"/>
      <c r="KQ49" s="161"/>
      <c r="KR49" s="161"/>
      <c r="KS49" s="161"/>
      <c r="KT49" s="161"/>
      <c r="KU49" s="117"/>
      <c r="KV49" s="117"/>
      <c r="KW49" s="161"/>
      <c r="KX49" s="161"/>
      <c r="KY49" s="161"/>
      <c r="KZ49" s="161"/>
      <c r="LA49" s="161"/>
      <c r="LB49" s="161"/>
      <c r="LC49" s="161"/>
      <c r="LD49" s="161"/>
      <c r="LE49" s="161"/>
      <c r="LF49" s="161"/>
      <c r="LG49" s="161"/>
      <c r="LH49" s="161"/>
      <c r="LI49" s="161"/>
      <c r="LJ49" s="161"/>
      <c r="LK49" s="161"/>
      <c r="LL49" s="161"/>
      <c r="LM49" s="161"/>
      <c r="LN49" s="161"/>
      <c r="LQ49" s="214"/>
      <c r="LR49" s="214"/>
      <c r="LS49" s="211"/>
      <c r="LT49" s="211"/>
      <c r="LU49" s="211"/>
      <c r="LV49" s="211"/>
      <c r="LW49" s="211"/>
      <c r="LX49" s="211"/>
      <c r="LY49" s="211"/>
      <c r="LZ49" s="211"/>
      <c r="MA49" s="211"/>
      <c r="MB49" s="211"/>
      <c r="MC49" s="211"/>
      <c r="MD49" s="211"/>
      <c r="ME49" s="211"/>
      <c r="MF49" s="211"/>
      <c r="MG49" s="211"/>
      <c r="MH49" s="211"/>
      <c r="MI49" s="211"/>
      <c r="MJ49" s="211"/>
      <c r="MK49" s="211"/>
      <c r="ML49" s="211"/>
      <c r="MM49" s="211"/>
      <c r="MN49" s="211"/>
      <c r="MO49" s="506"/>
      <c r="MP49" s="506"/>
      <c r="MQ49" s="109"/>
      <c r="MR49" s="109"/>
      <c r="MS49" s="109"/>
      <c r="MT49" s="109"/>
      <c r="MU49" s="109"/>
      <c r="MV49" s="109"/>
      <c r="MW49" s="506"/>
      <c r="MX49" s="506"/>
      <c r="MY49" s="109"/>
      <c r="MZ49" s="109"/>
      <c r="NA49" s="109"/>
      <c r="NB49" s="109"/>
      <c r="NC49" s="109"/>
      <c r="ND49" s="109"/>
    </row>
    <row r="50" spans="2:368">
      <c r="P50" s="1"/>
      <c r="Y50" s="6"/>
      <c r="Z50" s="6"/>
      <c r="AA50" s="6"/>
      <c r="AB50" s="6"/>
      <c r="AC50" s="6"/>
      <c r="AD50" s="6"/>
      <c r="AE50" s="6"/>
      <c r="AF50" s="6"/>
      <c r="AG50" s="6"/>
      <c r="AH50" s="6"/>
      <c r="DP50" s="133"/>
      <c r="DQ50" s="133"/>
      <c r="DR50" s="133"/>
      <c r="DS50" s="133"/>
      <c r="DT50" s="133"/>
      <c r="DU50" s="133"/>
      <c r="DV50" s="133"/>
      <c r="DW50" s="133"/>
      <c r="LQ50" s="214"/>
      <c r="LR50" s="214"/>
      <c r="LS50" s="211"/>
      <c r="LT50" s="211"/>
      <c r="LU50" s="211"/>
      <c r="LV50" s="211"/>
      <c r="LW50" s="211"/>
      <c r="LX50" s="211"/>
      <c r="LY50" s="211"/>
      <c r="LZ50" s="211"/>
      <c r="MA50" s="211"/>
      <c r="MB50" s="211"/>
      <c r="MC50" s="211"/>
      <c r="MD50" s="211"/>
      <c r="ME50" s="211"/>
      <c r="MF50" s="211"/>
      <c r="MG50" s="211"/>
      <c r="MH50" s="211"/>
      <c r="MI50" s="211"/>
      <c r="MJ50" s="211"/>
      <c r="MK50" s="211"/>
      <c r="ML50" s="211"/>
      <c r="MM50" s="211"/>
      <c r="MN50" s="211"/>
      <c r="MO50" s="506"/>
      <c r="MP50" s="506"/>
      <c r="MQ50" s="109"/>
      <c r="MR50" s="109"/>
      <c r="MS50" s="109"/>
      <c r="MT50" s="109"/>
      <c r="MU50" s="109"/>
      <c r="MV50" s="109"/>
      <c r="MW50" s="506"/>
      <c r="MX50" s="506"/>
      <c r="MY50" s="109"/>
      <c r="MZ50" s="109"/>
      <c r="NA50" s="109"/>
      <c r="NB50" s="109"/>
      <c r="NC50" s="109"/>
      <c r="ND50" s="109"/>
    </row>
    <row r="51" spans="2:368">
      <c r="B51" s="245" t="s">
        <v>935</v>
      </c>
      <c r="C51" s="5">
        <f t="shared" ref="C51" si="311">9/1000</f>
        <v>8.9999999999999993E-3</v>
      </c>
      <c r="D51" s="66">
        <f t="shared" ref="D51:D53" si="312">C51*0.5%</f>
        <v>4.4999999999999996E-5</v>
      </c>
      <c r="E51" s="67">
        <v>44728</v>
      </c>
      <c r="F51" s="5" t="s">
        <v>210</v>
      </c>
      <c r="G51" s="5" t="s">
        <v>893</v>
      </c>
      <c r="H51" s="5">
        <v>1</v>
      </c>
      <c r="J51" s="327">
        <v>44644</v>
      </c>
      <c r="K51" s="67" t="s">
        <v>823</v>
      </c>
      <c r="L51" s="5">
        <v>20</v>
      </c>
      <c r="M51" s="5">
        <v>13.16</v>
      </c>
      <c r="N51" s="5">
        <v>90</v>
      </c>
      <c r="O51" s="6">
        <v>10813.737201</v>
      </c>
      <c r="P51" s="6">
        <v>28.102360000000001</v>
      </c>
      <c r="Q51" s="6">
        <v>288.87881700000003</v>
      </c>
      <c r="R51" s="6">
        <v>0.91625800000000002</v>
      </c>
      <c r="S51" s="6">
        <v>3747.2127810000002</v>
      </c>
      <c r="T51" s="6">
        <v>12.290209000000001</v>
      </c>
      <c r="U51" s="6">
        <v>1991.2792199999999</v>
      </c>
      <c r="V51" s="6">
        <v>6.5339270000000003</v>
      </c>
      <c r="W51" s="6">
        <v>37.353574999999999</v>
      </c>
      <c r="X51" s="6">
        <v>0.26959100000000003</v>
      </c>
      <c r="Y51" s="6">
        <v>24.008089999999999</v>
      </c>
      <c r="Z51" s="6">
        <v>1.4164060000000001</v>
      </c>
      <c r="AA51" s="6">
        <v>1.522132</v>
      </c>
      <c r="AB51" s="6">
        <v>5.0519000000000001E-2</v>
      </c>
      <c r="AC51" s="6">
        <v>0.647231</v>
      </c>
      <c r="AD51" s="6">
        <v>7.4720999999999996E-2</v>
      </c>
      <c r="AE51" s="6">
        <v>0.57279800000000003</v>
      </c>
      <c r="AF51" s="6">
        <v>3.9316999999999998E-2</v>
      </c>
      <c r="AG51" s="6">
        <v>4.1024999999999999E-2</v>
      </c>
      <c r="AH51" s="6">
        <v>0.13805000000000001</v>
      </c>
      <c r="AI51" s="133">
        <f t="shared" ref="AI51:AI53" si="313">Ar40Raw-Ar40Blank</f>
        <v>10789.729111000001</v>
      </c>
      <c r="AJ51" s="133">
        <f t="shared" ref="AJ51:AJ53" si="314">SQRT(Ar40Blankerr^2+Ar40Rawerr^2)</f>
        <v>28.138031976782528</v>
      </c>
      <c r="AK51" s="133">
        <f t="shared" ref="AK51:AK53" si="315">Ar39Raw-Ar39Blank</f>
        <v>287.35668500000003</v>
      </c>
      <c r="AL51" s="133">
        <f t="shared" ref="AL51:AL53" si="316">SQRT(Ar39Blankerr^2+Ar39Rawerr^2)</f>
        <v>0.91764965641850482</v>
      </c>
      <c r="AM51" s="133">
        <f t="shared" ref="AM51:AM53" si="317">Ar38Raw-Ar38Blank</f>
        <v>3746.5655500000003</v>
      </c>
      <c r="AN51" s="133">
        <f t="shared" ref="AN51:AN53" si="318">SQRT(Ar38Blankerr^2+Ar38Rawerr^2)</f>
        <v>12.290436139190586</v>
      </c>
      <c r="AO51" s="133">
        <f t="shared" ref="AO51:AO53" si="319">Ar37Raw-Ar37Blank</f>
        <v>1990.706422</v>
      </c>
      <c r="AP51" s="133">
        <f t="shared" ref="AP51:AP53" si="320">SQRT(Ar37Blankerr^2+Ar37Rawerr^2)</f>
        <v>6.5340452912279394</v>
      </c>
      <c r="AQ51" s="133">
        <f t="shared" ref="AQ51:AQ53" si="321">Ar36Raw-Ar36Blank</f>
        <v>37.312550000000002</v>
      </c>
      <c r="AR51" s="133">
        <f t="shared" ref="AR51:AR53" si="322">SQRT(Ar36Blankerr^2+Ar36Rawerr^2)</f>
        <v>0.30288134604329797</v>
      </c>
      <c r="AS51" s="5">
        <v>300.7</v>
      </c>
      <c r="AT51" s="5">
        <v>0.28000000000000003</v>
      </c>
      <c r="AU51" s="133">
        <f t="shared" ref="AU51:AU53" si="323">Ar39BC*(1+(Ar4036_Aircal/Ar4036_Air-1)/4)</f>
        <v>288.62085992554995</v>
      </c>
      <c r="AV51" s="133">
        <f t="shared" ref="AV51:AV53" si="324">SQRT(Ar39BCerr^2+(Ar39BC*(Ar4036_Aircal/Ar4036_Air-1)/4)^2*((Ar4036_Aircalerr/Ar4036_Aircal)^2+(Ar39BCerr/Ar39BC)^2+(Ar4036_airerr/Ar4036_Air)^2))</f>
        <v>0.91766024982204886</v>
      </c>
      <c r="AW51" s="133">
        <f t="shared" ref="AW51:AW53" si="325">Ar38BC*(1+2*(Ar4036_Aircal/Ar4036_Air-1)/4)</f>
        <v>3779.53025534687</v>
      </c>
      <c r="AX51" s="133">
        <f t="shared" ref="AX51:AX53" si="326">SQRT(Ar38BCerr^2+(Ar38BC*(Ar4036_Aircal/Ar4036_Air-1)/4)^2*((Ar4036_Aircalerr/Ar4036_Aircal)^2+(Ar38BCerr/Ar38BC)^2+(Ar4036_airerr/Ar4036_Air)^2))</f>
        <v>12.2905768192099</v>
      </c>
      <c r="AY51" s="133">
        <f t="shared" ref="AY51:AY53" si="327">Ar37BC*(1+3*(Ar4036_Aircal/Ar4036_Air-1)/4)</f>
        <v>2016.9797047269035</v>
      </c>
      <c r="AZ51" s="133">
        <f t="shared" ref="AZ51:AZ53" si="328">SQRT(Ar37BCerr^2+(Ar37BC*(Ar4036_Aircal/Ar4036_Air-1)/3)^2*((Ar4036_Aircalerr/Ar4036_Aircal)^2+(Ar37BCerr/Ar37BC)^2+(Ar4036_airerr/Ar4036_Air)^2))</f>
        <v>6.5341782289847048</v>
      </c>
      <c r="BA51" s="133">
        <f t="shared" ref="BA51:BA53" si="329">Ar36BC*(1+4*(Ar4036_Aircal/Ar4036_Air-1)/4)</f>
        <v>37.969149864636215</v>
      </c>
      <c r="BB51" s="133">
        <f t="shared" ref="BB51:BB53" si="330">SQRT(Ar36BCerr^2+(Ar36BC*(Ar4036_Aircal/Ar4036_Air-1)/4)^2*((Ar4036_Aircalerr/Ar4036_Aircal)^2+(Ar36BCerr/Ar36BC)^2+(Ar4036_airerr/Ar4036_Air)^2))</f>
        <v>0.30288436453979922</v>
      </c>
      <c r="BC51" s="6"/>
      <c r="BD51" s="8"/>
      <c r="BE51" s="133">
        <f t="shared" ref="BE51:BE53" si="331">IF(Rad_Type="Continuous", Ar37_DC*EXP(lambda_37Ar*(Run_Date-Rad_Date)),Ar37_DC*Ar37_DecayFactor)</f>
        <v>10595.347209509197</v>
      </c>
      <c r="BF51" s="133">
        <f t="shared" ref="BF51:BF53" si="332">IF(Rad_Type="Continuous", (Ar37_DCerr*EXP(lambda_37Ar*(Run_Date-Rad_Date))), Ar37_DCerr*Ar37_DecayFactor)</f>
        <v>34.324533312189544</v>
      </c>
      <c r="BG51" s="133">
        <f t="shared" ref="BG51:BG53" si="333">IF(Rad_Type="Continuous", Ar39_DC*EXP(lambda_39Ar*(Run_Date-Rad_Date)), Ar39_DC*Ar39_DecayFactor)</f>
        <v>288.79206478800677</v>
      </c>
      <c r="BH51" s="133">
        <f t="shared" ref="BH51:BH53" si="334">IF(Rad_Type="Continuous", (Ar39_DCerr*EXP(lambda_39Ar*(Run_Date-Rad_Date))), Ar39_DCerr*Ar39_DecayFactor)</f>
        <v>0.91820458988427933</v>
      </c>
      <c r="BI51" s="143">
        <f t="shared" ref="BI51:BI53" si="335">Ar40BC-(Salt_40Ar39Ar_K*Ar39_IC)</f>
        <v>10753.384672663371</v>
      </c>
      <c r="BJ51" s="133">
        <f t="shared" ref="BJ51:BJ53" si="336">SQRT(Ar40BCerr^2+(Ar39_ICerr*Salt_40Ar39Ar_K)^2)</f>
        <v>28.138286300612833</v>
      </c>
      <c r="BK51" s="143">
        <f t="shared" ref="BK51:BK53" si="337">Ar39_DecayCor-(Salt_39Ar37Ar_Ca*Ar37_DecayCor)</f>
        <v>279.10931641313431</v>
      </c>
      <c r="BL51" s="133">
        <f t="shared" ref="BL51:BL53" si="338">SQRT(Ar39_DecayCorerr^2+(Ar37_DecayCorerr*Salt_39Ar37Ar_Ca)^2)</f>
        <v>0.91874023860907716</v>
      </c>
      <c r="BM51" s="143">
        <f t="shared" ref="BM51:BM53" si="339">Ar38_DC-(Salt_38Ar39Ar_K*Ar39_DecayCor)</f>
        <v>3775.0706997434377</v>
      </c>
      <c r="BN51" s="133">
        <f t="shared" ref="BN51:BN53" si="340">SQRT(Ar38_DCerr^2+(Ar39_DecayCorerr*Salt_38Ar39Ar_K)^2)</f>
        <v>12.290584998001979</v>
      </c>
      <c r="BO51" s="147">
        <f t="shared" ref="BO51:BO53" si="341">Ar36_DC-(Salt_36Ar37Ar_Ca*Ar37_DecayCor)</f>
        <v>34.273183933000993</v>
      </c>
      <c r="BP51" s="147">
        <f t="shared" ref="BP51:BP53" si="342">SQRT(Ar36_DCerr^2+(Ar37_DecayCorerr*Salt_36Ar37Ar_Ca)^2)</f>
        <v>0.30312093384453154</v>
      </c>
      <c r="BR51" s="147">
        <f t="shared" ref="BR51:BR52" si="343">IF(Rad_Type="Continuous", BO51-((EXP(lambda_36Ar*(Run_Date-Rad_Date))-1)*Cl3638_PR*BT51),BO51*Ar36_DecayFactor)</f>
        <v>33.660381363935201</v>
      </c>
      <c r="BS51" s="147">
        <f>IF(K:K="Continuous", SQRT(BP51^2+(((EXP(lambda_36Ar*(Run_Date-Rad_Date))-1)*Cl3638_PR)*BU51^2)), Ar36_ICerr*Ar36_DecayFactor)</f>
        <v>0.30612891579949308</v>
      </c>
      <c r="BT51" s="143">
        <f t="shared" ref="BT51:BT52" si="344">IF(Rad_Type="Continuous", BM51-(Ar3836_Air*BO51)/(1-lambda_36Ar*(Run_Date-Rad_Date)),Ar38_IC-(Ar3836_Air*Ar36_IC)/Ar36_DecayFactor)</f>
        <v>3768.6273378484289</v>
      </c>
      <c r="BU51" s="147">
        <f t="shared" ref="BU51:BU52" si="345">IF(Rad_Type ="Continuous", SQRT(BN51^2*(((EXP(lambda_36Ar*(Run_Date-Rad_Date))-1*Ar3836_Air)*BP51^2))),SQRT(Ar38_ICerr^2*(((EXP(lambda_36Ar*(Ar36_DecayFactor))-1*Ar3836_Air)*Ar36_ICerr^2))))</f>
        <v>3.3571182353034219</v>
      </c>
      <c r="BV51" s="143">
        <f>Ar40_IC-(Ar36_ClCor*Ar4036_Air)</f>
        <v>806.74197962051949</v>
      </c>
      <c r="BW51" s="143">
        <f t="shared" ref="BW51:BW53" si="346">SQRT(Ar40_ICerr^2+(Ar36_ClCorerr*Ar4036_Air)^2)</f>
        <v>94.736333027818503</v>
      </c>
      <c r="BX51" s="3">
        <v>1.6986774770655257E-12</v>
      </c>
      <c r="BY51" s="3">
        <v>9.4454002365720605E-16</v>
      </c>
      <c r="BZ51" s="157">
        <f t="shared" ref="BZ51:BZ53" si="347">Ar_Sensitivity*Ar36_ClCor</f>
        <v>5.7178131692352884E-11</v>
      </c>
      <c r="CA51" s="157">
        <f t="shared" ref="CA51:CA53" si="348">Ar36CC*SQRT((Ar36_ClCorerr/Ar36_ClCor)^2+(Ar_sensitivityerr/Ar_Sensitivity)^2)</f>
        <v>5.2098531446655254E-13</v>
      </c>
      <c r="CB51" s="157">
        <f t="shared" ref="CB51:CB53" si="349">Ar37_DecayCor*Ar_Sensitivity</f>
        <v>1.7998077666482341E-8</v>
      </c>
      <c r="CC51" s="158">
        <f t="shared" ref="CC51:CC53" si="350">Ar37CC*SQRT((Ar37_DecayCorerr/Ar37_DecayCor)^2+(Ar_sensitivityerr/Ar_Sensitivity)^2)</f>
        <v>5.9158943768807934E-11</v>
      </c>
      <c r="CD51" s="157">
        <f t="shared" ref="CD51:CD53" si="351">Ar_Sensitivity*Ar38_Cl</f>
        <v>6.4016823782565374E-9</v>
      </c>
      <c r="CE51" s="157">
        <f t="shared" ref="CE51:CE53" si="352">Ar38CC*SQRT((Ar38_Clerr/Ar38_Cl)^2+(Ar_sensitivityerr/Ar_Sensitivity)^2)</f>
        <v>6.722442559249595E-12</v>
      </c>
      <c r="CF51" s="157">
        <f t="shared" ref="CF51:CF53" si="353">Ar_Sensitivity*Ar39_IC</f>
        <v>4.7411670943014653E-10</v>
      </c>
      <c r="CG51" s="157">
        <f t="shared" ref="CG51:CG53" si="354">Ar39CC*SQRT((Ar39_ICerr/Ar39_IC)^2+(Ar_sensitivityerr/Ar_Sensitivity)^2)</f>
        <v>1.5827534244666996E-12</v>
      </c>
      <c r="CH51" s="157">
        <f t="shared" ref="CH51:CH53" si="355">Ar_Sensitivity*Ar40_IC</f>
        <v>1.8266532345674907E-8</v>
      </c>
      <c r="CI51" s="157">
        <f t="shared" ref="CI51:CI53" si="356">Ar40CC*SQRT((Ar40_ICerr/Ar40_IC)^2+(Ar_sensitivityerr/Ar_Sensitivity)^2)</f>
        <v>4.8865134550993023E-11</v>
      </c>
      <c r="CJ51" s="157">
        <f t="shared" ref="CJ51:CJ53" si="357">Ar38CC/MV</f>
        <v>2.856113692999273E-13</v>
      </c>
      <c r="CK51" s="157">
        <f t="shared" ref="CK51:CK53" si="358">Ar38_mole*SQRT((Ar38CCerr/Ar38CC)^2+(MVerr/MV)^2)</f>
        <v>2.9992214605429787E-16</v>
      </c>
      <c r="CL51" s="157">
        <f t="shared" ref="CL51:CL53" si="359">Ar40CC/MV</f>
        <v>8.1496222513783631E-13</v>
      </c>
      <c r="CM51" s="157">
        <f t="shared" ref="CM51:CM53" si="360">Ar40_mole*SQRT((Ar40CCerrr/Ar40CC)^2+(MVerr/MV)^2)</f>
        <v>2.1801203954703393E-15</v>
      </c>
      <c r="CN51" s="66">
        <v>5.1340830000000002E-3</v>
      </c>
      <c r="CO51" s="66">
        <v>7.5577700000000003E-6</v>
      </c>
      <c r="CP51" s="3">
        <v>1.1139738540500025E+19</v>
      </c>
      <c r="CQ51" s="60">
        <v>1.0453256904066513E+18</v>
      </c>
      <c r="CR51" s="3">
        <v>8.0438364680336474E+17</v>
      </c>
      <c r="CS51" s="3">
        <v>8.527140119058072E+16</v>
      </c>
      <c r="CT51" s="6">
        <v>0.49881143094597263</v>
      </c>
      <c r="CU51" s="6">
        <v>4.5926073391395927E-2</v>
      </c>
      <c r="CV51" s="4">
        <v>24.581879797320056</v>
      </c>
      <c r="CW51" s="4">
        <v>0.55629982285426871</v>
      </c>
      <c r="CX51" s="157">
        <f t="shared" ref="CX51:CX53" si="361">K_constant*Ar39CC/J</f>
        <v>3.3954937291070811E-7</v>
      </c>
      <c r="CY51" s="157">
        <f t="shared" ref="CY51:CY53" si="362">K_mole*SQRT((Ar39ccerr/Ar39CC)^2+(Jerr/J)^2+(K_Constanterr/K_constant)^2)</f>
        <v>3.3424649749649164E-9</v>
      </c>
      <c r="CZ51" s="133">
        <f t="shared" ref="CZ51:CZ53" si="363">K_mole*MW_K/Sample_Mass*10^6</f>
        <v>1475.089249652749</v>
      </c>
      <c r="DA51" s="133">
        <f t="shared" ref="DA51:DA53" si="364">K_ppm*SQRT((Sample_Masserr/Sample_Mass)^2+(MW_Kerr/MW_K)^2+(K_moleerr/K_mole)^2)</f>
        <v>16.286275440469886</v>
      </c>
      <c r="DB51" s="159">
        <f t="shared" ref="DB51:DB53" si="365">K_ppm/10^4</f>
        <v>0.1475089249652749</v>
      </c>
      <c r="DC51" s="167">
        <f t="shared" ref="DC51:DC53" si="366">K_ppmerr/10^4</f>
        <v>1.6286275440469886E-3</v>
      </c>
      <c r="DD51" s="157">
        <f t="shared" ref="DD51:DD53" si="367">Cl_Constant*Ar38CC/(J*Beta)</f>
        <v>2.0568451032518341E-7</v>
      </c>
      <c r="DE51" s="157">
        <f t="shared" ref="DE51:DE53" si="368">Cl_mole*SQRT((Ar38CCerr/Ar38CC)^2+(Jerr/J)^2+(Betaerr/Beta)^2+(Cl_Constanterr/Cl_Constant)^2)</f>
        <v>5.0340125738151482E-9</v>
      </c>
      <c r="DF51" s="147">
        <f t="shared" ref="DF51:DF53" si="369">Cl_mole*MW_Cl/Sample_Mass*10^6</f>
        <v>810.23699383985877</v>
      </c>
      <c r="DG51" s="133">
        <f t="shared" ref="DG51:DG53" si="370">Cl_ppm*SQRT((Sample_Masserr/Sample_Mass)^2+(MW_Clerr/MW_Cl)^2+(Cl_moleerr/Cl_mole)^2)</f>
        <v>20.239682715817803</v>
      </c>
      <c r="DH51" s="159">
        <f t="shared" ref="DH51:DH53" si="371">Cl_ppm/10^4</f>
        <v>8.1023699383985875E-2</v>
      </c>
      <c r="DI51" s="167">
        <f t="shared" ref="DI51:DI53" si="372">Cl_ppmerr/10^4</f>
        <v>2.0239682715817802E-3</v>
      </c>
      <c r="DJ51" s="157">
        <f t="shared" ref="DJ51:DJ53" si="373">Ca_Constant*Ar37CC/(J*alpha)</f>
        <v>2.5207951648738691E-5</v>
      </c>
      <c r="DK51" s="157">
        <f t="shared" ref="DK51:DK53" si="374">Ca_mole*SQRT((Ar37CCerr/Ar37CC)^2+(Jerr/J)^2+(alphaerr/alpha)^2+(Ca_Constanterr/Ca_Constant)^2)</f>
        <v>2.334104130086882E-6</v>
      </c>
      <c r="DL51" s="143">
        <f t="shared" ref="DL51:DL53" si="375">Ca_mole*MW_Ca/Sample_Mass*10^6</f>
        <v>112259.41134238297</v>
      </c>
      <c r="DM51" s="143">
        <f t="shared" ref="DM51:DM53" si="376">Ca_ppm*SQRT((Sample_Masserr/Sample_Mass)^2+(MW_Caerr/MW_Ca)^2+(Ca_moleerr/Ca_mole)^2)</f>
        <v>10409.693519816181</v>
      </c>
      <c r="DN51" s="147">
        <f t="shared" ref="DN51:DN53" si="377">Ca_ppm/10^4</f>
        <v>11.225941134238298</v>
      </c>
      <c r="DO51" s="147">
        <f t="shared" ref="DO51:DO53" si="378">Ca_ppmerr/10^4</f>
        <v>1.0409693519816181</v>
      </c>
      <c r="DP51" s="133">
        <f t="shared" ref="DP51:DP53" si="379">K_mole/Cl_mole</f>
        <v>1.6508261724418958</v>
      </c>
      <c r="DQ51" s="133">
        <f t="shared" ref="DQ51:DQ53" si="380">KCl_mol*SQRT(K_moleerr/K_mole)^2+(Cl_moleerr/Cl_mole)^2</f>
        <v>1.6849443804440402E-2</v>
      </c>
      <c r="DR51" s="133">
        <f t="shared" ref="DR51:DR53" si="381">K_mole/Ca_mole</f>
        <v>1.3469931140862762E-2</v>
      </c>
      <c r="DS51" s="133">
        <f t="shared" ref="DS51:DS53" si="382">KCa_mol*SQRT(K_moleerr/K_mole)^2+(Ca_moleerr/Ca_mole)^2</f>
        <v>8.7062375541075883E-3</v>
      </c>
      <c r="DT51" s="133">
        <f t="shared" ref="DT51:DT53" si="383">K_ppm/Cl_ppm</f>
        <v>1.8205651690402778</v>
      </c>
      <c r="DU51" s="133">
        <f t="shared" ref="DU51:DU53" si="384">KCl_wt*SQRT(K_ppmerr/K_ppm)^2+(Cl_ppmerr/Cl_ppm)^2</f>
        <v>2.0724629840860941E-2</v>
      </c>
      <c r="DV51" s="133">
        <f t="shared" ref="DV51:DV53" si="385">K_ppm/Ca_ppm</f>
        <v>1.3140005207704458E-2</v>
      </c>
      <c r="DW51" s="133">
        <f t="shared" ref="DW51:DW53" si="386">KCa_wt*SQRT(K_ppmerr/K_ppm)^2+(Ca_ppmerr/Ca_ppm)^2</f>
        <v>8.7437290045112876E-3</v>
      </c>
      <c r="DX51" s="157">
        <f t="shared" ref="DX51:DX53" si="387">Ar40_mole/Cl_mole</f>
        <v>3.962195421762174E-6</v>
      </c>
      <c r="DY51" s="157">
        <f t="shared" ref="DY51:DY53" si="388">Ar40Cl_mol*SQRT((Ar40_moleerr/Ar40_mole)^2+(Cl_moleerr/Cl_mole)^2)</f>
        <v>9.7550049577019691E-8</v>
      </c>
      <c r="DZ51" s="147">
        <f t="shared" ref="DZ51:DZ53" si="389">Ar40AC/Ar39_IC</f>
        <v>2.8904158054917435</v>
      </c>
      <c r="EA51" s="147">
        <f t="shared" ref="EA51:EA53" si="390">Ar40Ar39*SQRT((Ar40ACerr/Ar40AC)^2+(Ar39_ICerr/Ar39_IC)^2)</f>
        <v>0.33955707927228562</v>
      </c>
      <c r="EB51" s="157">
        <f t="shared" ref="EB51:EB53" si="391">(Ar40CC/MV)/K_mole</f>
        <v>2.4001287887878041E-6</v>
      </c>
      <c r="EC51" s="157">
        <f t="shared" ref="EC51:EC53" si="392">Ar40K*SQRT((Ar40CCerrr/Ar40CC)^2+(K_moleerr/K_mole)^2+(MVerr/MV)^2)</f>
        <v>2.4483333691020098E-8</v>
      </c>
      <c r="ED51" s="147">
        <f t="shared" ref="ED51:ED53" si="393">IF(Ar40Ar39&gt;0,(1/lambda/10^6)*LN(1+(J*Ar40Ar39)),"")</f>
        <v>26.545456268197729</v>
      </c>
      <c r="EE51" s="147">
        <f t="shared" ref="EE51:EE53" si="394">IF(Age="","",SQRT((J^2*Ar40Ar39^2*((Ar40Ar39err/Ar40Ar39*100)^2))/(Age^2*0.00055305^2*((1+Ar40Ar39*J)^2)))*Age/100)</f>
        <v>3.1060887294640622</v>
      </c>
      <c r="EF51" s="147">
        <f t="shared" ref="EF51:EF53" si="395">IF(Age="","",SQRT((J^2*Ar40Ar39^2*((Ar40Ar39err/Ar40Ar39*100)^2+(Jerr/J*100)^2))/(Age^2*0.00055305^2*((1+Ar40Ar39*J)^2)))*Age/100)</f>
        <v>3.106332579854119</v>
      </c>
      <c r="EG51" s="247">
        <f t="shared" ref="EG51:EG53" si="396">IF(Ar40Ar39&gt;0,(1/lambda/10^6)*LN(1+(J*Ar40Ar39)),"")</f>
        <v>26.545456268197729</v>
      </c>
      <c r="EH51" s="168">
        <f t="shared" ref="EH51:EH53" si="397">IF(Age="","",SQRT((J^2*Ar40Ar39^2*((Ar40Ar39err/Ar40Ar39*100)^2))/(Age^2*0.00055305^2*((1+Ar40Ar39*J)^2)))*Age/100)</f>
        <v>3.1060887294640622</v>
      </c>
      <c r="EI51" s="147">
        <f t="shared" ref="EI51:EI53" si="398">IF(Age="","",SQRT((J^2*Ar40Ar39^2*((Ar40Ar39err/Ar40Ar39*100)^2+(Jerr/J*100)^2))/(Age^2*0.00055305^2*((1+Ar40Ar39*J)^2)))*Age/100)</f>
        <v>3.106332579854119</v>
      </c>
      <c r="EJ51" s="501">
        <v>1</v>
      </c>
      <c r="EK51" s="489">
        <f t="shared" ref="EK51:EL53" si="399">EG51</f>
        <v>26.545456268197729</v>
      </c>
      <c r="EL51" s="489">
        <f t="shared" si="399"/>
        <v>3.1060887294640622</v>
      </c>
      <c r="EM51" s="147">
        <f t="shared" ref="EM51:EM53" si="400">Ar39_IC/Ar36_ClCor</f>
        <v>8.2919237722060064</v>
      </c>
      <c r="EN51" s="147">
        <f t="shared" ref="EN51:EN53" si="401">EM51*SQRT((Ar40_ICerr/Ar40_IC)^2+(Ar36_ClCorerr/Ar36_ClCor)^2)</f>
        <v>7.8471340860892344E-2</v>
      </c>
      <c r="EO51" s="143">
        <f t="shared" ref="EO51:EO53" si="402">Ar40_IC/Ar36_ClCor</f>
        <v>319.46710752911696</v>
      </c>
      <c r="EP51" s="143">
        <f t="shared" ref="EP51:EP53" si="403">EO51*SQRT((Ar40_ICerr/Ar40_IC)^2+(Ar36_ClCorerr/Ar36_ClCor)^2)</f>
        <v>3.0233047212506219</v>
      </c>
      <c r="EQ51" s="157">
        <f t="shared" ref="EQ51:EQ53" si="404">Ar39_IC/Ar40_IC</f>
        <v>2.5955485171349796E-2</v>
      </c>
      <c r="ER51" s="157">
        <f t="shared" ref="ER51:ER53" si="405">EQ51*SQRT((Ar40_ICerr/Ar40_IC)^2+(Ar39_ICerr/Ar39_IC)^2)</f>
        <v>1.0914356947778883E-4</v>
      </c>
      <c r="ES51" s="157">
        <f t="shared" ref="ES51:ES53" si="406">Ar36_ClCor/Ar40_IC</f>
        <v>3.1302127087022807E-3</v>
      </c>
      <c r="ET51" s="157">
        <f t="shared" ref="ET51:ET53" si="407">ES51*SQRT((Ar40_ICerr/Ar40_IC)^2+(Ar36_ClCorerr/Ar36_ClCor)^2)</f>
        <v>2.9623039861390956E-5</v>
      </c>
      <c r="EU51" s="6">
        <v>381.771792</v>
      </c>
      <c r="EV51" s="6">
        <v>2.5923389999999999</v>
      </c>
      <c r="EW51" s="6">
        <v>111.332441</v>
      </c>
      <c r="EX51" s="6">
        <v>0.82384000000000002</v>
      </c>
      <c r="EY51" s="6">
        <v>0.247057</v>
      </c>
      <c r="EZ51" s="6">
        <v>8.3616999999999997E-2</v>
      </c>
      <c r="FC51" s="5">
        <v>7.2051000000000004E-2</v>
      </c>
      <c r="FD51" s="5">
        <v>5.5479000000000001E-2</v>
      </c>
      <c r="FE51" s="5">
        <v>4.9006000000000001E-2</v>
      </c>
      <c r="FF51" s="5">
        <v>3.2023999999999997E-2</v>
      </c>
      <c r="FG51" s="5">
        <v>4.9379999999999997E-3</v>
      </c>
      <c r="FH51" s="5">
        <v>1.0939999999999999E-3</v>
      </c>
      <c r="FK51" s="147">
        <f>Kr80Raw-Kr80Blank</f>
        <v>381.69974100000002</v>
      </c>
      <c r="FL51" s="147">
        <f>SQRT(Kr80Rawerr^2+Kr80Blankerr^2)</f>
        <v>2.5929325888580288</v>
      </c>
      <c r="FM51" s="147">
        <f>Kr82Raw-Kr82Blank</f>
        <v>111.283435</v>
      </c>
      <c r="FN51" s="147">
        <f>SQRT(Kr82Rawerr^2+Kr82Blankerr^2)</f>
        <v>1.1650857012254507</v>
      </c>
      <c r="FO51" s="147">
        <v>0.83393399999999995</v>
      </c>
      <c r="FP51" s="147">
        <v>5.4209999999999996E-3</v>
      </c>
      <c r="FQ51" s="147">
        <f>Kr86Raw-Kr86Blank</f>
        <v>0</v>
      </c>
      <c r="FR51" s="147">
        <f>SQRT(Kr86Rawerr^2+Kr86Blankerr^2)</f>
        <v>0</v>
      </c>
      <c r="FS51" s="147">
        <f>Kr84BC-((Y86Kr*Kr8684_nf)/(Y134Xe*Xe134136_nf)*Xe134BC)</f>
        <v>0.82599516140428342</v>
      </c>
      <c r="FT51" s="147">
        <f>Kr84U*SQRT((Kr84BCerr/Kr84BC)^2+(Y86Kr_err/Y86Kr)^2+(Kr8684_nferr/Kr8684_nf)^2+(Y134Xeerr/Y134Xe)^2+(Xe134136_nferr/Xe134136_nf)^2+(Xe134BCerr/Xe134BC)^2)</f>
        <v>7.7382663102628341E-2</v>
      </c>
      <c r="FU51" s="143">
        <f>Kr80BC-(Kr84U*Kr8084_Air)</f>
        <v>381.66703159160841</v>
      </c>
      <c r="FV51" s="143">
        <f>SQRT(Kr80BCerr^2+(Kr84Uerr*Kr8084_Air)^2)</f>
        <v>2.5929343995990566</v>
      </c>
      <c r="FW51" s="143">
        <f>Kr82BC-(Kr84U*Kr8284_Air)</f>
        <v>111.11641877836405</v>
      </c>
      <c r="FX51" s="143">
        <f>SQRT(Kr82BCerr^2+(Kr84Uerr*Kr8284_Air)^2)</f>
        <v>1.1651907623868325</v>
      </c>
      <c r="FY51" s="147">
        <f>Kr86BC-(Kr84U*Kr8684_Air)</f>
        <v>-0.25209372326058732</v>
      </c>
      <c r="FZ51" s="147">
        <f>SQRT(Kr86BCerr^2+(Kr84Uerr*Kr8684_Air)^2)</f>
        <v>2.3617188778922171E-2</v>
      </c>
      <c r="GA51" s="3">
        <v>7.8999999999999997E-13</v>
      </c>
      <c r="GB51" s="3">
        <v>2E-14</v>
      </c>
      <c r="GC51" s="6">
        <v>1</v>
      </c>
      <c r="GD51" s="6">
        <v>5.0000000000000001E-3</v>
      </c>
      <c r="GE51" s="157">
        <f>(Kr80AC*Kr_sensitivity)/YKr</f>
        <v>3.0151695495737062E-10</v>
      </c>
      <c r="GF51" s="157">
        <f>Kr80cc*SQRT((Kr_sensitivityerr/Kr_sensitivity)^2+(YKrerr/YKr)^2+(Kr80ACerr/Kr80AC)^2)</f>
        <v>8.0459131288635322E-12</v>
      </c>
      <c r="GG51" s="157">
        <f>(Kr82AC*Kr_sensitivity)/YKr</f>
        <v>8.7781970834907597E-11</v>
      </c>
      <c r="GH51" s="157">
        <f>Kr82cc*SQRT((Kr_sensitivityerr/Kr_sensitivity)^2+(YKrerr/YKr)^2+(Kr82ACerr/Kr82AC)^2)</f>
        <v>2.4451394258510702E-12</v>
      </c>
      <c r="GI51" s="157">
        <f>(Kr84U*Kr_sensitivity)/YKr</f>
        <v>6.5253617750938383E-13</v>
      </c>
      <c r="GJ51" s="157">
        <f>Kr84cc*SQRT((Kr_sensitivityerr/Kr_sensitivity)^2+(YKrerr/YKr)^2+(Kr84Uerr/Kr84U)^2)</f>
        <v>6.3409075560045881E-14</v>
      </c>
      <c r="GK51" s="157">
        <f>(Kr86AC*Kr_sensitivity)/YKr</f>
        <v>-1.9915404137586399E-13</v>
      </c>
      <c r="GL51" s="157">
        <f>Kr86cc*SQRT((Kr_sensitivityerr/Kr_sensitivity)^2+(YKrerr/YKr)^2+(Kr86ACerr/Kr86AC)^2)</f>
        <v>-1.9352449860926004E-14</v>
      </c>
      <c r="GM51" s="157">
        <f>Kr80cc/MV</f>
        <v>1.34521935460304E-14</v>
      </c>
      <c r="GN51" s="157">
        <f>Kr80_mole*SQRT((MVerr/MV)^2+(Kr80ccerr/Kr80cc)^2)</f>
        <v>3.58968803943008E-16</v>
      </c>
      <c r="GO51" s="157">
        <f>Kr82cc/MV</f>
        <v>3.9163968795390836E-15</v>
      </c>
      <c r="GP51" s="157">
        <f>Kr82_mole*SQRT((MVerr/MV)^2+(Kr82ccerr/Kr82cc)^2)</f>
        <v>1.0909001391102261E-16</v>
      </c>
      <c r="GQ51" s="157">
        <f>Kr84cc/MV</f>
        <v>2.9112933157885419E-17</v>
      </c>
      <c r="GR51" s="157">
        <f>Kr84_mole*SQRT((MVerr/MV)^2+(Kr84ccerr/Kr84cc)^2)</f>
        <v>2.8289989766724577E-18</v>
      </c>
      <c r="GS51" s="168">
        <f>Kr80_mole/Kr82_mole</f>
        <v>3.4348392054723456</v>
      </c>
      <c r="GT51" s="147">
        <f>Kr8082_mole*SQRT(Kr80_moleerr/Kr80_mole)^2+(Kr82_moleerr/Kr82_mole)^2</f>
        <v>9.243380673611272E-2</v>
      </c>
      <c r="GU51" s="4">
        <v>28.467321517297663</v>
      </c>
      <c r="GV51" s="4">
        <v>0.39873308773255578</v>
      </c>
      <c r="GW51" s="228">
        <f>Pi*(Ar38_mole/Kr80_mole)</f>
        <v>604.40631121129832</v>
      </c>
      <c r="GX51" s="228">
        <f>Cl_79Br*SQRT((Pi_err/Pi)^2+(Ar38_moleerr/Ar38_mole)^2+(Kr80_moleerr/Kr80_mole)^2)</f>
        <v>18.226309240665309</v>
      </c>
      <c r="GY51" s="239">
        <f>(Cl_mole/Cl_79Br)/(MW_Br/MW_Cl)</f>
        <v>1.5099308780271855E-10</v>
      </c>
      <c r="GZ51" s="229">
        <f>(Br79mole_SC*SQRT((Cl_moleerr/Cl_mole)^2+(Cl_79Brerr/Cl_79Br)^2))</f>
        <v>5.8642218066868243E-12</v>
      </c>
      <c r="HA51" s="228">
        <f>(Cl_ppm/Cl_79Br)*10^3</f>
        <v>1340.5501875320472</v>
      </c>
      <c r="HB51" s="228">
        <f>Br79ppb_SC*SQRT((Cl_ppmerr/Cl_ppm)^2+(Cl_79Brerr/Cl_79Br)^2)</f>
        <v>52.493551027113739</v>
      </c>
      <c r="HC51" s="4">
        <v>8.570444300063329</v>
      </c>
      <c r="HD51" s="4">
        <v>0.11694150036145151</v>
      </c>
      <c r="HE51" s="228">
        <f>Pi_prime*(Ar38_mole/Kr82_mole)</f>
        <v>625.01743498935821</v>
      </c>
      <c r="HF51" s="228">
        <f>Cl_81Br*SQRT((Pi_primeerr/Pi_prime)^2+(Ar38_moleerr/Ar38_mole)^2+(Kr82_moleerr/Kr82_mole)^2)</f>
        <v>19.397357012565294</v>
      </c>
      <c r="HG51" s="239">
        <f>(Cl_mole/Cl_81Br)/(MW_Br/MW_Cl)</f>
        <v>1.4601380714891361E-10</v>
      </c>
      <c r="HH51" s="229">
        <f>(Br81mole_SC*SQRT((Cl_moleerr/Cl_mole)^2+(Cl_79Brerr/Cl_79Br)^2))</f>
        <v>5.6708380788846096E-12</v>
      </c>
      <c r="HI51" s="228">
        <f>(Cl_ppm/Cl_81Br)*10^3</f>
        <v>1296.3430273807548</v>
      </c>
      <c r="HJ51" s="228">
        <f>(Br81ppb_SC*SQRT((Cl_ppmerr/Cl_ppm)^2+(Cl_81Brerr/Cl_81Br)^2))</f>
        <v>51.645295093544846</v>
      </c>
      <c r="HK51" s="6">
        <v>1.250207836570332</v>
      </c>
      <c r="HL51" s="6">
        <v>3.0773458477915613E-2</v>
      </c>
      <c r="HM51" s="467">
        <f>(Kr80_mole/Br79_FactorSW)/(Y_79Br*Br79_Abun*(Therm_CS_79Br*Therm_Flux))*(MW_Br/Sample_Mass*10^9)</f>
        <v>1694.1130864896479</v>
      </c>
      <c r="HN51" s="467">
        <f>Br79ppb_SW*SQRT((Kr80_moleerr/Kr80_mole)^2+(Sample_Masserr/Sample_Mass)^2+(Br79Factor_SWerr/Br79_FactorSW)^2+(Therm_CS_79Brerr/Therm_CS_79Br)^2+(Br79_Abunerr/Br79_Abun)^2+(Therm_Fluxerr/Therm_Flux)^2)</f>
        <v>170.85726100302759</v>
      </c>
      <c r="HO51" s="6">
        <v>1.4124703868932349</v>
      </c>
      <c r="HP51" s="6">
        <v>2.3743935274246231E-2</v>
      </c>
      <c r="HQ51" s="467">
        <f>(Kr82_mole/Br81_FactorSW)/(Y_81Br*Br81_Abun*(Therm_CS_81Br*Therm_Flux))*(MW_Br/Sample_Mass*10^9)</f>
        <v>1898.9404799992412</v>
      </c>
      <c r="HR51" s="467">
        <f>Br81ppb_SW*SQRT((Kr82_moleerr/Kr82_mole)^2+(Sample_Masserr/Sample_Mass)^2+(Br81_FactorSWerr/Br81_FactorSW)^2+(Therm_CS_81Brerr/Therm_CS_81Br)^2+(Br81_Abunerr/Br81_Abun)^2+(Therm_Fluxerr/Therm_Flux)^2)</f>
        <v>190.39241878405551</v>
      </c>
      <c r="HS51" s="8">
        <v>2.3858130000000002</v>
      </c>
      <c r="HT51" s="8">
        <v>2.2478999999999999E-2</v>
      </c>
      <c r="HU51" s="8">
        <v>4.5245E-2</v>
      </c>
      <c r="HV51" s="8">
        <v>1.769E-3</v>
      </c>
      <c r="HW51" s="8">
        <v>7.1919999999999996E-3</v>
      </c>
      <c r="HX51" s="8">
        <v>1.8000000000000001E-4</v>
      </c>
      <c r="HY51" s="8">
        <v>12.388911</v>
      </c>
      <c r="HZ51" s="8">
        <v>0.15163599999999999</v>
      </c>
      <c r="IA51" s="8">
        <v>7.0610999999999993E-2</v>
      </c>
      <c r="IB51" s="8">
        <v>1.2229999999999999E-3</v>
      </c>
      <c r="IC51" s="8">
        <v>6.3599000000000003E-2</v>
      </c>
      <c r="ID51" s="8">
        <v>1.908E-3</v>
      </c>
      <c r="IE51" s="8">
        <v>7.7293000000000001E-2</v>
      </c>
      <c r="IF51" s="8">
        <v>1.7799999999999999E-3</v>
      </c>
      <c r="IG51" s="8">
        <v>1.6410000000000001E-3</v>
      </c>
      <c r="IH51" s="8">
        <v>1.17E-4</v>
      </c>
      <c r="II51" s="8">
        <v>1.47E-3</v>
      </c>
      <c r="IJ51" s="8">
        <v>1.84E-4</v>
      </c>
      <c r="IK51" s="8">
        <v>2.5700000000000001E-4</v>
      </c>
      <c r="IL51" s="8">
        <v>6.7000000000000002E-5</v>
      </c>
      <c r="IM51" s="8">
        <v>1.6689999999999999E-3</v>
      </c>
      <c r="IN51" s="8">
        <v>1.8799999999999999E-4</v>
      </c>
      <c r="IO51" s="8">
        <v>1.1490000000000001E-3</v>
      </c>
      <c r="IP51" s="8">
        <v>1.35E-4</v>
      </c>
      <c r="IQ51" s="8">
        <v>8.5400000000000005E-4</v>
      </c>
      <c r="IR51" s="8">
        <v>8.6000000000000003E-5</v>
      </c>
      <c r="IS51" s="8">
        <v>1.34E-4</v>
      </c>
      <c r="IT51" s="8">
        <v>1.4300000000000001E-4</v>
      </c>
      <c r="IU51" s="167">
        <f>Xe128Raw-Xe128Blank</f>
        <v>2.3841720000000004</v>
      </c>
      <c r="IV51" s="167">
        <f>SQRT(Xe128Rawerr^2+Xe128Blankerr^2)</f>
        <v>2.2479304482123107E-2</v>
      </c>
      <c r="IW51" s="167">
        <f>Xe129Raw-Xe129Blank</f>
        <v>4.3775000000000001E-2</v>
      </c>
      <c r="IX51" s="167">
        <f>SQRT(Xe129Rawerr^2+Xe129Blankerr^2)</f>
        <v>1.7785435052311764E-3</v>
      </c>
      <c r="IY51" s="167">
        <f>Xe130Raw-Xe130Blank</f>
        <v>6.9349999999999993E-3</v>
      </c>
      <c r="IZ51" s="167">
        <f>SQRT(Xe130Rawerr^2+Xe130Blankerr^2)</f>
        <v>1.9206509313251071E-4</v>
      </c>
      <c r="JA51" s="167">
        <f>Xe131Raw-Xe131Blank</f>
        <v>12.387242000000001</v>
      </c>
      <c r="JB51" s="167">
        <f>SQRT(Xe131Rawerr^2+Xe131Blankerr^2)</f>
        <v>0.1516361165422011</v>
      </c>
      <c r="JC51" s="167">
        <f>Xe132Raw-Xe132Blank</f>
        <v>6.9461999999999996E-2</v>
      </c>
      <c r="JD51" s="167">
        <f>SQRT(Xe132Rawerr^2+Xe132Blankerr^2)</f>
        <v>1.2304283806869865E-3</v>
      </c>
      <c r="JE51" s="167">
        <f>Xe134Raw-Xe134Blank</f>
        <v>6.2745000000000009E-2</v>
      </c>
      <c r="JF51" s="167">
        <f>SQRT(Xe134Rawerr^2+Xe134Blankerr^2)</f>
        <v>1.909937171741521E-3</v>
      </c>
      <c r="JG51" s="167">
        <f>Xe136Raw-Xe136Blank</f>
        <v>7.7159000000000005E-2</v>
      </c>
      <c r="JH51" s="167">
        <f>SQRT(Xe136Rawerr^2+Xe136Blankerr^2)</f>
        <v>1.7857348627385869E-3</v>
      </c>
      <c r="JI51" s="167">
        <f>Xe128BC-(Xe130BC*Xe128130_Q)</f>
        <v>2.3806488487679154</v>
      </c>
      <c r="JJ51" s="167">
        <f>SQRT(Xe128BCerr^2+(Xe130BCerr*Xe128130_Q)^2)</f>
        <v>2.2479516245869659E-2</v>
      </c>
      <c r="JK51" s="167">
        <f>Xe129BC-(Xe130BC*Xe129130_Q)</f>
        <v>-7.8879629680999458E-4</v>
      </c>
      <c r="JL51" s="167">
        <f>SQRT(Xe129BCerr^2+(Xe130BCerr*Xe129130_Q)^2)</f>
        <v>2.1648226066062612E-3</v>
      </c>
      <c r="JM51" s="167">
        <f>Xe131BC-(Xe130BC*Xe131130_Q)</f>
        <v>12.3521988456773</v>
      </c>
      <c r="JN51" s="167">
        <f>SQRT(Xe131BCerr^2+(Xe130BCerr*Xe131130_Q)^2)</f>
        <v>0.15163922234042507</v>
      </c>
      <c r="JO51" s="167">
        <f>Xe132BC-(Xe130BC*Xe132130_Q)</f>
        <v>2.665335802589E-2</v>
      </c>
      <c r="JP51" s="167">
        <f>SQRT((Xe132BCerr^2+(Xe130BCerr*Xe132130_Q)^2))</f>
        <v>1.7086750778872359E-3</v>
      </c>
      <c r="JQ51" s="167">
        <f>Xe134BC-(Xe130BC*Xe134130_Q)</f>
        <v>4.6559052471105006E-2</v>
      </c>
      <c r="JR51" s="167">
        <f>SQRT(Xe134BCerr^2+(Xe130BCerr*Xe134130_Q)^2)</f>
        <v>1.9618375033950788E-3</v>
      </c>
      <c r="JS51" s="167">
        <f>Xe136BC-(Xe130BC*Xe136130_Q)</f>
        <v>6.3601503083680011E-2</v>
      </c>
      <c r="JT51" s="167">
        <f>SQRT(Xe136BCerr^2+(Xe130BCerr*Xe136130_Q)^2)</f>
        <v>1.8247823916747905E-3</v>
      </c>
      <c r="JU51" s="3">
        <v>6.6999999999999997E-13</v>
      </c>
      <c r="JV51" s="3">
        <v>4E-14</v>
      </c>
      <c r="JW51" s="5">
        <v>1</v>
      </c>
      <c r="JX51" s="5">
        <v>0</v>
      </c>
      <c r="JY51" s="157">
        <f>(Xe128AC*Xe_Sensitivity)/YXe</f>
        <v>1.5950347286745033E-12</v>
      </c>
      <c r="JZ51" s="157">
        <f>Xe128CC*SQRT((Xe_Sensitivityerr/Xe_Sensitivity)^2+(YXeerr/YXe)^2+(Xe128ACerr/Xe128AC)^2)</f>
        <v>9.6409669313300898E-14</v>
      </c>
      <c r="KA51" s="157">
        <f>Xe128CC/MV</f>
        <v>7.1162551657511656E-17</v>
      </c>
      <c r="KB51" s="157">
        <f>Xe128mole*SQRT((Xe128CCerr/Xe128CC)^2+(MVerr/MV)^2)</f>
        <v>4.3013220651368748E-18</v>
      </c>
      <c r="KC51" s="6">
        <v>1.5235623802440201</v>
      </c>
      <c r="KD51" s="6">
        <v>6.4506083358238542E-2</v>
      </c>
      <c r="KE51" s="157">
        <f>(Xe128mole/IFactor_SW)/((Therm_CS_127I*Therm_Flux)*I127_Abun*Y_127I)</f>
        <v>7.2411527367262871E-13</v>
      </c>
      <c r="KF51" s="157">
        <f>I_mole*SQRT((Xe128CCerr/Xe128CC)^2+(IFactor_SWerr/IFactor_SW)^2+(Therm_CS_127Ierr/Therm_CS_127I)^2+(Therm_Fluxerr/Therm_Flux)^2)</f>
        <v>8.6572426779419776E-14</v>
      </c>
      <c r="KG51" s="489">
        <f>I_mole*MW_I/Sample_Mass*10^9</f>
        <v>10.2103874164209</v>
      </c>
      <c r="KH51" s="489">
        <f>KG51*SQRT(I_moleerr/I_mole)^2+(MVerr/MV)^2+(Sample_Masserr/Sample_Mass)</f>
        <v>1.2257145038035446</v>
      </c>
      <c r="KI51" s="467">
        <v>22.400563309243701</v>
      </c>
      <c r="KJ51" s="467">
        <v>2.2525235998407074</v>
      </c>
      <c r="KK51" s="229">
        <f>Omega*(Ar38_mole/Xe128mole)</f>
        <v>89904.808228830138</v>
      </c>
      <c r="KL51" s="229">
        <f>Cl_I*SQRT((Omegaerr/Omega)^2+(Ar38_moleerr/Ar38_mole)^2+(Xe128moleerr/Xe128mole)^2)</f>
        <v>10548.464715315307</v>
      </c>
      <c r="KM51" s="363">
        <f>(Cl_ppm/Cl_I)*10^3</f>
        <v>9.0121653090856242</v>
      </c>
      <c r="KN51" s="363">
        <f>(Ippb_SC*SQRT((Cl_ppmerr/Cl_ppm)^2+(Cl_Ierr/Cl_I)^2))</f>
        <v>1.0810900345960381</v>
      </c>
      <c r="KO51" s="147">
        <f>Xe131AC-Xe131136_nf/Xe134136_nf*Xe134AC</f>
        <v>12.335271678125606</v>
      </c>
      <c r="KP51" s="147">
        <f>SQRT(Xe131ACerr^2+(Xe131136_nf/Xe134136_nf*Xe134AC)^2*((Xe131136_nferr/Xe131136_nf)^2+(Xe134136_nferr/Xe134136_nf)^2+(Xe134ACerr/Xe134AC)^2))</f>
        <v>0.15164246647617846</v>
      </c>
      <c r="KQ51" s="157">
        <f>(Xe131Ba*Xe_Sensitivity)/YXe</f>
        <v>8.2646320243441557E-12</v>
      </c>
      <c r="KR51" s="157">
        <f>Xe131Bacc*SQRT((Xe_Sensitivityerr/Xe_Sensitivity)^2+(YXeerr/YXe)^2+(Xe131Baerr/Xe131Ba)^2)</f>
        <v>5.0376277726049393E-13</v>
      </c>
      <c r="KS51" s="157">
        <f>Xe131Bacc/MV</f>
        <v>3.687269579712929E-16</v>
      </c>
      <c r="KT51" s="157">
        <f>Xe131mole*SQRT((Xe131CCerr/Xe131CC)^2+(MVerr/MV)^2)</f>
        <v>2.247540070262007E-17</v>
      </c>
      <c r="KU51" s="6">
        <v>1.5355171436865713</v>
      </c>
      <c r="KV51" s="6">
        <v>5.9163108295531078E-2</v>
      </c>
      <c r="KW51" s="157">
        <f>(Xe131mole/Ba_FactorSW)/((Therm_CS_130Ba*Therm_Flux)*Ba130_Abun*Y_130Ba)</f>
        <v>2.6253781426482074E-9</v>
      </c>
      <c r="KX51" s="157">
        <f>Ba_mole*SQRT((Xe131BaCCerr/Xe131Bacc)^2+(Ba_FactorSWerr/Ba_FactorSW)^2+(Therm_CS_130Baerr/Therm_CS_130Ba)^2+(Therm_Fluxerr/Therm_Flux)^2)</f>
        <v>3.3161764462078302E-10</v>
      </c>
      <c r="KY51" s="489">
        <f>Ba_mole*MW_Ba/Sample_Mass*10^6</f>
        <v>40.059478243938933</v>
      </c>
      <c r="KZ51" s="247">
        <f>Ba_ppm*SQRT(Ba_moleerr/Ba_mole)^2+(MVerr/MV)^2+(Sample_Masserr/Sample_Mass)</f>
        <v>5.0650062536490337</v>
      </c>
      <c r="LA51" s="471"/>
      <c r="LB51" s="471"/>
      <c r="LC51" s="471"/>
      <c r="LD51" s="471"/>
      <c r="LE51" s="471"/>
      <c r="LF51" s="471"/>
      <c r="LG51" s="157">
        <f>(Xe134AC*Xe_Sensitivity)/YXe</f>
        <v>3.1194565155640353E-14</v>
      </c>
      <c r="LH51" s="157">
        <f>Xe134CC*SQRT((Xe_Sensitivityerr/Xe_Sensitivity)^2+(YXeerr/YXe)^2+(Xe134ACerr/Xe134AC)^2)</f>
        <v>2.2795003346259943E-15</v>
      </c>
      <c r="LI51" s="157">
        <f>Xe134CC/MV</f>
        <v>1.3917470349793737E-18</v>
      </c>
      <c r="LJ51" s="157">
        <f>Xe134mole*SQRT((Xe134CCerr/Xe134CC)^2+(MVerr/MV)^2)</f>
        <v>1.0170001781469054E-19</v>
      </c>
      <c r="LK51" s="157">
        <f>Xe134_mole/((Therm_CS_235U*Therm_Flux)*U235_Abun*Y_235U)</f>
        <v>3.6927441096848799E-13</v>
      </c>
      <c r="LL51" s="157">
        <f>U_mole*SQRT((Xe134moleerr/Xe134mole)^2+(Therm_CS_235Uerr/Therm_CS_235U)^2+(Therm_Fluxerr/Therm_Flux)^2)</f>
        <v>4.3919196631533632E-14</v>
      </c>
      <c r="LM51" s="143">
        <f>U_mole*MW_U/Sample_Mass*10^9</f>
        <v>9.7664428370801382</v>
      </c>
      <c r="LN51" s="143">
        <f>U_ppb*SQRT((U_moleerr/U_mole)^2+(MVerr/MV)^2+(Sample_Masserr/Sample_Mass)^2)</f>
        <v>1.1625858386270334</v>
      </c>
      <c r="LO51" s="471"/>
      <c r="LP51" s="471"/>
      <c r="LQ51" s="214" t="str">
        <f>Name</f>
        <v>B1x Plagioclase</v>
      </c>
      <c r="LR51" s="214" t="str">
        <f>Irradiation</f>
        <v>MN2022a</v>
      </c>
      <c r="LS51" s="211">
        <f>IF(ISNUMBER(K_ppm), K_ppm, "")</f>
        <v>1475.089249652749</v>
      </c>
      <c r="LT51" s="211">
        <f>IF(ISNUMBER(K_ppmerr), K_ppmerr, "")</f>
        <v>16.286275440469886</v>
      </c>
      <c r="LU51" s="211">
        <f>Cl_ppm</f>
        <v>810.23699383985877</v>
      </c>
      <c r="LV51" s="211">
        <f>Cl_ppmerr</f>
        <v>20.239682715817803</v>
      </c>
      <c r="LW51" s="211">
        <f>Ca_ppm</f>
        <v>112259.41134238297</v>
      </c>
      <c r="LX51" s="211">
        <f>Ca_ppmerr</f>
        <v>10409.693519816181</v>
      </c>
      <c r="LY51" s="211">
        <f>Br79ppb_SW</f>
        <v>1694.1130864896479</v>
      </c>
      <c r="LZ51" s="211">
        <f>Br79ppb_SWerr</f>
        <v>170.85726100302759</v>
      </c>
      <c r="MA51" s="211">
        <f>Br81ppb_SW</f>
        <v>1898.9404799992412</v>
      </c>
      <c r="MB51" s="211">
        <f>Br81ppb_SWerr</f>
        <v>190.39241878405551</v>
      </c>
      <c r="MC51" s="211">
        <f>Br79ppb_SC</f>
        <v>1340.5501875320472</v>
      </c>
      <c r="MD51" s="211">
        <f>Br79ppb_SCerr</f>
        <v>52.493551027113739</v>
      </c>
      <c r="ME51" s="211">
        <f>Br81ppb_SC</f>
        <v>1296.3430273807548</v>
      </c>
      <c r="MF51" s="211">
        <f>Br81ppb_SCerr</f>
        <v>51.645295093544846</v>
      </c>
      <c r="MG51" s="462">
        <f>I_ppb</f>
        <v>10.2103874164209</v>
      </c>
      <c r="MH51" s="462">
        <f>I_ppberr</f>
        <v>1.2257145038035446</v>
      </c>
      <c r="MI51" s="211">
        <f>Ippb_SC</f>
        <v>9.0121653090856242</v>
      </c>
      <c r="MJ51" s="211">
        <f>Ippb_SCerr</f>
        <v>1.0810900345960381</v>
      </c>
      <c r="MK51" s="211"/>
      <c r="ML51" s="211"/>
      <c r="MM51" s="211"/>
      <c r="MN51" s="211"/>
      <c r="MO51" s="506">
        <f t="shared" si="107"/>
        <v>1.8205651690402778</v>
      </c>
      <c r="MP51" s="506">
        <f t="shared" si="107"/>
        <v>2.0724629840860941E-2</v>
      </c>
      <c r="MQ51" s="109">
        <f>(Br79ppb_SC/10^3)/Cl_ppm</f>
        <v>1.6545161449354946E-3</v>
      </c>
      <c r="MR51" s="109">
        <f>MQ51*SQRT((Br79ppb_SCerr/Br79ppb_SC)^2+(Cl_ppmerr/Cl_ppm)^2)</f>
        <v>7.6848023877527919E-5</v>
      </c>
      <c r="MS51" s="109">
        <f>(Br81ppb_SC/10^3)/Cl_ppm</f>
        <v>1.5999553676723055E-3</v>
      </c>
      <c r="MT51" s="109">
        <f>MS51*SQRT((Br81ppb_SCerr/Br81ppb_SC)^2+(Cl_ppmerr/Cl_ppm)^2)</f>
        <v>7.5234684540109891E-5</v>
      </c>
      <c r="MU51" s="109">
        <f>(I_ppb/10^3)/Cl_ppm</f>
        <v>1.2601729486618525E-5</v>
      </c>
      <c r="MV51" s="109">
        <f>MU51*SQRT((I_ppberr/I_ppb)^2+(Cl_ppmerr/Cl_ppm)^2)</f>
        <v>1.5451899845179199E-6</v>
      </c>
      <c r="MW51" s="506">
        <f t="shared" si="108"/>
        <v>1.6508261724418958</v>
      </c>
      <c r="MX51" s="506">
        <f t="shared" si="108"/>
        <v>1.6849443804440402E-2</v>
      </c>
      <c r="MY51" s="109">
        <f>Br79mole_SC/Cl_mole</f>
        <v>7.3410043159789361E-4</v>
      </c>
      <c r="MZ51" s="109">
        <f>MY51*SQRT((Br79mole_SCerr/Br79mole_SC)^2+(Cl_moleerr/Cl_mole)^2)</f>
        <v>3.3699637704452304E-5</v>
      </c>
      <c r="NA51" s="109">
        <f>Br81mole_SC/Cl_mole</f>
        <v>7.0989209113544072E-4</v>
      </c>
      <c r="NB51" s="109">
        <f>NA51*SQRT((Br81mole_SCerr/Br81mole_SC)^2+(Cl_moleerr/Cl_mole)^2)</f>
        <v>3.2588328859101348E-5</v>
      </c>
      <c r="NC51" s="109">
        <f>I_mole/Cl_mole</f>
        <v>3.5205143670168252E-6</v>
      </c>
      <c r="ND51" s="109">
        <f>NC51*SQRT((I_moleerr/I_mole)^2+(Cl_moleerr/Cl_mole)^2)</f>
        <v>4.2962780791091924E-7</v>
      </c>
    </row>
    <row r="52" spans="2:368">
      <c r="B52" s="245" t="s">
        <v>932</v>
      </c>
      <c r="C52" s="5">
        <f>7.9/1000</f>
        <v>7.9000000000000008E-3</v>
      </c>
      <c r="D52" s="66">
        <f t="shared" si="312"/>
        <v>3.9500000000000005E-5</v>
      </c>
      <c r="E52" s="67">
        <v>44728</v>
      </c>
      <c r="F52" s="5" t="s">
        <v>210</v>
      </c>
      <c r="G52" s="5" t="s">
        <v>893</v>
      </c>
      <c r="H52" s="5">
        <v>1</v>
      </c>
      <c r="J52" s="327">
        <v>44644</v>
      </c>
      <c r="K52" s="67" t="s">
        <v>823</v>
      </c>
      <c r="L52" s="5">
        <v>20</v>
      </c>
      <c r="M52" s="5">
        <v>13.16</v>
      </c>
      <c r="N52" s="5">
        <v>90</v>
      </c>
      <c r="O52" s="6">
        <v>8289.2368810000007</v>
      </c>
      <c r="P52" s="6">
        <v>16.155742</v>
      </c>
      <c r="Q52" s="6">
        <v>184.98864900000001</v>
      </c>
      <c r="R52" s="6">
        <v>0.59643599999999997</v>
      </c>
      <c r="S52" s="6">
        <v>5311.7326249999996</v>
      </c>
      <c r="T52" s="6">
        <v>15.931069000000001</v>
      </c>
      <c r="U52" s="6">
        <v>831.77682400000003</v>
      </c>
      <c r="V52" s="6">
        <v>2.2740819999999999</v>
      </c>
      <c r="W52" s="6">
        <v>27.912324999999999</v>
      </c>
      <c r="X52" s="6">
        <v>0.200512</v>
      </c>
      <c r="Y52" s="6">
        <v>24.008089999999999</v>
      </c>
      <c r="Z52" s="6">
        <v>1.4164060000000001</v>
      </c>
      <c r="AA52" s="6">
        <v>1.522132</v>
      </c>
      <c r="AB52" s="6">
        <v>5.0519000000000001E-2</v>
      </c>
      <c r="AC52" s="6">
        <v>0.647231</v>
      </c>
      <c r="AD52" s="6">
        <v>7.4720999999999996E-2</v>
      </c>
      <c r="AE52" s="6">
        <v>0.57279800000000003</v>
      </c>
      <c r="AF52" s="6">
        <v>3.9316999999999998E-2</v>
      </c>
      <c r="AG52" s="6">
        <v>4.1024999999999999E-2</v>
      </c>
      <c r="AH52" s="6">
        <v>0.13805000000000001</v>
      </c>
      <c r="AI52" s="133">
        <f t="shared" si="313"/>
        <v>8265.2287910000014</v>
      </c>
      <c r="AJ52" s="133">
        <f t="shared" si="314"/>
        <v>16.217712709485269</v>
      </c>
      <c r="AK52" s="133">
        <f t="shared" si="315"/>
        <v>183.46651700000001</v>
      </c>
      <c r="AL52" s="133">
        <f t="shared" si="316"/>
        <v>0.59857169282968936</v>
      </c>
      <c r="AM52" s="133">
        <f t="shared" si="317"/>
        <v>5311.0853939999997</v>
      </c>
      <c r="AN52" s="133">
        <f t="shared" si="318"/>
        <v>15.931244229833464</v>
      </c>
      <c r="AO52" s="133">
        <f t="shared" si="319"/>
        <v>831.204026</v>
      </c>
      <c r="AP52" s="133">
        <f t="shared" si="320"/>
        <v>2.2744218538373659</v>
      </c>
      <c r="AQ52" s="133">
        <f t="shared" si="321"/>
        <v>27.871299999999998</v>
      </c>
      <c r="AR52" s="133">
        <f t="shared" si="322"/>
        <v>0.24343965298200704</v>
      </c>
      <c r="AS52" s="5">
        <v>300.7</v>
      </c>
      <c r="AT52" s="5">
        <v>0.28000000000000003</v>
      </c>
      <c r="AU52" s="133">
        <f t="shared" si="323"/>
        <v>184.27364550118443</v>
      </c>
      <c r="AV52" s="133">
        <f t="shared" si="324"/>
        <v>0.59857855590577902</v>
      </c>
      <c r="AW52" s="133">
        <f t="shared" si="325"/>
        <v>5357.8157561807102</v>
      </c>
      <c r="AX52" s="133">
        <f t="shared" si="326"/>
        <v>15.931432108690929</v>
      </c>
      <c r="AY52" s="133">
        <f t="shared" si="327"/>
        <v>842.1742314192893</v>
      </c>
      <c r="AZ52" s="133">
        <f t="shared" si="328"/>
        <v>2.2744712641050913</v>
      </c>
      <c r="BA52" s="133">
        <f t="shared" si="329"/>
        <v>28.361759424703891</v>
      </c>
      <c r="BB52" s="133">
        <f t="shared" si="330"/>
        <v>0.2434420694989016</v>
      </c>
      <c r="BC52" s="6"/>
      <c r="BD52" s="8"/>
      <c r="BE52" s="133">
        <f t="shared" si="331"/>
        <v>4424.0050466928715</v>
      </c>
      <c r="BF52" s="133">
        <f t="shared" si="332"/>
        <v>11.947969880295688</v>
      </c>
      <c r="BG52" s="133">
        <f t="shared" si="333"/>
        <v>184.3829534151744</v>
      </c>
      <c r="BH52" s="133">
        <f t="shared" si="334"/>
        <v>0.59893362226986613</v>
      </c>
      <c r="BI52" s="143">
        <f t="shared" si="335"/>
        <v>8241.7456769914534</v>
      </c>
      <c r="BJ52" s="133">
        <f t="shared" si="336"/>
        <v>16.217900298260961</v>
      </c>
      <c r="BK52" s="143">
        <f t="shared" si="337"/>
        <v>180.33999693349838</v>
      </c>
      <c r="BL52" s="133">
        <f t="shared" si="338"/>
        <v>0.5990331422715155</v>
      </c>
      <c r="BM52" s="143">
        <f t="shared" si="339"/>
        <v>5354.9684963930022</v>
      </c>
      <c r="BN52" s="133">
        <f t="shared" si="340"/>
        <v>15.93143479332559</v>
      </c>
      <c r="BO52" s="147">
        <f t="shared" si="341"/>
        <v>26.81853751695137</v>
      </c>
      <c r="BP52" s="147">
        <f t="shared" si="342"/>
        <v>0.24347774386984883</v>
      </c>
      <c r="BR52" s="147">
        <f t="shared" si="343"/>
        <v>25.948605715197708</v>
      </c>
      <c r="BS52" s="147">
        <f>IF(K:K="Continuous", SQRT(BP52^2+(((EXP(lambda_36Ar*(Run_Date-Rad_Date))-1)*Cl3638_PR)*BU52^2)), Ar36_ICerr*Ar36_DecayFactor)</f>
        <v>0.24752386694488065</v>
      </c>
      <c r="BT52" s="143">
        <f t="shared" si="344"/>
        <v>5349.9266087453771</v>
      </c>
      <c r="BU52" s="147">
        <f t="shared" si="345"/>
        <v>3.4953632146543039</v>
      </c>
      <c r="BV52" s="143">
        <f t="shared" ref="BV52:BV53" si="408">Ar40_IC-(Ar36_ClCor*Ar4036_Air)</f>
        <v>573.93268815053034</v>
      </c>
      <c r="BW52" s="143">
        <f t="shared" si="346"/>
        <v>74.919710472919263</v>
      </c>
      <c r="BX52" s="3">
        <v>1.6986774770655257E-12</v>
      </c>
      <c r="BY52" s="3">
        <v>9.4454002365720605E-16</v>
      </c>
      <c r="BZ52" s="157">
        <f t="shared" si="347"/>
        <v>4.4078312089660122E-11</v>
      </c>
      <c r="CA52" s="157">
        <f t="shared" si="348"/>
        <v>4.2117696157558714E-13</v>
      </c>
      <c r="CB52" s="157">
        <f t="shared" si="349"/>
        <v>7.5149577312414003E-9</v>
      </c>
      <c r="CC52" s="158">
        <f t="shared" si="350"/>
        <v>2.0721449616066423E-11</v>
      </c>
      <c r="CD52" s="157">
        <f t="shared" si="351"/>
        <v>9.0877998342293201E-9</v>
      </c>
      <c r="CE52" s="157">
        <f t="shared" si="352"/>
        <v>7.7967220362482058E-12</v>
      </c>
      <c r="CF52" s="157">
        <f t="shared" si="353"/>
        <v>3.0633949100499968E-10</v>
      </c>
      <c r="CG52" s="157">
        <f t="shared" si="354"/>
        <v>1.0317227646995709E-12</v>
      </c>
      <c r="CH52" s="157">
        <f t="shared" si="355"/>
        <v>1.4000067753207546E-8</v>
      </c>
      <c r="CI52" s="157">
        <f t="shared" si="356"/>
        <v>2.8627736856788655E-11</v>
      </c>
      <c r="CJ52" s="157">
        <f t="shared" si="357"/>
        <v>4.0545262967026179E-13</v>
      </c>
      <c r="CK52" s="157">
        <f t="shared" si="358"/>
        <v>3.4785121068324703E-16</v>
      </c>
      <c r="CL52" s="157">
        <f t="shared" si="359"/>
        <v>6.2461370074632706E-13</v>
      </c>
      <c r="CM52" s="157">
        <f t="shared" si="360"/>
        <v>1.2772279175080648E-15</v>
      </c>
      <c r="CN52" s="66">
        <v>5.1340830000000002E-3</v>
      </c>
      <c r="CO52" s="66">
        <v>7.5577700000000003E-6</v>
      </c>
      <c r="CP52" s="3">
        <v>1.1139738540500025E+19</v>
      </c>
      <c r="CQ52" s="60">
        <v>1.0453256904066513E+18</v>
      </c>
      <c r="CR52" s="3">
        <v>8.0438364680336474E+17</v>
      </c>
      <c r="CS52" s="3">
        <v>8.527140119058072E+16</v>
      </c>
      <c r="CT52" s="6">
        <v>0.49881143094597263</v>
      </c>
      <c r="CU52" s="6">
        <v>4.5926073391395927E-2</v>
      </c>
      <c r="CV52" s="4">
        <v>24.581879797320056</v>
      </c>
      <c r="CW52" s="4">
        <v>0.55629982285426871</v>
      </c>
      <c r="CX52" s="157">
        <f t="shared" si="361"/>
        <v>2.1939193451661811E-7</v>
      </c>
      <c r="CY52" s="157">
        <f t="shared" si="362"/>
        <v>2.161865947407683E-9</v>
      </c>
      <c r="CZ52" s="133">
        <f t="shared" si="363"/>
        <v>1085.8040092798847</v>
      </c>
      <c r="DA52" s="133">
        <f t="shared" si="364"/>
        <v>11.997978263357915</v>
      </c>
      <c r="DB52" s="159">
        <f t="shared" si="365"/>
        <v>0.10858040092798847</v>
      </c>
      <c r="DC52" s="167">
        <f t="shared" si="366"/>
        <v>1.1997978263357915E-3</v>
      </c>
      <c r="DD52" s="157">
        <f t="shared" si="367"/>
        <v>2.9198881612520931E-7</v>
      </c>
      <c r="DE52" s="157">
        <f t="shared" si="368"/>
        <v>7.1440742571147565E-9</v>
      </c>
      <c r="DF52" s="147">
        <f t="shared" si="369"/>
        <v>1310.3644934287399</v>
      </c>
      <c r="DG52" s="133">
        <f t="shared" si="370"/>
        <v>32.723225945469956</v>
      </c>
      <c r="DH52" s="159">
        <f t="shared" si="371"/>
        <v>0.13103644934287401</v>
      </c>
      <c r="DI52" s="167">
        <f t="shared" si="372"/>
        <v>3.2723225945469957E-3</v>
      </c>
      <c r="DJ52" s="157">
        <f t="shared" si="373"/>
        <v>1.0525384690623627E-5</v>
      </c>
      <c r="DK52" s="157">
        <f t="shared" si="374"/>
        <v>9.7440512226073547E-7</v>
      </c>
      <c r="DL52" s="143">
        <f t="shared" si="375"/>
        <v>53399.673215214541</v>
      </c>
      <c r="DM52" s="143">
        <f t="shared" si="376"/>
        <v>4950.7720285817632</v>
      </c>
      <c r="DN52" s="147">
        <f t="shared" si="377"/>
        <v>5.3399673215214545</v>
      </c>
      <c r="DO52" s="147">
        <f t="shared" si="378"/>
        <v>0.4950772028581763</v>
      </c>
      <c r="DP52" s="133">
        <f t="shared" si="379"/>
        <v>0.75137101971241071</v>
      </c>
      <c r="DQ52" s="133">
        <f t="shared" si="380"/>
        <v>8.0025654721135823E-3</v>
      </c>
      <c r="DR52" s="133">
        <f t="shared" si="381"/>
        <v>2.0844077529257432E-2</v>
      </c>
      <c r="DS52" s="133">
        <f t="shared" si="382"/>
        <v>8.7758362664686323E-3</v>
      </c>
      <c r="DT52" s="133">
        <f t="shared" si="383"/>
        <v>0.82862746565937284</v>
      </c>
      <c r="DU52" s="133">
        <f t="shared" si="384"/>
        <v>9.7798458362612344E-3</v>
      </c>
      <c r="DV52" s="133">
        <f t="shared" si="385"/>
        <v>2.0333532845862423E-2</v>
      </c>
      <c r="DW52" s="133">
        <f t="shared" si="386"/>
        <v>8.820133409303467E-3</v>
      </c>
      <c r="DX52" s="157">
        <f t="shared" si="387"/>
        <v>2.1391699484766674E-6</v>
      </c>
      <c r="DY52" s="157">
        <f t="shared" si="388"/>
        <v>5.2521423749827575E-8</v>
      </c>
      <c r="DZ52" s="147">
        <f t="shared" si="389"/>
        <v>3.1825035927120036</v>
      </c>
      <c r="EA52" s="147">
        <f t="shared" si="390"/>
        <v>0.4155703864933834</v>
      </c>
      <c r="EB52" s="157">
        <f t="shared" si="391"/>
        <v>2.8470221666194159E-6</v>
      </c>
      <c r="EC52" s="157">
        <f t="shared" si="392"/>
        <v>2.8651943337092354E-8</v>
      </c>
      <c r="ED52" s="147">
        <f t="shared" si="393"/>
        <v>29.206351715843521</v>
      </c>
      <c r="EE52" s="147">
        <f t="shared" si="394"/>
        <v>3.7958093245643822</v>
      </c>
      <c r="EF52" s="147">
        <f t="shared" si="395"/>
        <v>3.7960505209453617</v>
      </c>
      <c r="EG52" s="143">
        <f t="shared" si="396"/>
        <v>29.206351715843521</v>
      </c>
      <c r="EH52" s="147">
        <f t="shared" si="397"/>
        <v>3.7958093245643822</v>
      </c>
      <c r="EI52" s="147">
        <f t="shared" si="398"/>
        <v>3.7960505209453617</v>
      </c>
      <c r="EJ52" s="501">
        <v>1</v>
      </c>
      <c r="EK52" s="489">
        <f t="shared" si="399"/>
        <v>29.206351715843521</v>
      </c>
      <c r="EL52" s="489">
        <f t="shared" si="399"/>
        <v>3.7958093245643822</v>
      </c>
      <c r="EM52" s="147">
        <f t="shared" si="400"/>
        <v>6.9498916016083268</v>
      </c>
      <c r="EN52" s="147">
        <f t="shared" si="401"/>
        <v>6.7690925650909534E-2</v>
      </c>
      <c r="EO52" s="143">
        <f t="shared" si="402"/>
        <v>317.61805499107749</v>
      </c>
      <c r="EP52" s="143">
        <f t="shared" si="403"/>
        <v>3.0935533067612275</v>
      </c>
      <c r="EQ52" s="157">
        <f t="shared" si="404"/>
        <v>2.1881286319833305E-2</v>
      </c>
      <c r="ER52" s="157">
        <f t="shared" si="405"/>
        <v>8.4479186154458942E-5</v>
      </c>
      <c r="ES52" s="157">
        <f t="shared" si="406"/>
        <v>3.148435626646262E-3</v>
      </c>
      <c r="ET52" s="157">
        <f t="shared" si="407"/>
        <v>3.0665301581202657E-5</v>
      </c>
      <c r="EU52" s="6">
        <v>387.04894300000001</v>
      </c>
      <c r="EV52" s="6">
        <v>2.2892589999999999</v>
      </c>
      <c r="EW52" s="6">
        <v>113.73151799999999</v>
      </c>
      <c r="EX52" s="6">
        <v>0.71268299999999996</v>
      </c>
      <c r="EY52" s="6">
        <v>0.69198300000000001</v>
      </c>
      <c r="EZ52" s="6">
        <v>5.3769999999999998E-3</v>
      </c>
      <c r="FC52" s="5">
        <v>7.2051000000000004E-2</v>
      </c>
      <c r="FD52" s="5">
        <v>5.5479000000000001E-2</v>
      </c>
      <c r="FE52" s="5">
        <v>4.9006000000000001E-2</v>
      </c>
      <c r="FF52" s="5">
        <v>3.2023999999999997E-2</v>
      </c>
      <c r="FG52" s="5">
        <v>4.9379999999999997E-3</v>
      </c>
      <c r="FH52" s="5">
        <v>1.0939999999999999E-3</v>
      </c>
      <c r="FK52" s="147">
        <f>Kr80Raw-Kr80Blank</f>
        <v>386.97689200000002</v>
      </c>
      <c r="FL52" s="147">
        <f>SQRT(Kr80Rawerr^2+Kr80Blankerr^2)</f>
        <v>2.2899311536642317</v>
      </c>
      <c r="FM52" s="147">
        <f>Kr82Raw-Kr82Blank</f>
        <v>113.68251199999999</v>
      </c>
      <c r="FN52" s="147">
        <f>SQRT(Kr82Rawerr^2+Kr82Blankerr^2)</f>
        <v>1.0078859642727445</v>
      </c>
      <c r="FO52" s="147">
        <v>0.83393399999999995</v>
      </c>
      <c r="FP52" s="147">
        <v>5.4209999999999996E-3</v>
      </c>
      <c r="FQ52" s="147">
        <f>Kr86Raw-Kr86Blank</f>
        <v>0</v>
      </c>
      <c r="FR52" s="147">
        <f>SQRT(Kr86Rawerr^2+Kr86Blankerr^2)</f>
        <v>0</v>
      </c>
      <c r="FS52" s="147">
        <f>Kr84BC-((Y86Kr*Kr8684_nf)/(Y134Xe*Xe134136_nf)*Xe134BC)</f>
        <v>0.81411847160744366</v>
      </c>
      <c r="FT52" s="147">
        <f>Kr84U*SQRT((Kr84BCerr/Kr84BC)^2+(Y86Kr_err/Y86Kr)^2+(Kr8684_nferr/Kr8684_nf)^2+(Y134Xeerr/Y134Xe)^2+(Xe134136_nferr/Xe134136_nf)^2+(Xe134BCerr/Xe134BC)^2)</f>
        <v>7.3688378231474935E-2</v>
      </c>
      <c r="FU52" s="143">
        <f>Kr80BC-(Kr84U*Kr8084_Air)</f>
        <v>386.94465290852435</v>
      </c>
      <c r="FV52" s="143">
        <f>SQRT(Kr80BCerr^2+(Kr84Uerr*Kr8084_Air)^2)</f>
        <v>2.2899330129055886</v>
      </c>
      <c r="FW52" s="143">
        <f>Kr82BC-(Kr84U*Kr8284_Air)</f>
        <v>113.51789724504097</v>
      </c>
      <c r="FX52" s="143">
        <f>SQRT(Kr82BCerr^2+(Kr84Uerr*Kr8284_Air)^2)</f>
        <v>1.0079960916205877</v>
      </c>
      <c r="FY52" s="147">
        <f>Kr86BC-(Kr84U*Kr8684_Air)</f>
        <v>-0.24846895753459183</v>
      </c>
      <c r="FZ52" s="147">
        <f>SQRT(Kr86BCerr^2+(Kr84Uerr*Kr8684_Air)^2)</f>
        <v>2.2489693036246153E-2</v>
      </c>
      <c r="GA52" s="3">
        <v>7.8999999999999997E-13</v>
      </c>
      <c r="GB52" s="3">
        <v>2E-14</v>
      </c>
      <c r="GC52" s="6">
        <v>1</v>
      </c>
      <c r="GD52" s="6">
        <v>5.0000000000000001E-3</v>
      </c>
      <c r="GE52" s="157">
        <f>(Kr80AC*Kr_sensitivity)/YKr</f>
        <v>3.0568627579773423E-10</v>
      </c>
      <c r="GF52" s="157">
        <f>Kr80cc*SQRT((Kr_sensitivityerr/Kr_sensitivity)^2+(YKrerr/YKr)^2+(Kr80ACerr/Kr80AC)^2)</f>
        <v>8.0931588137413997E-12</v>
      </c>
      <c r="GG52" s="157">
        <f>(Kr82AC*Kr_sensitivity)/YKr</f>
        <v>8.9679138823582365E-11</v>
      </c>
      <c r="GH52" s="157">
        <f>Kr82cc*SQRT((Kr_sensitivityerr/Kr_sensitivity)^2+(YKrerr/YKr)^2+(Kr82ACerr/Kr82AC)^2)</f>
        <v>2.447387284722341E-12</v>
      </c>
      <c r="GI52" s="157">
        <f>(Kr84U*Kr_sensitivity)/YKr</f>
        <v>6.4315359256988044E-13</v>
      </c>
      <c r="GJ52" s="157">
        <f>Kr84cc*SQRT((Kr_sensitivityerr/Kr_sensitivity)^2+(YKrerr/YKr)^2+(Kr84Uerr/Kr84U)^2)</f>
        <v>6.0533506568913442E-14</v>
      </c>
      <c r="GK52" s="157">
        <f>(Kr86AC*Kr_sensitivity)/YKr</f>
        <v>-1.9629047645232755E-13</v>
      </c>
      <c r="GL52" s="157">
        <f>Kr86cc*SQRT((Kr_sensitivityerr/Kr_sensitivity)^2+(YKrerr/YKr)^2+(Kr86ACerr/Kr86AC)^2)</f>
        <v>-1.8474826204832383E-14</v>
      </c>
      <c r="GM52" s="157">
        <f>Kr80cc/MV</f>
        <v>1.3638207997217727E-14</v>
      </c>
      <c r="GN52" s="157">
        <f>Kr80_mole*SQRT((MVerr/MV)^2+(Kr80ccerr/Kr80cc)^2)</f>
        <v>3.6107667246350365E-16</v>
      </c>
      <c r="GO52" s="157">
        <f>Kr82cc/MV</f>
        <v>4.0010391212219584E-15</v>
      </c>
      <c r="GP52" s="157">
        <f>Kr82_mole*SQRT((MVerr/MV)^2+(Kr82ccerr/Kr82cc)^2)</f>
        <v>1.0919030224442489E-16</v>
      </c>
      <c r="GQ52" s="157">
        <f>Kr84cc/MV</f>
        <v>2.8694328676468729E-17</v>
      </c>
      <c r="GR52" s="157">
        <f>Kr84_mole*SQRT((MVerr/MV)^2+(Kr84ccerr/Kr84cc)^2)</f>
        <v>2.7007053268878919E-18</v>
      </c>
      <c r="GS52" s="147">
        <f>Kr80_mole/Kr82_mole</f>
        <v>3.4086664948810794</v>
      </c>
      <c r="GT52" s="147">
        <f>Kr8082_mole*SQRT(Kr80_moleerr/Kr80_mole)^2+(Kr82_moleerr/Kr82_mole)^2</f>
        <v>9.0990494681882444E-2</v>
      </c>
      <c r="GU52" s="4">
        <v>28.467321517297663</v>
      </c>
      <c r="GV52" s="4">
        <v>0.39873308773255578</v>
      </c>
      <c r="GW52" s="228">
        <f>Pi*(Ar38_mole/Kr80_mole)</f>
        <v>846.30989432129422</v>
      </c>
      <c r="GX52" s="228">
        <f>Cl_79Br*SQRT((Pi_err/Pi)^2+(Ar38_moleerr/Ar38_mole)^2+(Kr80_moleerr/Kr80_mole)^2)</f>
        <v>25.359221454635598</v>
      </c>
      <c r="GY52" s="239">
        <f>(Cl_mole/Cl_79Br)/(MW_Br/MW_Cl)</f>
        <v>1.5308099237118875E-10</v>
      </c>
      <c r="GZ52" s="229">
        <f>(Br79mole_SC*SQRT((Cl_moleerr/Cl_mole)^2+(Cl_79Brerr/Cl_79Br)^2))</f>
        <v>5.9218812135980222E-12</v>
      </c>
      <c r="HA52" s="228">
        <f>(Cl_ppm/Cl_79Br)*10^3</f>
        <v>1548.3270398009447</v>
      </c>
      <c r="HB52" s="228">
        <f>Br79ppb_SC*SQRT((Cl_ppmerr/Cl_ppm)^2+(Cl_79Brerr/Cl_79Br)^2)</f>
        <v>60.394688041329516</v>
      </c>
      <c r="HC52" s="4">
        <v>8.570444300063329</v>
      </c>
      <c r="HD52" s="4">
        <v>0.11694150036145151</v>
      </c>
      <c r="HE52" s="228">
        <f>Pi_prime*(Ar38_mole/Kr82_mole)</f>
        <v>868.50167509532127</v>
      </c>
      <c r="HF52" s="228">
        <f>Cl_81Br*SQRT((Pi_primeerr/Pi_prime)^2+(Ar38_moleerr/Ar38_mole)^2+(Kr82_moleerr/Kr82_mole)^2)</f>
        <v>26.509733726468976</v>
      </c>
      <c r="HG52" s="239">
        <f>(Cl_mole/Cl_81Br)/(MW_Br/MW_Cl)</f>
        <v>1.4916949752807394E-10</v>
      </c>
      <c r="HH52" s="229">
        <f>(Br81mole_SC*SQRT((Cl_moleerr/Cl_mole)^2+(Cl_79Brerr/Cl_79Br)^2))</f>
        <v>5.7705664914386521E-12</v>
      </c>
      <c r="HI52" s="228">
        <f>(Cl_ppm/Cl_81Br)*10^3</f>
        <v>1508.7644975295213</v>
      </c>
      <c r="HJ52" s="228">
        <f>(Br81ppb_SC*SQRT((Cl_ppmerr/Cl_ppm)^2+(Cl_81Brerr/Cl_81Br)^2))</f>
        <v>59.50191275189718</v>
      </c>
      <c r="HK52" s="6">
        <v>1.250207836570332</v>
      </c>
      <c r="HL52" s="6">
        <v>3.0773458477915613E-2</v>
      </c>
      <c r="HM52" s="467">
        <f>(Kr80_mole/Br79_FactorSW)/(Y_79Br*Br79_Abun*(Therm_CS_79Br*Therm_Flux))*(MW_Br/Sample_Mass*10^9)</f>
        <v>1956.6899655741927</v>
      </c>
      <c r="HN52" s="467">
        <f>Br79ppb_SW*SQRT((Kr80_moleerr/Kr80_mole)^2+(Sample_Masserr/Sample_Mass)^2+(Br79Factor_SWerr/Br79_FactorSW)^2+(Therm_CS_79Brerr/Therm_CS_79Br)^2+(Br79_Abunerr/Br79_Abun)^2+(Therm_Fluxerr/Therm_Flux)^2)</f>
        <v>197.23104605608833</v>
      </c>
      <c r="HO52" s="6">
        <v>1.4124703868932349</v>
      </c>
      <c r="HP52" s="6">
        <v>2.3743935274246231E-2</v>
      </c>
      <c r="HQ52" s="467">
        <f>(Kr82_mole/Br81_FactorSW)/(Y_81Br*Br81_Abun*(Therm_CS_81Br*Therm_Flux))*(MW_Br/Sample_Mass*10^9)</f>
        <v>2210.1048245951765</v>
      </c>
      <c r="HR52" s="467">
        <f>Br81ppb_SW*SQRT((Kr82_moleerr/Kr82_mole)^2+(Sample_Masserr/Sample_Mass)^2+(Br81_FactorSWerr/Br81_FactorSW)^2+(Therm_CS_81Brerr/Therm_CS_81Br)^2+(Br81_Abunerr/Br81_Abun)^2+(Therm_Fluxerr/Therm_Flux)^2)</f>
        <v>221.24733629469506</v>
      </c>
      <c r="HS52" s="8">
        <v>1.7139549999999999</v>
      </c>
      <c r="HT52" s="8">
        <v>1.5414000000000001E-2</v>
      </c>
      <c r="HU52" s="8">
        <v>3.7467E-2</v>
      </c>
      <c r="HV52" s="8">
        <v>2.4250000000000001E-3</v>
      </c>
      <c r="HW52" s="8">
        <v>6.9560000000000004E-3</v>
      </c>
      <c r="HX52" s="8">
        <v>8.1899999999999996E-4</v>
      </c>
      <c r="HY52" s="8">
        <v>5.3299580000000004</v>
      </c>
      <c r="HZ52" s="8">
        <v>3.2955999999999999E-2</v>
      </c>
      <c r="IA52" s="8">
        <v>0.12439699999999999</v>
      </c>
      <c r="IB52" s="8">
        <v>2.8240000000000001E-3</v>
      </c>
      <c r="IC52" s="8">
        <v>0.157467</v>
      </c>
      <c r="ID52" s="8">
        <v>2.8969999999999998E-3</v>
      </c>
      <c r="IE52" s="8">
        <v>0.21444199999999999</v>
      </c>
      <c r="IF52" s="8">
        <v>3.6579999999999998E-3</v>
      </c>
      <c r="IG52" s="8">
        <v>1.6410000000000001E-3</v>
      </c>
      <c r="IH52" s="8">
        <v>1.17E-4</v>
      </c>
      <c r="II52" s="8">
        <v>1.47E-3</v>
      </c>
      <c r="IJ52" s="8">
        <v>1.84E-4</v>
      </c>
      <c r="IK52" s="8">
        <v>2.5700000000000001E-4</v>
      </c>
      <c r="IL52" s="8">
        <v>6.7000000000000002E-5</v>
      </c>
      <c r="IM52" s="8">
        <v>1.6689999999999999E-3</v>
      </c>
      <c r="IN52" s="8">
        <v>1.8799999999999999E-4</v>
      </c>
      <c r="IO52" s="8">
        <v>1.1490000000000001E-3</v>
      </c>
      <c r="IP52" s="8">
        <v>1.35E-4</v>
      </c>
      <c r="IQ52" s="8">
        <v>8.5400000000000005E-4</v>
      </c>
      <c r="IR52" s="8">
        <v>8.6000000000000003E-5</v>
      </c>
      <c r="IS52" s="8">
        <v>1.34E-4</v>
      </c>
      <c r="IT52" s="8">
        <v>1.4300000000000001E-4</v>
      </c>
      <c r="IU52" s="167">
        <f>Xe128Raw-Xe128Blank</f>
        <v>1.7123139999999999</v>
      </c>
      <c r="IV52" s="167">
        <f>SQRT(Xe128Rawerr^2+Xe128Blankerr^2)</f>
        <v>1.5414444037979444E-2</v>
      </c>
      <c r="IW52" s="167">
        <f>Xe129Raw-Xe129Blank</f>
        <v>3.5997000000000001E-2</v>
      </c>
      <c r="IX52" s="167">
        <f>SQRT(Xe129Rawerr^2+Xe129Blankerr^2)</f>
        <v>2.4319706001512437E-3</v>
      </c>
      <c r="IY52" s="167">
        <f>Xe130Raw-Xe130Blank</f>
        <v>6.6990000000000001E-3</v>
      </c>
      <c r="IZ52" s="167">
        <f>SQRT(Xe130Rawerr^2+Xe130Blankerr^2)</f>
        <v>8.2173596732770555E-4</v>
      </c>
      <c r="JA52" s="167">
        <f>Xe131Raw-Xe131Blank</f>
        <v>5.3282890000000007</v>
      </c>
      <c r="JB52" s="167">
        <f>SQRT(Xe131Rawerr^2+Xe131Blankerr^2)</f>
        <v>3.2956536225762563E-2</v>
      </c>
      <c r="JC52" s="167">
        <f>Xe132Raw-Xe132Blank</f>
        <v>0.123248</v>
      </c>
      <c r="JD52" s="167">
        <f>SQRT(Xe132Rawerr^2+Xe132Blankerr^2)</f>
        <v>2.8272249645190954E-3</v>
      </c>
      <c r="JE52" s="167">
        <f>Xe134Raw-Xe134Blank</f>
        <v>0.156613</v>
      </c>
      <c r="JF52" s="167">
        <f>SQRT(Xe134Rawerr^2+Xe134Blankerr^2)</f>
        <v>2.8982762118197085E-3</v>
      </c>
      <c r="JG52" s="167">
        <f>Xe136Raw-Xe136Blank</f>
        <v>0.214308</v>
      </c>
      <c r="JH52" s="167">
        <f>SQRT(Xe136Rawerr^2+Xe136Blankerr^2)</f>
        <v>3.6607940395493432E-3</v>
      </c>
      <c r="JI52" s="167">
        <f>Xe128BC-(Xe130BC*Xe128130_Q)</f>
        <v>1.708910742594991</v>
      </c>
      <c r="JJ52" s="167">
        <f>SQRT(Xe128BCerr^2+(Xe130BCerr*Xe128130_Q)^2)</f>
        <v>1.5420095967787328E-2</v>
      </c>
      <c r="JK52" s="167">
        <f>Xe129BC-(Xe130BC*Xe129130_Q)</f>
        <v>-7.0502777782739945E-3</v>
      </c>
      <c r="JL52" s="167">
        <f>SQRT(Xe129BCerr^2+(Xe130BCerr*Xe129130_Q)^2)</f>
        <v>5.8135409033864974E-3</v>
      </c>
      <c r="JM52" s="167">
        <f>Xe131BC-(Xe130BC*Xe131130_Q)</f>
        <v>5.2944383740724206</v>
      </c>
      <c r="JN52" s="167">
        <f>SQRT(Xe131BCerr^2+(Xe130BCerr*Xe131130_Q)^2)</f>
        <v>3.3217087455389344E-2</v>
      </c>
      <c r="JO52" s="167">
        <f>Xe132BC-(Xe130BC*Xe132130_Q)</f>
        <v>8.1896148149306E-2</v>
      </c>
      <c r="JP52" s="167">
        <f>SQRT((Xe132BCerr^2+(Xe130BCerr*Xe132130_Q)^2))</f>
        <v>5.807141430558143E-3</v>
      </c>
      <c r="JQ52" s="167">
        <f>Xe134BC-(Xe130BC*Xe134130_Q)</f>
        <v>0.14097786481671701</v>
      </c>
      <c r="JR52" s="167">
        <f>SQRT(Xe134BCerr^2+(Xe130BCerr*Xe134130_Q)^2)</f>
        <v>3.4753865298872955E-3</v>
      </c>
      <c r="JS52" s="167">
        <f>Xe136BC-(Xe130BC*Xe136130_Q)</f>
        <v>0.201211868515872</v>
      </c>
      <c r="JT52" s="167">
        <f>SQRT(Xe136BCerr^2+(Xe130BCerr*Xe136130_Q)^2)</f>
        <v>3.997758422898989E-3</v>
      </c>
      <c r="JU52" s="3">
        <v>6.6999999999999997E-13</v>
      </c>
      <c r="JV52" s="3">
        <v>4E-14</v>
      </c>
      <c r="JW52" s="5">
        <v>1</v>
      </c>
      <c r="JX52" s="5">
        <v>0</v>
      </c>
      <c r="JY52" s="157">
        <f>(Xe128AC*Xe_Sensitivity)/YXe</f>
        <v>1.1449701975386439E-12</v>
      </c>
      <c r="JZ52" s="157">
        <f>Xe128CC*SQRT((Xe_Sensitivityerr/Xe_Sensitivity)^2+(YXeerr/YXe)^2+(Xe128ACerr/Xe128AC)^2)</f>
        <v>6.9132775413692003E-14</v>
      </c>
      <c r="KA52" s="157">
        <f>Xe128CC/MV</f>
        <v>5.108290080703465E-17</v>
      </c>
      <c r="KB52" s="157">
        <f>Xe128mole*SQRT((Xe128CCerr/Xe128CC)^2+(MVerr/MV)^2)</f>
        <v>3.0843621228982859E-18</v>
      </c>
      <c r="KC52" s="6">
        <v>1.5235623802440201</v>
      </c>
      <c r="KD52" s="6">
        <v>6.4506083358238542E-2</v>
      </c>
      <c r="KE52" s="157">
        <f>(Xe128mole/IFactor_SW)/((Therm_CS_127I*Therm_Flux)*I127_Abun*Y_127I)</f>
        <v>5.1979458066514016E-13</v>
      </c>
      <c r="KF52" s="157">
        <f>I_mole*SQRT((Xe128CCerr/Xe128CC)^2+(IFactor_SWerr/IFactor_SW)^2+(Therm_CS_127Ierr/Therm_CS_127I)^2+(Therm_Fluxerr/Therm_Flux)^2)</f>
        <v>6.2127801451603387E-14</v>
      </c>
      <c r="KG52" s="489">
        <f>I_mole*MW_I/Sample_Mass*10^9</f>
        <v>8.3499077673442113</v>
      </c>
      <c r="KH52" s="489">
        <f>KG52*SQRT(I_moleerr/I_mole)^2+(MVerr/MV)^2+(Sample_Masserr/Sample_Mass)</f>
        <v>1.0030123518123619</v>
      </c>
      <c r="KI52" s="467">
        <v>22.400563309243701</v>
      </c>
      <c r="KJ52" s="467">
        <v>2.2525235998407074</v>
      </c>
      <c r="KK52" s="229">
        <f>Omega*(Ar38_mole/Xe128mole)</f>
        <v>177796.62384751069</v>
      </c>
      <c r="KL52" s="229">
        <f>Cl_I*SQRT((Omegaerr/Omega)^2+(Ar38_moleerr/Ar38_mole)^2+(Xe128moleerr/Xe128mole)^2)</f>
        <v>20854.601866834022</v>
      </c>
      <c r="KM52" s="363">
        <f>(Cl_ppm/Cl_I)*10^3</f>
        <v>7.3700189861455918</v>
      </c>
      <c r="KN52" s="363">
        <f>(Ippb_SC*SQRT((Cl_ppmerr/Cl_ppm)^2+(Cl_Ierr/Cl_I)^2))</f>
        <v>0.88383947043820932</v>
      </c>
      <c r="KO52" s="147">
        <f>Xe131AC-Xe131136_nf/Xe134136_nf*Xe134AC</f>
        <v>5.2431839818075945</v>
      </c>
      <c r="KP52" s="147">
        <f>SQRT(Xe131ACerr^2+(Xe131136_nf/Xe134136_nf*Xe134AC)^2*((Xe131136_nferr/Xe131136_nf)^2+(Xe134136_nferr/Xe134136_nf)^2+(Xe134ACerr/Xe134AC)^2))</f>
        <v>3.3306573378078887E-2</v>
      </c>
      <c r="KQ52" s="157">
        <f>(Xe131Ba*Xe_Sensitivity)/YXe</f>
        <v>3.5129332678110883E-12</v>
      </c>
      <c r="KR52" s="157">
        <f>Xe131Bacc*SQRT((Xe_Sensitivityerr/Xe_Sensitivity)^2+(YXeerr/YXe)^2+(Xe131Baerr/Xe131Ba)^2)</f>
        <v>2.1091121945099551E-13</v>
      </c>
      <c r="KS52" s="157">
        <f>Xe131Bacc/MV</f>
        <v>1.5672968785309302E-16</v>
      </c>
      <c r="KT52" s="157">
        <f>Xe131mole*SQRT((Xe131CCerr/Xe131CC)^2+(MVerr/MV)^2)</f>
        <v>9.4098142693753561E-18</v>
      </c>
      <c r="KU52" s="6">
        <v>1.5355171436865713</v>
      </c>
      <c r="KV52" s="6">
        <v>5.9163108295531078E-2</v>
      </c>
      <c r="KW52" s="157">
        <f>(Xe131mole/Ba_FactorSW)/((Therm_CS_130Ba*Therm_Flux)*Ba130_Abun*Y_130Ba)</f>
        <v>1.11593331569107E-9</v>
      </c>
      <c r="KX52" s="157">
        <f>Ba_mole*SQRT((Xe131BaCCerr/Xe131Bacc)^2+(Ba_FactorSWerr/Ba_FactorSW)^2+(Therm_CS_130Baerr/Therm_CS_130Ba)^2+(Therm_Fluxerr/Therm_Flux)^2)</f>
        <v>1.4046595682700228E-10</v>
      </c>
      <c r="KY52" s="489">
        <f>Ba_mole*MW_Ba/Sample_Mass*10^6</f>
        <v>19.398452461254124</v>
      </c>
      <c r="KZ52" s="247">
        <f>Ba_ppm*SQRT(Ba_moleerr/Ba_mole)^2+(MVerr/MV)^2+(Sample_Masserr/Sample_Mass)</f>
        <v>2.4467428421752402</v>
      </c>
      <c r="LA52" s="471"/>
      <c r="LB52" s="471"/>
      <c r="LC52" s="471"/>
      <c r="LD52" s="471"/>
      <c r="LE52" s="471"/>
      <c r="LF52" s="471"/>
      <c r="LG52" s="157">
        <f>(Xe134AC*Xe_Sensitivity)/YXe</f>
        <v>9.4455169427200392E-14</v>
      </c>
      <c r="LH52" s="157">
        <f>Xe134CC*SQRT((Xe_Sensitivityerr/Xe_Sensitivity)^2+(YXeerr/YXe)^2+(Xe134ACerr/Xe134AC)^2)</f>
        <v>6.1009480768171145E-15</v>
      </c>
      <c r="LI52" s="157">
        <f>Xe134CC/MV</f>
        <v>4.2141219578760948E-18</v>
      </c>
      <c r="LJ52" s="157">
        <f>Xe134mole*SQRT((Xe134CCerr/Xe134CC)^2+(MVerr/MV)^2)</f>
        <v>2.7219409388947298E-19</v>
      </c>
      <c r="LK52" s="157">
        <f>Xe134_mole/((Therm_CS_235U*Therm_Flux)*U235_Abun*Y_235U)</f>
        <v>1.1181395502431441E-12</v>
      </c>
      <c r="LL52" s="157">
        <f>U_mole*SQRT((Xe134moleerr/Xe134mole)^2+(Therm_CS_235Uerr/Therm_CS_235U)^2+(Therm_Fluxerr/Therm_Flux)^2)</f>
        <v>1.2737702159405064E-13</v>
      </c>
      <c r="LM52" s="143">
        <f>U_mole*MW_U/Sample_Mass*10^9</f>
        <v>33.68981498383112</v>
      </c>
      <c r="LN52" s="143">
        <f>U_ppb*SQRT((U_moleerr/U_mole)^2+(MVerr/MV)^2+(Sample_Masserr/Sample_Mass)^2)</f>
        <v>3.8415953727425203</v>
      </c>
      <c r="LO52" s="471"/>
      <c r="LP52" s="471"/>
      <c r="LQ52" s="214" t="str">
        <f>Name</f>
        <v>B1x Bulk</v>
      </c>
      <c r="LR52" s="214" t="str">
        <f>Irradiation</f>
        <v>MN2022a</v>
      </c>
      <c r="LS52" s="211">
        <f>IF(ISNUMBER(K_ppm), K_ppm, "")</f>
        <v>1085.8040092798847</v>
      </c>
      <c r="LT52" s="211">
        <f>IF(ISNUMBER(K_ppmerr), K_ppmerr, "")</f>
        <v>11.997978263357915</v>
      </c>
      <c r="LU52" s="211">
        <f>Cl_ppm</f>
        <v>1310.3644934287399</v>
      </c>
      <c r="LV52" s="211">
        <f>Cl_ppmerr</f>
        <v>32.723225945469956</v>
      </c>
      <c r="LW52" s="211">
        <f>Ca_ppm</f>
        <v>53399.673215214541</v>
      </c>
      <c r="LX52" s="211">
        <f>Ca_ppmerr</f>
        <v>4950.7720285817632</v>
      </c>
      <c r="LY52" s="211">
        <f>Br79ppb_SW</f>
        <v>1956.6899655741927</v>
      </c>
      <c r="LZ52" s="211">
        <f>Br79ppb_SWerr</f>
        <v>197.23104605608833</v>
      </c>
      <c r="MA52" s="211">
        <f>Br81ppb_SW</f>
        <v>2210.1048245951765</v>
      </c>
      <c r="MB52" s="211">
        <f>Br81ppb_SWerr</f>
        <v>221.24733629469506</v>
      </c>
      <c r="MC52" s="211">
        <f>Br79ppb_SC</f>
        <v>1548.3270398009447</v>
      </c>
      <c r="MD52" s="211">
        <f>Br79ppb_SCerr</f>
        <v>60.394688041329516</v>
      </c>
      <c r="ME52" s="211">
        <f>Br81ppb_SC</f>
        <v>1508.7644975295213</v>
      </c>
      <c r="MF52" s="211">
        <f>Br81ppb_SCerr</f>
        <v>59.50191275189718</v>
      </c>
      <c r="MG52" s="462">
        <f>I_ppb</f>
        <v>8.3499077673442113</v>
      </c>
      <c r="MH52" s="462">
        <f>I_ppberr</f>
        <v>1.0030123518123619</v>
      </c>
      <c r="MI52" s="211">
        <f>Ippb_SC</f>
        <v>7.3700189861455918</v>
      </c>
      <c r="MJ52" s="211">
        <f>Ippb_SCerr</f>
        <v>0.88383947043820932</v>
      </c>
      <c r="MK52" s="211"/>
      <c r="ML52" s="211"/>
      <c r="MM52" s="211"/>
      <c r="MN52" s="211"/>
      <c r="MO52" s="506">
        <f t="shared" si="107"/>
        <v>0.82862746565937284</v>
      </c>
      <c r="MP52" s="506">
        <f t="shared" si="107"/>
        <v>9.7798458362612344E-3</v>
      </c>
      <c r="MQ52" s="109">
        <f>(Br79ppb_SC/10^3)/Cl_ppm</f>
        <v>1.1816002704328052E-3</v>
      </c>
      <c r="MR52" s="109">
        <f>MQ52*SQRT((Br79ppb_SCerr/Br79ppb_SC)^2+(Cl_ppmerr/Cl_ppm)^2)</f>
        <v>5.4726488214826962E-5</v>
      </c>
      <c r="MS52" s="109">
        <f>(Br81ppb_SC/10^3)/Cl_ppm</f>
        <v>1.1514082570885616E-3</v>
      </c>
      <c r="MT52" s="109">
        <f>MS52*SQRT((Br81ppb_SCerr/Br81ppb_SC)^2+(Cl_ppmerr/Cl_ppm)^2)</f>
        <v>5.3746826038439707E-5</v>
      </c>
      <c r="MU52" s="109">
        <f>(I_ppb/10^3)/Cl_ppm</f>
        <v>6.3722023980484894E-6</v>
      </c>
      <c r="MV52" s="109">
        <f>MU52*SQRT((I_ppberr/I_ppb)^2+(Cl_ppmerr/Cl_ppm)^2)</f>
        <v>7.8181138958664411E-7</v>
      </c>
      <c r="MW52" s="506">
        <f t="shared" si="108"/>
        <v>0.75137101971241071</v>
      </c>
      <c r="MX52" s="506">
        <f t="shared" si="108"/>
        <v>8.0025654721135823E-3</v>
      </c>
      <c r="MY52" s="109">
        <f>Br79mole_SC/Cl_mole</f>
        <v>5.2427005391037049E-4</v>
      </c>
      <c r="MZ52" s="109">
        <f>MY52*SQRT((Br79mole_SCerr/Br79mole_SC)^2+(Cl_moleerr/Cl_mole)^2)</f>
        <v>2.3997208664766412E-5</v>
      </c>
      <c r="NA52" s="109">
        <f>Br81mole_SC/Cl_mole</f>
        <v>5.1087401054466326E-4</v>
      </c>
      <c r="NB52" s="109">
        <f>NA52*SQRT((Br81mole_SCerr/Br81mole_SC)^2+(Cl_moleerr/Cl_mole)^2)</f>
        <v>2.3384036797459846E-5</v>
      </c>
      <c r="NC52" s="109">
        <f>I_mole/Cl_mole</f>
        <v>1.7801866097578348E-6</v>
      </c>
      <c r="ND52" s="109">
        <f>NC52*SQRT((I_moleerr/I_mole)^2+(Cl_moleerr/Cl_mole)^2)</f>
        <v>2.1718685214333536E-7</v>
      </c>
    </row>
    <row r="53" spans="2:368">
      <c r="B53" s="245" t="s">
        <v>934</v>
      </c>
      <c r="C53" s="5">
        <f>8.5/1000</f>
        <v>8.5000000000000006E-3</v>
      </c>
      <c r="D53" s="66">
        <f t="shared" si="312"/>
        <v>4.2500000000000003E-5</v>
      </c>
      <c r="E53" s="67">
        <v>44728</v>
      </c>
      <c r="F53" s="5" t="s">
        <v>210</v>
      </c>
      <c r="G53" s="5" t="s">
        <v>893</v>
      </c>
      <c r="H53" s="5">
        <v>1</v>
      </c>
      <c r="J53" s="327">
        <v>44644</v>
      </c>
      <c r="K53" s="67" t="s">
        <v>823</v>
      </c>
      <c r="L53" s="5">
        <v>20</v>
      </c>
      <c r="M53" s="5">
        <v>13.16</v>
      </c>
      <c r="N53" s="5">
        <v>90</v>
      </c>
      <c r="O53" s="6">
        <v>282476.02916899999</v>
      </c>
      <c r="P53" s="6">
        <v>622.53204800000003</v>
      </c>
      <c r="Q53" s="6">
        <v>6623.758425</v>
      </c>
      <c r="R53" s="6">
        <v>16.497688</v>
      </c>
      <c r="S53" s="6">
        <v>2684.3031860000001</v>
      </c>
      <c r="T53" s="6">
        <v>4.0393400000000002</v>
      </c>
      <c r="U53" s="6">
        <v>146.173767</v>
      </c>
      <c r="V53" s="6">
        <v>0.27390799999999998</v>
      </c>
      <c r="W53" s="6">
        <v>34.414177000000002</v>
      </c>
      <c r="X53" s="6">
        <v>0.515571</v>
      </c>
      <c r="Y53" s="6">
        <v>24.008089999999999</v>
      </c>
      <c r="Z53" s="6">
        <v>1.4164060000000001</v>
      </c>
      <c r="AA53" s="6">
        <v>1.522132</v>
      </c>
      <c r="AB53" s="6">
        <v>5.0519000000000001E-2</v>
      </c>
      <c r="AC53" s="6">
        <v>0.647231</v>
      </c>
      <c r="AD53" s="6">
        <v>7.4720999999999996E-2</v>
      </c>
      <c r="AE53" s="6">
        <v>0.57279800000000003</v>
      </c>
      <c r="AF53" s="6">
        <v>3.9316999999999998E-2</v>
      </c>
      <c r="AG53" s="6">
        <v>4.1024999999999999E-2</v>
      </c>
      <c r="AH53" s="6">
        <v>0.13805000000000001</v>
      </c>
      <c r="AI53" s="133">
        <f t="shared" si="313"/>
        <v>282452.02107899997</v>
      </c>
      <c r="AJ53" s="133">
        <f t="shared" si="314"/>
        <v>622.53365932536633</v>
      </c>
      <c r="AK53" s="133">
        <f t="shared" si="315"/>
        <v>6622.2362929999999</v>
      </c>
      <c r="AL53" s="133">
        <f t="shared" si="316"/>
        <v>16.497765349122439</v>
      </c>
      <c r="AM53" s="133">
        <f t="shared" si="317"/>
        <v>2683.6559550000002</v>
      </c>
      <c r="AN53" s="133">
        <f t="shared" si="318"/>
        <v>4.0400310473362708</v>
      </c>
      <c r="AO53" s="133">
        <f t="shared" si="319"/>
        <v>145.60096899999999</v>
      </c>
      <c r="AP53" s="133">
        <f t="shared" si="320"/>
        <v>0.27671541148443463</v>
      </c>
      <c r="AQ53" s="133">
        <f t="shared" si="321"/>
        <v>34.373152000000005</v>
      </c>
      <c r="AR53" s="133">
        <f t="shared" si="322"/>
        <v>0.53373332155768571</v>
      </c>
      <c r="AS53" s="5">
        <v>300.7</v>
      </c>
      <c r="AT53" s="5">
        <v>0.28000000000000003</v>
      </c>
      <c r="AU53" s="133">
        <f t="shared" si="323"/>
        <v>6651.3696506341794</v>
      </c>
      <c r="AV53" s="133">
        <f t="shared" si="324"/>
        <v>16.497975610277006</v>
      </c>
      <c r="AW53" s="133">
        <f t="shared" si="325"/>
        <v>2707.2684947055841</v>
      </c>
      <c r="AX53" s="133">
        <f t="shared" si="326"/>
        <v>4.0401040850503929</v>
      </c>
      <c r="AY53" s="133">
        <f t="shared" si="327"/>
        <v>147.5226061543147</v>
      </c>
      <c r="AZ53" s="133">
        <f t="shared" si="328"/>
        <v>0.27672276518612637</v>
      </c>
      <c r="BA53" s="133">
        <f t="shared" si="329"/>
        <v>34.978026417597299</v>
      </c>
      <c r="BB53" s="133">
        <f t="shared" si="330"/>
        <v>0.53373852863119464</v>
      </c>
      <c r="BC53" s="6"/>
      <c r="BD53" s="8"/>
      <c r="BE53" s="133">
        <f t="shared" si="331"/>
        <v>774.94742747958287</v>
      </c>
      <c r="BF53" s="133">
        <f t="shared" si="332"/>
        <v>1.4536456519871022</v>
      </c>
      <c r="BG53" s="133">
        <f t="shared" si="333"/>
        <v>6655.3151271547613</v>
      </c>
      <c r="BH53" s="133">
        <f t="shared" si="334"/>
        <v>16.507761921792753</v>
      </c>
      <c r="BI53" s="143">
        <f t="shared" si="335"/>
        <v>281585.48622362438</v>
      </c>
      <c r="BJ53" s="133">
        <f t="shared" si="336"/>
        <v>622.53737048405799</v>
      </c>
      <c r="BK53" s="143">
        <f t="shared" si="337"/>
        <v>6654.6069275275413</v>
      </c>
      <c r="BL53" s="133">
        <f t="shared" si="338"/>
        <v>16.507761975244982</v>
      </c>
      <c r="BM53" s="143">
        <f t="shared" si="339"/>
        <v>2604.4964608212827</v>
      </c>
      <c r="BN53" s="133">
        <f t="shared" si="340"/>
        <v>4.0481381418775895</v>
      </c>
      <c r="BO53" s="147">
        <f t="shared" si="341"/>
        <v>34.707702167326168</v>
      </c>
      <c r="BP53" s="147">
        <f t="shared" si="342"/>
        <v>0.53373876950190424</v>
      </c>
      <c r="BR53" s="147">
        <f t="shared" ref="BR53" si="409">IF(Rad_Type="Continuous", BO53-((EXP(lambda_36Ar*(Run_Date-Rad_Date))-1)*Cl3638_PR*BT53),BO53*Ar36_DecayFactor)</f>
        <v>34.285255634052561</v>
      </c>
      <c r="BS53" s="147">
        <f>IF(K:K="Continuous", SQRT(BP53^2+(((EXP(lambda_36Ar*(Run_Date-Rad_Date))-1)*Cl3638_PR)*BU53^2)), Ar36_ICerr*Ar36_DecayFactor)</f>
        <v>0.53431589246701927</v>
      </c>
      <c r="BT53" s="143">
        <f t="shared" ref="BT53" si="410">IF(Rad_Type="Continuous", BM53-(Ar3836_Air*BO53)/(1-lambda_36Ar*(Run_Date-Rad_Date)),Ar38_IC-(Ar3836_Air*Ar36_IC)/Ar36_DecayFactor)</f>
        <v>2597.9714094561855</v>
      </c>
      <c r="BU53" s="147">
        <f t="shared" ref="BU53" si="411">IF(Rad_Type ="Continuous", SQRT(BN53^2*(((EXP(lambda_36Ar*(Run_Date-Rad_Date))-1*Ar3836_Air)*BP53^2))),SQRT(Ar38_ICerr^2*(((EXP(lambda_36Ar*(Ar36_DecayFactor))-1*Ar3836_Air)*Ar36_ICerr^2))))</f>
        <v>1.9469833006751913</v>
      </c>
      <c r="BV53" s="143">
        <f t="shared" si="408"/>
        <v>271454.19318376185</v>
      </c>
      <c r="BW53" s="143">
        <f t="shared" si="346"/>
        <v>642.24772407532998</v>
      </c>
      <c r="BX53" s="3">
        <v>1.6986774770655257E-12</v>
      </c>
      <c r="BY53" s="3">
        <v>9.4454002365720605E-16</v>
      </c>
      <c r="BZ53" s="157">
        <f t="shared" si="347"/>
        <v>5.8239591540998998E-11</v>
      </c>
      <c r="CA53" s="157">
        <f t="shared" si="348"/>
        <v>9.082079072234039E-13</v>
      </c>
      <c r="CB53" s="157">
        <f t="shared" si="349"/>
        <v>1.3163857409694372E-9</v>
      </c>
      <c r="CC53" s="158">
        <f t="shared" si="350"/>
        <v>2.575480164013173E-12</v>
      </c>
      <c r="CD53" s="157">
        <f t="shared" si="351"/>
        <v>4.4131155193034011E-9</v>
      </c>
      <c r="CE53" s="157">
        <f t="shared" si="352"/>
        <v>4.1182250470475354E-12</v>
      </c>
      <c r="CF53" s="157">
        <f t="shared" si="353"/>
        <v>1.1304030906515253E-8</v>
      </c>
      <c r="CG53" s="157">
        <f t="shared" si="354"/>
        <v>2.8737190372598362E-11</v>
      </c>
      <c r="CH53" s="157">
        <f t="shared" si="355"/>
        <v>4.7832292331661559E-7</v>
      </c>
      <c r="CI53" s="157">
        <f t="shared" si="356"/>
        <v>1.0904241955498741E-9</v>
      </c>
      <c r="CJ53" s="157">
        <f t="shared" si="357"/>
        <v>1.9689136259369947E-13</v>
      </c>
      <c r="CK53" s="157">
        <f t="shared" si="358"/>
        <v>1.8373484538225719E-16</v>
      </c>
      <c r="CL53" s="157">
        <f t="shared" si="359"/>
        <v>2.1340400386001173E-11</v>
      </c>
      <c r="CM53" s="157">
        <f t="shared" si="360"/>
        <v>4.86493298614974E-14</v>
      </c>
      <c r="CN53" s="66">
        <v>5.1340830000000002E-3</v>
      </c>
      <c r="CO53" s="66">
        <v>7.5577700000000003E-6</v>
      </c>
      <c r="CP53" s="3">
        <v>1.1139738540500025E+19</v>
      </c>
      <c r="CQ53" s="60">
        <v>1.0453256904066513E+18</v>
      </c>
      <c r="CR53" s="3">
        <v>8.0438364680336474E+17</v>
      </c>
      <c r="CS53" s="3">
        <v>8.527140119058072E+16</v>
      </c>
      <c r="CT53" s="6">
        <v>0.49881143094597263</v>
      </c>
      <c r="CU53" s="6">
        <v>4.5926073391395927E-2</v>
      </c>
      <c r="CV53" s="4">
        <v>24.581879797320056</v>
      </c>
      <c r="CW53" s="4">
        <v>0.55629982285426871</v>
      </c>
      <c r="CX53" s="157">
        <f t="shared" si="361"/>
        <v>8.0956366424711E-6</v>
      </c>
      <c r="CY53" s="157">
        <f t="shared" si="362"/>
        <v>7.7743131665825133E-8</v>
      </c>
      <c r="CZ53" s="133">
        <f t="shared" si="363"/>
        <v>37238.309428038563</v>
      </c>
      <c r="DA53" s="133">
        <f t="shared" si="364"/>
        <v>403.17129818206445</v>
      </c>
      <c r="DB53" s="159">
        <f t="shared" si="365"/>
        <v>3.7238309428038563</v>
      </c>
      <c r="DC53" s="167">
        <f t="shared" si="366"/>
        <v>4.0317129818206447E-2</v>
      </c>
      <c r="DD53" s="157">
        <f t="shared" si="367"/>
        <v>1.4179233691434677E-7</v>
      </c>
      <c r="DE53" s="157">
        <f t="shared" si="368"/>
        <v>3.4696157875762375E-9</v>
      </c>
      <c r="DF53" s="147">
        <f t="shared" si="369"/>
        <v>591.40749654403942</v>
      </c>
      <c r="DG53" s="133">
        <f t="shared" si="370"/>
        <v>14.770586574030098</v>
      </c>
      <c r="DH53" s="159">
        <f t="shared" si="371"/>
        <v>5.914074965440394E-2</v>
      </c>
      <c r="DI53" s="167">
        <f t="shared" si="372"/>
        <v>1.4770586574030097E-3</v>
      </c>
      <c r="DJ53" s="157">
        <f t="shared" si="373"/>
        <v>1.8437184639581677E-6</v>
      </c>
      <c r="DK53" s="157">
        <f t="shared" si="374"/>
        <v>1.7064772871504909E-7</v>
      </c>
      <c r="DL53" s="143">
        <f t="shared" si="375"/>
        <v>8693.6748276992184</v>
      </c>
      <c r="DM53" s="143">
        <f t="shared" si="376"/>
        <v>805.82794965530809</v>
      </c>
      <c r="DN53" s="147">
        <f t="shared" si="377"/>
        <v>0.86936748276992182</v>
      </c>
      <c r="DO53" s="147">
        <f t="shared" si="378"/>
        <v>8.0582794965530807E-2</v>
      </c>
      <c r="DP53" s="133">
        <f t="shared" si="379"/>
        <v>57.095022330871615</v>
      </c>
      <c r="DQ53" s="133">
        <f t="shared" si="380"/>
        <v>0.54888743505500781</v>
      </c>
      <c r="DR53" s="133">
        <f t="shared" si="381"/>
        <v>4.390928875925594</v>
      </c>
      <c r="DS53" s="133">
        <f t="shared" si="382"/>
        <v>5.0733153157577711E-2</v>
      </c>
      <c r="DT53" s="133">
        <f t="shared" si="383"/>
        <v>62.965568826308569</v>
      </c>
      <c r="DU53" s="133">
        <f t="shared" si="384"/>
        <v>0.68233865912087888</v>
      </c>
      <c r="DV53" s="133">
        <f t="shared" si="385"/>
        <v>4.2833796025349713</v>
      </c>
      <c r="DW53" s="133">
        <f t="shared" si="386"/>
        <v>5.4966920343601344E-2</v>
      </c>
      <c r="DX53" s="157">
        <f t="shared" si="387"/>
        <v>1.5050461012496309E-4</v>
      </c>
      <c r="DY53" s="157">
        <f t="shared" si="388"/>
        <v>3.6987502783776462E-6</v>
      </c>
      <c r="DZ53" s="147">
        <f t="shared" si="389"/>
        <v>40.791919964627901</v>
      </c>
      <c r="EA53" s="147">
        <f t="shared" si="390"/>
        <v>0.13983577277237882</v>
      </c>
      <c r="EB53" s="157">
        <f t="shared" si="391"/>
        <v>2.6360373283116202E-6</v>
      </c>
      <c r="EC53" s="157">
        <f t="shared" si="392"/>
        <v>2.6017608127625666E-8</v>
      </c>
      <c r="ED53" s="147">
        <f t="shared" si="393"/>
        <v>342.65918046511575</v>
      </c>
      <c r="EE53" s="147">
        <f t="shared" si="394"/>
        <v>1.0733376425708863</v>
      </c>
      <c r="EF53" s="147">
        <f t="shared" si="395"/>
        <v>1.1681174811446662</v>
      </c>
      <c r="EG53" s="143">
        <f t="shared" si="396"/>
        <v>342.65918046511575</v>
      </c>
      <c r="EH53" s="147">
        <f t="shared" si="397"/>
        <v>1.0733376425708863</v>
      </c>
      <c r="EI53" s="147">
        <f t="shared" si="398"/>
        <v>1.1681174811446662</v>
      </c>
      <c r="EJ53" s="501">
        <v>1</v>
      </c>
      <c r="EK53" s="489">
        <f t="shared" si="399"/>
        <v>342.65918046511575</v>
      </c>
      <c r="EL53" s="489">
        <f t="shared" si="399"/>
        <v>1.0733376425708863</v>
      </c>
      <c r="EM53" s="147">
        <f t="shared" si="400"/>
        <v>194.09529853171341</v>
      </c>
      <c r="EN53" s="147">
        <f t="shared" si="401"/>
        <v>3.0551486253196942</v>
      </c>
      <c r="EO53" s="143">
        <f t="shared" si="402"/>
        <v>8213.0198832162132</v>
      </c>
      <c r="EP53" s="143">
        <f t="shared" si="403"/>
        <v>129.27668313321627</v>
      </c>
      <c r="EQ53" s="157">
        <f t="shared" si="404"/>
        <v>2.3632634681471858E-2</v>
      </c>
      <c r="ER53" s="157">
        <f t="shared" si="405"/>
        <v>7.8527934047784432E-5</v>
      </c>
      <c r="ES53" s="157">
        <f t="shared" si="406"/>
        <v>1.217578934690708E-4</v>
      </c>
      <c r="ET53" s="157">
        <f t="shared" si="407"/>
        <v>1.9165248394364064E-6</v>
      </c>
      <c r="EU53" s="6">
        <v>141.20712499999999</v>
      </c>
      <c r="EV53" s="6">
        <v>0.25212400000000001</v>
      </c>
      <c r="EW53" s="6">
        <v>42.061596000000002</v>
      </c>
      <c r="EX53" s="6">
        <v>6.2028E-2</v>
      </c>
      <c r="EY53" s="6">
        <v>3.1925159999999999</v>
      </c>
      <c r="EZ53" s="6">
        <v>3.3096E-2</v>
      </c>
      <c r="FC53" s="5">
        <v>7.2051000000000004E-2</v>
      </c>
      <c r="FD53" s="5">
        <v>5.5479000000000001E-2</v>
      </c>
      <c r="FE53" s="5">
        <v>4.9006000000000001E-2</v>
      </c>
      <c r="FF53" s="5">
        <v>3.2023999999999997E-2</v>
      </c>
      <c r="FG53" s="5">
        <v>4.9379999999999997E-3</v>
      </c>
      <c r="FH53" s="5">
        <v>1.0939999999999999E-3</v>
      </c>
      <c r="FK53" s="147">
        <f>Kr80Raw-Kr80Blank</f>
        <v>141.135074</v>
      </c>
      <c r="FL53" s="147">
        <f>SQRT(Kr80Rawerr^2+Kr80Blankerr^2)</f>
        <v>0.25815582661834308</v>
      </c>
      <c r="FM53" s="147">
        <f>Kr82Raw-Kr82Blank</f>
        <v>42.012590000000003</v>
      </c>
      <c r="FN53" s="147">
        <f>SQRT(Kr82Rawerr^2+Kr82Blankerr^2)</f>
        <v>8.7720838846878341E-2</v>
      </c>
      <c r="FO53" s="147">
        <v>0.83393399999999995</v>
      </c>
      <c r="FP53" s="147">
        <v>5.4209999999999996E-3</v>
      </c>
      <c r="FQ53" s="147">
        <f>Kr86Raw-Kr86Blank</f>
        <v>0</v>
      </c>
      <c r="FR53" s="147">
        <f>SQRT(Kr86Rawerr^2+Kr86Blankerr^2)</f>
        <v>0</v>
      </c>
      <c r="FS53" s="147">
        <f>Kr84BC-((Y86Kr*Kr8684_nf)/(Y134Xe*Xe134136_nf)*Xe134BC)</f>
        <v>-0.54194814775690259</v>
      </c>
      <c r="FT53" s="147">
        <f>Kr84U*SQRT((Kr84BCerr/Kr84BC)^2+(Y86Kr_err/Y86Kr)^2+(Kr8684_nferr/Kr8684_nf)^2+(Y134Xeerr/Y134Xe)^2+(Xe134136_nferr/Xe134136_nf)^2+(Xe134BCerr/Xe134BC)^2)</f>
        <v>-4.8403697782039443E-2</v>
      </c>
      <c r="FU53" s="143">
        <f>Kr80BC-(Kr84U*Kr8084_Air)</f>
        <v>141.15653514665118</v>
      </c>
      <c r="FV53" s="143">
        <f>SQRT(Kr80BCerr^2+(Kr84Uerr*Kr8084_Air)^2)</f>
        <v>0.25816294251349586</v>
      </c>
      <c r="FW53" s="143">
        <f>Kr82BC-(Kr84U*Kr8284_Air)</f>
        <v>42.12217191547645</v>
      </c>
      <c r="FX53" s="143">
        <f>SQRT(Kr82BCerr^2+(Kr84Uerr*Kr8284_Air)^2)</f>
        <v>8.8265142575570679E-2</v>
      </c>
      <c r="FY53" s="147">
        <f>Kr86BC-(Kr84U*Kr8684_Air)</f>
        <v>0.16540257469540667</v>
      </c>
      <c r="FZ53" s="147">
        <f>SQRT(Kr86BCerr^2+(Kr84Uerr*Kr8684_Air)^2)</f>
        <v>1.477280856307844E-2</v>
      </c>
      <c r="GA53" s="3">
        <v>7.8999999999999997E-13</v>
      </c>
      <c r="GB53" s="3">
        <v>2E-14</v>
      </c>
      <c r="GC53" s="6">
        <v>1</v>
      </c>
      <c r="GD53" s="6">
        <v>5.0000000000000001E-3</v>
      </c>
      <c r="GE53" s="157">
        <f>(Kr80AC*Kr_sensitivity)/YKr</f>
        <v>1.1151366276585443E-10</v>
      </c>
      <c r="GF53" s="157">
        <f>Kr80cc*SQRT((Kr_sensitivityerr/Kr_sensitivity)^2+(YKrerr/YKr)^2+(Kr80ACerr/Kr80AC)^2)</f>
        <v>2.8848820552476044E-12</v>
      </c>
      <c r="GG53" s="157">
        <f>(Kr82AC*Kr_sensitivity)/YKr</f>
        <v>3.3276515813226397E-11</v>
      </c>
      <c r="GH53" s="157">
        <f>Kr82cc*SQRT((Kr_sensitivityerr/Kr_sensitivity)^2+(YKrerr/YKr)^2+(Kr82ACerr/Kr82AC)^2)</f>
        <v>8.6154298054525574E-13</v>
      </c>
      <c r="GI53" s="157">
        <f>(Kr84U*Kr_sensitivity)/YKr</f>
        <v>-4.2813903672795305E-13</v>
      </c>
      <c r="GJ53" s="157">
        <f>Kr84cc*SQRT((Kr_sensitivityerr/Kr_sensitivity)^2+(YKrerr/YKr)^2+(Kr84Uerr/Kr84U)^2)</f>
        <v>-3.9803024910280586E-14</v>
      </c>
      <c r="GK53" s="157">
        <f>(Kr86AC*Kr_sensitivity)/YKr</f>
        <v>1.3066803400937126E-13</v>
      </c>
      <c r="GL53" s="157">
        <f>Kr86cc*SQRT((Kr_sensitivityerr/Kr_sensitivity)^2+(YKrerr/YKr)^2+(Kr86ACerr/Kr86AC)^2)</f>
        <v>1.2147883202617639E-14</v>
      </c>
      <c r="GM53" s="157">
        <f>Kr80cc/MV</f>
        <v>4.9751874642178136E-15</v>
      </c>
      <c r="GN53" s="157">
        <f>Kr80_mole*SQRT((MVerr/MV)^2+(Kr80ccerr/Kr80cc)^2)</f>
        <v>1.2870915262427143E-16</v>
      </c>
      <c r="GO53" s="157">
        <f>Kr82cc/MV</f>
        <v>1.4846333643836105E-15</v>
      </c>
      <c r="GP53" s="157">
        <f>Kr82_mole*SQRT((MVerr/MV)^2+(Kr82ccerr/Kr82cc)^2)</f>
        <v>3.8437781805886763E-17</v>
      </c>
      <c r="GQ53" s="157">
        <f>Kr84cc/MV</f>
        <v>-1.9101443855751744E-17</v>
      </c>
      <c r="GR53" s="157">
        <f>Kr84_mole*SQRT((MVerr/MV)^2+(Kr84ccerr/Kr84cc)^2)</f>
        <v>-1.7758138838218417E-18</v>
      </c>
      <c r="GS53" s="147">
        <f>Kr80_mole/Kr82_mole</f>
        <v>3.3511219561493619</v>
      </c>
      <c r="GT53" s="147">
        <f>Kr8082_mole*SQRT(Kr80_moleerr/Kr80_mole)^2+(Kr82_moleerr/Kr82_mole)^2</f>
        <v>8.736454808473898E-2</v>
      </c>
      <c r="GU53" s="4">
        <v>28.467321517297663</v>
      </c>
      <c r="GV53" s="4">
        <v>0.39873308773255578</v>
      </c>
      <c r="GW53" s="228">
        <f>Pi*(Ar38_mole/Kr80_mole)</f>
        <v>1126.5846288698342</v>
      </c>
      <c r="GX53" s="228">
        <f>Cl_79Br*SQRT((Pi_err/Pi)^2+(Ar38_moleerr/Ar38_mole)^2+(Kr80_moleerr/Kr80_mole)^2)</f>
        <v>33.159237828608006</v>
      </c>
      <c r="GY53" s="239">
        <f>(Cl_mole/Cl_79Br)/(MW_Br/MW_Cl)</f>
        <v>5.5843600157039201E-11</v>
      </c>
      <c r="GZ53" s="229">
        <f>(Br79mole_SC*SQRT((Cl_moleerr/Cl_mole)^2+(Cl_79Brerr/Cl_79Br)^2))</f>
        <v>2.1374989374293717E-12</v>
      </c>
      <c r="HA53" s="228">
        <f>(Cl_ppm/Cl_79Br)*10^3</f>
        <v>524.95612081741865</v>
      </c>
      <c r="HB53" s="228">
        <f>Br79ppb_SC*SQRT((Cl_ppmerr/Cl_ppm)^2+(Cl_79Brerr/Cl_79Br)^2)</f>
        <v>20.264206355524927</v>
      </c>
      <c r="HC53" s="4">
        <v>8.570444300063329</v>
      </c>
      <c r="HD53" s="4">
        <v>0.11694150036145151</v>
      </c>
      <c r="HE53" s="228">
        <f>Pi_prime*(Ar38_mole/Kr82_mole)</f>
        <v>1136.6082002161302</v>
      </c>
      <c r="HF53" s="228">
        <f>Cl_81Br*SQRT((Pi_primeerr/Pi_prime)^2+(Ar38_moleerr/Ar38_mole)^2+(Kr82_moleerr/Kr82_mole)^2)</f>
        <v>33.280766703055725</v>
      </c>
      <c r="HG53" s="239">
        <f>(Cl_mole/Cl_81Br)/(MW_Br/MW_Cl)</f>
        <v>5.5351124112698089E-11</v>
      </c>
      <c r="HH53" s="229">
        <f>(Br81mole_SC*SQRT((Cl_moleerr/Cl_mole)^2+(Cl_79Brerr/Cl_79Br)^2))</f>
        <v>2.1186486659832556E-12</v>
      </c>
      <c r="HI53" s="228">
        <f>(Cl_ppm/Cl_81Br)*10^3</f>
        <v>520.32661424717958</v>
      </c>
      <c r="HJ53" s="228">
        <f>(Br81ppb_SC*SQRT((Cl_ppmerr/Cl_ppm)^2+(Cl_81Brerr/Cl_81Br)^2))</f>
        <v>20.025003902619844</v>
      </c>
      <c r="HK53" s="6">
        <v>1.250207836570332</v>
      </c>
      <c r="HL53" s="6">
        <v>3.0773458477915613E-2</v>
      </c>
      <c r="HM53" s="467">
        <f>(Kr80_mole/Br79_FactorSW)/(Y_79Br*Br79_Abun*(Therm_CS_79Br*Therm_Flux))*(MW_Br/Sample_Mass*10^9)</f>
        <v>663.41047308858731</v>
      </c>
      <c r="HN53" s="467">
        <f>Br79ppb_SW*SQRT((Kr80_moleerr/Kr80_mole)^2+(Sample_Masserr/Sample_Mass)^2+(Br79Factor_SWerr/Br79_FactorSW)^2+(Therm_CS_79Brerr/Therm_CS_79Br)^2+(Br79_Abunerr/Br79_Abun)^2+(Therm_Fluxerr/Therm_Flux)^2)</f>
        <v>66.766330426756923</v>
      </c>
      <c r="HO53" s="6">
        <v>1.4124703868932349</v>
      </c>
      <c r="HP53" s="6">
        <v>2.3743935274246231E-2</v>
      </c>
      <c r="HQ53" s="467">
        <f>(Kr82_mole/Br81_FactorSW)/(Y_81Br*Br81_Abun*(Therm_CS_81Br*Therm_Flux))*(MW_Br/Sample_Mass*10^9)</f>
        <v>762.19738892050918</v>
      </c>
      <c r="HR53" s="467">
        <f>Br81ppb_SW*SQRT((Kr82_moleerr/Kr82_mole)^2+(Sample_Masserr/Sample_Mass)^2+(Br81_FactorSWerr/Br81_FactorSW)^2+(Therm_CS_81Brerr/Therm_CS_81Br)^2+(Br81_Abunerr/Br81_Abun)^2+(Therm_Fluxerr/Therm_Flux)^2)</f>
        <v>76.017444075881713</v>
      </c>
      <c r="HS53" s="8">
        <v>2.2117369999999998</v>
      </c>
      <c r="HT53" s="8">
        <v>0.112583</v>
      </c>
      <c r="HU53" s="8">
        <v>0.20954300000000001</v>
      </c>
      <c r="HV53" s="8">
        <v>8.8730000000000007E-3</v>
      </c>
      <c r="HW53" s="8">
        <v>4.2806999999999998E-2</v>
      </c>
      <c r="HX53" s="8">
        <v>3.0249999999999999E-3</v>
      </c>
      <c r="HY53" s="8">
        <v>168.04986700000001</v>
      </c>
      <c r="HZ53" s="8">
        <v>0.29397200000000001</v>
      </c>
      <c r="IA53" s="8">
        <v>6.255636</v>
      </c>
      <c r="IB53" s="8">
        <v>6.0558000000000001E-2</v>
      </c>
      <c r="IC53" s="8">
        <v>10.875206</v>
      </c>
      <c r="ID53" s="8">
        <v>0.12249400000000001</v>
      </c>
      <c r="IE53" s="8">
        <v>15.135983</v>
      </c>
      <c r="IF53" s="8">
        <v>0.19015299999999999</v>
      </c>
      <c r="IG53" s="8">
        <v>1.6410000000000001E-3</v>
      </c>
      <c r="IH53" s="8">
        <v>1.17E-4</v>
      </c>
      <c r="II53" s="8">
        <v>1.47E-3</v>
      </c>
      <c r="IJ53" s="8">
        <v>1.84E-4</v>
      </c>
      <c r="IK53" s="8">
        <v>2.5700000000000001E-4</v>
      </c>
      <c r="IL53" s="8">
        <v>6.7000000000000002E-5</v>
      </c>
      <c r="IM53" s="8">
        <v>1.6689999999999999E-3</v>
      </c>
      <c r="IN53" s="8">
        <v>1.8799999999999999E-4</v>
      </c>
      <c r="IO53" s="8">
        <v>1.1490000000000001E-3</v>
      </c>
      <c r="IP53" s="8">
        <v>1.35E-4</v>
      </c>
      <c r="IQ53" s="8">
        <v>8.5400000000000005E-4</v>
      </c>
      <c r="IR53" s="8">
        <v>8.6000000000000003E-5</v>
      </c>
      <c r="IS53" s="8">
        <v>1.34E-4</v>
      </c>
      <c r="IT53" s="8">
        <v>1.4300000000000001E-4</v>
      </c>
      <c r="IU53" s="167">
        <f>Xe128Raw-Xe128Blank</f>
        <v>2.2100960000000001</v>
      </c>
      <c r="IV53" s="167">
        <f>SQRT(Xe128Rawerr^2+Xe128Blankerr^2)</f>
        <v>0.11258306079513028</v>
      </c>
      <c r="IW53" s="167">
        <f>Xe129Raw-Xe129Blank</f>
        <v>0.20807300000000001</v>
      </c>
      <c r="IX53" s="167">
        <f>SQRT(Xe129Rawerr^2+Xe129Blankerr^2)</f>
        <v>8.8749076051528562E-3</v>
      </c>
      <c r="IY53" s="167">
        <f>Xe130Raw-Xe130Blank</f>
        <v>4.2549999999999998E-2</v>
      </c>
      <c r="IZ53" s="167">
        <f>SQRT(Xe130Rawerr^2+Xe130Blankerr^2)</f>
        <v>3.0257418924951283E-3</v>
      </c>
      <c r="JA53" s="167">
        <f>Xe131Raw-Xe131Blank</f>
        <v>168.04819800000001</v>
      </c>
      <c r="JB53" s="167">
        <f>SQRT(Xe131Rawerr^2+Xe131Blankerr^2)</f>
        <v>0.29397206011456262</v>
      </c>
      <c r="JC53" s="167">
        <f>Xe132Raw-Xe132Blank</f>
        <v>6.2544870000000001</v>
      </c>
      <c r="JD53" s="167">
        <f>SQRT(Xe132Rawerr^2+Xe132Blankerr^2)</f>
        <v>6.0558150475390184E-2</v>
      </c>
      <c r="JE53" s="167">
        <f>Xe134Raw-Xe134Blank</f>
        <v>10.874352</v>
      </c>
      <c r="JF53" s="167">
        <f>SQRT(Xe134Rawerr^2+Xe134Blankerr^2)</f>
        <v>0.12249403018923005</v>
      </c>
      <c r="JG53" s="167">
        <f>Xe136Raw-Xe136Blank</f>
        <v>15.135849</v>
      </c>
      <c r="JH53" s="167">
        <f>SQRT(Xe136Rawerr^2+Xe136Blankerr^2)</f>
        <v>0.19015305376985139</v>
      </c>
      <c r="JI53" s="167">
        <f>Xe128BC-(Xe130BC*Xe128130_Q)</f>
        <v>2.1884795493979499</v>
      </c>
      <c r="JJ53" s="167">
        <f>SQRT(Xe128BCerr^2+(Xe130BCerr*Xe128130_Q)^2)</f>
        <v>0.11259355404733692</v>
      </c>
      <c r="JK53" s="167">
        <f>Xe129BC-(Xe130BC*Xe129130_Q)</f>
        <v>-6.5350148151299969E-2</v>
      </c>
      <c r="JL53" s="167">
        <f>SQRT(Xe129BCerr^2+(Xe130BCerr*Xe129130_Q)^2)</f>
        <v>2.1372920942788459E-2</v>
      </c>
      <c r="JM53" s="167">
        <f>Xe131BC-(Xe130BC*Xe131130_Q)</f>
        <v>167.83318917282901</v>
      </c>
      <c r="JN53" s="167">
        <f>SQRT(Xe131BCerr^2+(Xe130BCerr*Xe131130_Q)^2)</f>
        <v>0.29436938682702513</v>
      </c>
      <c r="JO53" s="167">
        <f>Xe132BC-(Xe130BC*Xe132130_Q)</f>
        <v>5.9918326790197005</v>
      </c>
      <c r="JP53" s="167">
        <f>SQRT((Xe132BCerr^2+(Xe130BCerr*Xe132130_Q)^2))</f>
        <v>6.3372987722091753E-2</v>
      </c>
      <c r="JQ53" s="167">
        <f>Xe134BC-(Xe130BC*Xe134130_Q)</f>
        <v>10.775042401246649</v>
      </c>
      <c r="JR53" s="167">
        <f>SQRT(Xe134BCerr^2+(Xe130BCerr*Xe134130_Q)^2)</f>
        <v>0.12269742588085646</v>
      </c>
      <c r="JS53" s="167">
        <f>Xe136BC-(Xe130BC*Xe136130_Q)</f>
        <v>15.0526663765264</v>
      </c>
      <c r="JT53" s="167">
        <f>SQRT(Xe136BCerr^2+(Xe130BCerr*Xe136130_Q)^2)</f>
        <v>0.19024503337268661</v>
      </c>
      <c r="JU53" s="3">
        <v>6.6999999999999997E-13</v>
      </c>
      <c r="JV53" s="3">
        <v>4E-14</v>
      </c>
      <c r="JW53" s="5">
        <v>1</v>
      </c>
      <c r="JX53" s="5">
        <v>0</v>
      </c>
      <c r="JY53" s="157">
        <f>(Xe128AC*Xe_Sensitivity)/YXe</f>
        <v>1.4662812980966263E-12</v>
      </c>
      <c r="JZ53" s="157">
        <f>Xe128CC*SQRT((Xe_Sensitivityerr/Xe_Sensitivity)^2+(YXeerr/YXe)^2+(Xe128ACerr/Xe128AC)^2)</f>
        <v>1.155593013461631E-13</v>
      </c>
      <c r="KA53" s="157">
        <f>Xe128CC/MV</f>
        <v>6.5418211117544781E-17</v>
      </c>
      <c r="KB53" s="157">
        <f>Xe128mole*SQRT((Xe128CCerr/Xe128CC)^2+(MVerr/MV)^2)</f>
        <v>5.1556838255232351E-18</v>
      </c>
      <c r="KC53" s="6">
        <v>1.5235623802440201</v>
      </c>
      <c r="KD53" s="6">
        <v>6.4506083358238542E-2</v>
      </c>
      <c r="KE53" s="157">
        <f>(Xe128mole/IFactor_SW)/((Therm_CS_127I*Therm_Flux)*I127_Abun*Y_127I)</f>
        <v>6.6566367763956516E-13</v>
      </c>
      <c r="KF53" s="157">
        <f>I_mole*SQRT((Xe128CCerr/Xe128CC)^2+(IFactor_SWerr/IFactor_SW)^2+(Therm_CS_127Ierr/Therm_CS_127I)^2+(Therm_Fluxerr/Therm_Flux)^2)</f>
        <v>8.6411851552182094E-14</v>
      </c>
      <c r="KG53" s="489">
        <f>I_mole*MW_I/Sample_Mass*10^9</f>
        <v>9.9383195504717872</v>
      </c>
      <c r="KH53" s="489">
        <f>KG53*SQRT(I_moleerr/I_mole)^2+(MVerr/MV)^2+(Sample_Masserr/Sample_Mass)</f>
        <v>1.2951238606243236</v>
      </c>
      <c r="KI53" s="467">
        <v>22.400563309243701</v>
      </c>
      <c r="KJ53" s="467">
        <v>2.2525235998407074</v>
      </c>
      <c r="KK53" s="229">
        <f>Omega*(Ar38_mole/Xe128mole)</f>
        <v>67419.71933317752</v>
      </c>
      <c r="KL53" s="229">
        <f>Cl_I*SQRT((Omegaerr/Omega)^2+(Ar38_moleerr/Ar38_mole)^2+(Xe128moleerr/Xe128mole)^2)</f>
        <v>8613.8259096546826</v>
      </c>
      <c r="KM53" s="363">
        <f>(Cl_ppm/Cl_I)*10^3</f>
        <v>8.772025490367259</v>
      </c>
      <c r="KN53" s="363">
        <f>(Ippb_SC*SQRT((Cl_ppmerr/Cl_ppm)^2+(Cl_Ierr/Cl_I)^2))</f>
        <v>1.1419632459964733</v>
      </c>
      <c r="KO53" s="147">
        <f>Xe131AC-Xe131136_nf/Xe134136_nf*Xe134AC</f>
        <v>163.91577809115586</v>
      </c>
      <c r="KP53" s="147">
        <f>SQRT(Xe131ACerr^2+(Xe131136_nf/Xe134136_nf*Xe134AC)^2*((Xe131136_nferr/Xe131136_nf)^2+(Xe134136_nferr/Xe134136_nf)^2+(Xe134ACerr/Xe134AC)^2))</f>
        <v>0.33777517264415807</v>
      </c>
      <c r="KQ53" s="157">
        <f>(Xe131Ba*Xe_Sensitivity)/YXe</f>
        <v>1.0982357132107442E-10</v>
      </c>
      <c r="KR53" s="157">
        <f>Xe131Bacc*SQRT((Xe_Sensitivityerr/Xe_Sensitivity)^2+(YXeerr/YXe)^2+(Xe131Baerr/Xe131Ba)^2)</f>
        <v>6.5605356199442407E-12</v>
      </c>
      <c r="KS53" s="157">
        <f>Xe131Bacc/MV</f>
        <v>4.8997839525682442E-15</v>
      </c>
      <c r="KT53" s="157">
        <f>Xe131mole*SQRT((Xe131CCerr/Xe131CC)^2+(MVerr/MV)^2)</f>
        <v>2.9269861438390334E-16</v>
      </c>
      <c r="KU53" s="6">
        <v>1.5355171436865713</v>
      </c>
      <c r="KV53" s="6">
        <v>5.9163108295531078E-2</v>
      </c>
      <c r="KW53" s="157">
        <f>(Xe131mole/Ba_FactorSW)/((Therm_CS_130Ba*Therm_Flux)*Ba130_Abun*Y_130Ba)</f>
        <v>3.4887022537073668E-8</v>
      </c>
      <c r="KX53" s="157">
        <f>Ba_mole*SQRT((Xe131BaCCerr/Xe131Bacc)^2+(Ba_FactorSWerr/Ba_FactorSW)^2+(Therm_CS_130Baerr/Therm_CS_130Ba)^2+(Therm_Fluxerr/Therm_Flux)^2)</f>
        <v>4.3863303263697038E-9</v>
      </c>
      <c r="KY53" s="489">
        <f>Ba_mole*MW_Ba/Sample_Mass*10^6</f>
        <v>563.63884046455473</v>
      </c>
      <c r="KZ53" s="247">
        <f>Ba_ppm*SQRT(Ba_moleerr/Ba_mole)^2+(MVerr/MV)^2+(Sample_Masserr/Sample_Mass)</f>
        <v>70.871068791691187</v>
      </c>
      <c r="LG53" s="157">
        <f>(Xe134AC*Xe_Sensitivity)/YXe</f>
        <v>7.2192784088352549E-12</v>
      </c>
      <c r="LH53" s="157">
        <f>Xe134CC*SQRT((Xe_Sensitivityerr/Xe_Sensitivity)^2+(YXeerr/YXe)^2+(Xe134ACerr/Xe134AC)^2)</f>
        <v>4.3877157851975353E-13</v>
      </c>
      <c r="LI53" s="157">
        <f>Xe134CC/MV</f>
        <v>3.2208845579533218E-16</v>
      </c>
      <c r="LJ53" s="157">
        <f>Xe134mole*SQRT((Xe134CCerr/Xe134CC)^2+(MVerr/MV)^2)</f>
        <v>1.9575815223552726E-17</v>
      </c>
      <c r="LK53" s="157">
        <f>Xe134_mole/((Therm_CS_235U*Therm_Flux)*U235_Abun*Y_235U)</f>
        <v>8.5460232214781698E-11</v>
      </c>
      <c r="LL53" s="157">
        <f>U_mole*SQRT((Xe134moleerr/Xe134mole)^2+(Therm_CS_235Uerr/Therm_CS_235U)^2+(Therm_Fluxerr/Therm_Flux)^2)</f>
        <v>9.5545230085419199E-12</v>
      </c>
      <c r="LM53" s="143">
        <f>U_mole*MW_U/Sample_Mass*10^9</f>
        <v>2393.177167344867</v>
      </c>
      <c r="LN53" s="143">
        <f>U_ppb*SQRT((U_moleerr/U_mole)^2+(MVerr/MV)^2+(Sample_Masserr/Sample_Mass)^2)</f>
        <v>267.82657874539802</v>
      </c>
      <c r="LQ53" s="214" t="str">
        <f>Name</f>
        <v>A1x Bulk</v>
      </c>
      <c r="LR53" s="214" t="str">
        <f>Irradiation</f>
        <v>MN2022a</v>
      </c>
      <c r="LS53" s="211">
        <f>IF(ISNUMBER(K_ppm), K_ppm, "")</f>
        <v>37238.309428038563</v>
      </c>
      <c r="LT53" s="211">
        <f>IF(ISNUMBER(K_ppmerr), K_ppmerr, "")</f>
        <v>403.17129818206445</v>
      </c>
      <c r="LU53" s="211">
        <f>Cl_ppm</f>
        <v>591.40749654403942</v>
      </c>
      <c r="LV53" s="211">
        <f>Cl_ppmerr</f>
        <v>14.770586574030098</v>
      </c>
      <c r="LW53" s="211">
        <f>Ca_ppm</f>
        <v>8693.6748276992184</v>
      </c>
      <c r="LX53" s="211">
        <f>Ca_ppmerr</f>
        <v>805.82794965530809</v>
      </c>
      <c r="LY53" s="211">
        <f>Br79ppb_SW</f>
        <v>663.41047308858731</v>
      </c>
      <c r="LZ53" s="211">
        <f>Br79ppb_SWerr</f>
        <v>66.766330426756923</v>
      </c>
      <c r="MA53" s="211">
        <f>Br81ppb_SW</f>
        <v>762.19738892050918</v>
      </c>
      <c r="MB53" s="211">
        <f>Br81ppb_SWerr</f>
        <v>76.017444075881713</v>
      </c>
      <c r="MC53" s="211">
        <f>Br79ppb_SC</f>
        <v>524.95612081741865</v>
      </c>
      <c r="MD53" s="211">
        <f>Br79ppb_SCerr</f>
        <v>20.264206355524927</v>
      </c>
      <c r="ME53" s="211">
        <f>Br81ppb_SC</f>
        <v>520.32661424717958</v>
      </c>
      <c r="MF53" s="211">
        <f>Br81ppb_SCerr</f>
        <v>20.025003902619844</v>
      </c>
      <c r="MG53" s="462">
        <f>I_ppb</f>
        <v>9.9383195504717872</v>
      </c>
      <c r="MH53" s="462">
        <f>I_ppberr</f>
        <v>1.2951238606243236</v>
      </c>
      <c r="MI53" s="211">
        <f>Ippb_SC</f>
        <v>8.772025490367259</v>
      </c>
      <c r="MJ53" s="211">
        <f>Ippb_SCerr</f>
        <v>1.1419632459964733</v>
      </c>
      <c r="MK53" s="211"/>
      <c r="ML53" s="211"/>
      <c r="MM53" s="211"/>
      <c r="MN53" s="211"/>
      <c r="MO53" s="506">
        <f t="shared" si="107"/>
        <v>62.965568826308569</v>
      </c>
      <c r="MP53" s="506">
        <f t="shared" si="107"/>
        <v>0.68233865912087888</v>
      </c>
      <c r="MQ53" s="109">
        <f>(Br79ppb_SC/10^3)/Cl_ppm</f>
        <v>8.8763859755762757E-4</v>
      </c>
      <c r="MR53" s="109">
        <f>MQ53*SQRT((Br79ppb_SCerr/Br79ppb_SC)^2+(Cl_ppmerr/Cl_ppm)^2)</f>
        <v>4.0810709170769327E-5</v>
      </c>
      <c r="MS53" s="109">
        <f>(Br81ppb_SC/10^3)/Cl_ppm</f>
        <v>8.798106505037061E-4</v>
      </c>
      <c r="MT53" s="109">
        <f>MS53*SQRT((Br81ppb_SCerr/Br81ppb_SC)^2+(Cl_ppmerr/Cl_ppm)^2)</f>
        <v>4.0364961478396657E-5</v>
      </c>
      <c r="MU53" s="109">
        <f>(I_ppb/10^3)/Cl_ppm</f>
        <v>1.6804520755228077E-5</v>
      </c>
      <c r="MV53" s="109">
        <f>MU53*SQRT((I_ppberr/I_ppb)^2+(Cl_ppmerr/Cl_ppm)^2)</f>
        <v>2.2297562347931135E-6</v>
      </c>
      <c r="MW53" s="506">
        <f t="shared" si="108"/>
        <v>57.095022330871615</v>
      </c>
      <c r="MX53" s="506">
        <f t="shared" si="108"/>
        <v>0.54888743505500781</v>
      </c>
      <c r="MY53" s="109">
        <f>Br79mole_SC/Cl_mole</f>
        <v>3.938407488887988E-4</v>
      </c>
      <c r="MZ53" s="109">
        <f>MY53*SQRT((Br79mole_SCerr/Br79mole_SC)^2+(Cl_moleerr/Cl_mole)^2)</f>
        <v>1.789207079616072E-5</v>
      </c>
      <c r="NA53" s="109">
        <f>Br81mole_SC/Cl_mole</f>
        <v>3.9036752843797428E-4</v>
      </c>
      <c r="NB53" s="109">
        <f>NA53*SQRT((Br81mole_SCerr/Br81mole_SC)^2+(Cl_moleerr/Cl_mole)^2)</f>
        <v>1.7734283400183641E-5</v>
      </c>
      <c r="NC53" s="109">
        <f>I_mole/Cl_mole</f>
        <v>4.6946378917619225E-6</v>
      </c>
      <c r="ND53" s="109">
        <f>NC53*SQRT((I_moleerr/I_mole)^2+(Cl_moleerr/Cl_mole)^2)</f>
        <v>6.2015796299225186E-7</v>
      </c>
    </row>
    <row r="54" spans="2:368">
      <c r="D54" s="66"/>
      <c r="J54" s="327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133"/>
      <c r="AJ54" s="133"/>
      <c r="AK54" s="133"/>
      <c r="AL54" s="133"/>
      <c r="AM54" s="133"/>
      <c r="AN54" s="133"/>
      <c r="AO54" s="133"/>
      <c r="AP54" s="133"/>
      <c r="AQ54" s="133"/>
      <c r="AR54" s="133"/>
      <c r="AU54" s="133"/>
      <c r="AV54" s="133"/>
      <c r="AW54" s="133"/>
      <c r="AX54" s="133"/>
      <c r="AY54" s="133"/>
      <c r="AZ54" s="133"/>
      <c r="BA54" s="133"/>
      <c r="BB54" s="133"/>
      <c r="BC54" s="6"/>
      <c r="BD54" s="8"/>
      <c r="BE54" s="133"/>
      <c r="BF54" s="133"/>
      <c r="BG54" s="133"/>
      <c r="BH54" s="133"/>
      <c r="BI54" s="143"/>
      <c r="BJ54" s="133"/>
      <c r="BK54" s="143"/>
      <c r="BL54" s="133"/>
      <c r="BM54" s="143"/>
      <c r="BN54" s="133"/>
      <c r="BO54" s="147"/>
      <c r="BP54" s="147"/>
      <c r="BR54" s="147"/>
      <c r="BS54" s="147"/>
      <c r="BT54" s="143"/>
      <c r="BU54" s="147"/>
      <c r="BV54" s="476"/>
      <c r="BW54" s="143"/>
      <c r="BX54" s="3"/>
      <c r="BY54" s="3"/>
      <c r="BZ54" s="157"/>
      <c r="CA54" s="157"/>
      <c r="CB54" s="157"/>
      <c r="CC54" s="158"/>
      <c r="CD54" s="157"/>
      <c r="CE54" s="477"/>
      <c r="CF54" s="157"/>
      <c r="CG54" s="157"/>
      <c r="CH54" s="157"/>
      <c r="CI54" s="157"/>
      <c r="CJ54" s="157"/>
      <c r="CK54" s="157"/>
      <c r="CL54" s="157"/>
      <c r="CM54" s="157"/>
      <c r="CN54" s="66"/>
      <c r="CO54" s="66"/>
      <c r="CP54" s="3"/>
      <c r="CQ54" s="60"/>
      <c r="CR54" s="3"/>
      <c r="CS54" s="3"/>
      <c r="CT54" s="6"/>
      <c r="CU54" s="6"/>
      <c r="CV54" s="4"/>
      <c r="CW54" s="4"/>
      <c r="CX54" s="157"/>
      <c r="CY54" s="157"/>
      <c r="CZ54" s="143"/>
      <c r="DA54" s="143"/>
      <c r="DB54" s="159"/>
      <c r="DC54" s="167"/>
      <c r="DD54" s="157"/>
      <c r="DE54" s="157"/>
      <c r="DF54" s="147"/>
      <c r="DG54" s="133"/>
      <c r="DH54" s="159"/>
      <c r="DI54" s="167"/>
      <c r="DJ54" s="157"/>
      <c r="DK54" s="157"/>
      <c r="DL54" s="143"/>
      <c r="DM54" s="143"/>
      <c r="DN54" s="147"/>
      <c r="DO54" s="147"/>
      <c r="DP54" s="133"/>
      <c r="DQ54" s="133"/>
      <c r="DR54" s="133"/>
      <c r="DS54" s="133"/>
      <c r="DT54" s="133"/>
      <c r="DU54" s="133"/>
      <c r="DV54" s="133"/>
      <c r="DW54" s="133"/>
      <c r="DX54" s="157"/>
      <c r="DY54" s="157"/>
      <c r="DZ54" s="147"/>
      <c r="EA54" s="147"/>
      <c r="EB54" s="157"/>
      <c r="EC54" s="157"/>
      <c r="ED54" s="147"/>
      <c r="EE54" s="147"/>
      <c r="EF54" s="147"/>
      <c r="EG54" s="143"/>
      <c r="EH54" s="147"/>
      <c r="EI54" s="147"/>
      <c r="EJ54" s="501"/>
      <c r="EK54" s="143"/>
      <c r="EL54" s="143"/>
      <c r="EM54" s="147"/>
      <c r="EN54" s="147"/>
      <c r="EO54" s="143"/>
      <c r="EP54" s="143"/>
      <c r="EQ54" s="157"/>
      <c r="ER54" s="157"/>
      <c r="ES54" s="157"/>
      <c r="ET54" s="157"/>
      <c r="LQ54" s="214"/>
      <c r="LR54" s="214"/>
      <c r="LS54" s="211"/>
      <c r="LT54" s="211"/>
      <c r="LU54" s="211"/>
      <c r="LV54" s="211"/>
      <c r="LW54" s="211"/>
      <c r="LX54" s="211"/>
      <c r="LY54" s="211"/>
      <c r="LZ54" s="211"/>
      <c r="MA54" s="211"/>
      <c r="MB54" s="211"/>
      <c r="MC54" s="211"/>
      <c r="MD54" s="211"/>
      <c r="ME54" s="211"/>
      <c r="MF54" s="211"/>
      <c r="MG54" s="211"/>
      <c r="MH54" s="211"/>
      <c r="MI54" s="211"/>
      <c r="MJ54" s="211"/>
      <c r="MK54" s="211"/>
      <c r="ML54" s="211"/>
      <c r="MM54" s="211"/>
      <c r="MN54" s="211"/>
      <c r="MO54" s="506"/>
      <c r="MP54" s="506"/>
      <c r="MQ54" s="109"/>
      <c r="MR54" s="109"/>
      <c r="MS54" s="109"/>
      <c r="MT54" s="109"/>
      <c r="MU54" s="109"/>
      <c r="MV54" s="109"/>
      <c r="MW54" s="506"/>
      <c r="MX54" s="506"/>
      <c r="MY54" s="109"/>
      <c r="MZ54" s="109"/>
      <c r="NA54" s="109"/>
      <c r="NB54" s="109"/>
      <c r="NC54" s="109"/>
      <c r="ND54" s="109"/>
    </row>
    <row r="55" spans="2:368">
      <c r="D55" s="66"/>
      <c r="J55" s="327"/>
      <c r="O55" s="6"/>
      <c r="P55" s="6"/>
      <c r="Q55" s="6"/>
      <c r="R55" s="6"/>
      <c r="S55" s="6"/>
      <c r="T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133"/>
      <c r="AJ55" s="133"/>
      <c r="AK55" s="133"/>
      <c r="AL55" s="133"/>
      <c r="AM55" s="133"/>
      <c r="AN55" s="133"/>
      <c r="AO55" s="133"/>
      <c r="AP55" s="133"/>
      <c r="AQ55" s="133"/>
      <c r="AR55" s="133"/>
      <c r="AU55" s="133"/>
      <c r="AV55" s="133"/>
      <c r="AW55" s="133"/>
      <c r="AX55" s="133"/>
      <c r="AY55" s="133"/>
      <c r="AZ55" s="133"/>
      <c r="BA55" s="133"/>
      <c r="BB55" s="133"/>
      <c r="BC55" s="6"/>
      <c r="BD55" s="8"/>
      <c r="BE55" s="133"/>
      <c r="BF55" s="133"/>
      <c r="BG55" s="133"/>
      <c r="BH55" s="133"/>
      <c r="BI55" s="143"/>
      <c r="BJ55" s="133"/>
      <c r="BK55" s="143"/>
      <c r="BL55" s="133"/>
      <c r="BM55" s="143"/>
      <c r="BN55" s="133"/>
      <c r="BO55" s="147"/>
      <c r="BP55" s="147"/>
      <c r="BR55" s="147"/>
      <c r="BS55" s="147"/>
      <c r="BT55" s="143"/>
      <c r="BU55" s="147"/>
      <c r="BV55" s="476"/>
      <c r="BW55" s="143"/>
      <c r="BX55" s="3"/>
      <c r="BY55" s="3"/>
      <c r="BZ55" s="157"/>
      <c r="CA55" s="157"/>
      <c r="CB55" s="157"/>
      <c r="CC55" s="158"/>
      <c r="CD55" s="157"/>
      <c r="CE55" s="477"/>
      <c r="CF55" s="157"/>
      <c r="CG55" s="157"/>
      <c r="CH55" s="157"/>
      <c r="CI55" s="157"/>
      <c r="CJ55" s="157"/>
      <c r="CK55" s="157"/>
      <c r="CL55" s="157"/>
      <c r="CM55" s="157"/>
      <c r="CN55" s="66"/>
      <c r="CO55" s="66"/>
      <c r="CP55" s="3"/>
      <c r="CQ55" s="60"/>
      <c r="CR55" s="3"/>
      <c r="CS55" s="3"/>
      <c r="CT55" s="6"/>
      <c r="CU55" s="6"/>
      <c r="CV55" s="4"/>
      <c r="CW55" s="4"/>
      <c r="CX55" s="157"/>
      <c r="CY55" s="157"/>
      <c r="CZ55" s="143"/>
      <c r="DA55" s="143"/>
      <c r="DB55" s="159"/>
      <c r="DC55" s="167"/>
      <c r="DD55" s="157"/>
      <c r="DE55" s="157"/>
      <c r="DF55" s="147"/>
      <c r="DG55" s="133"/>
      <c r="DH55" s="159"/>
      <c r="DI55" s="167"/>
      <c r="DJ55" s="157"/>
      <c r="DK55" s="157"/>
      <c r="DL55" s="143"/>
      <c r="DM55" s="143"/>
      <c r="DN55" s="147"/>
      <c r="DO55" s="147"/>
      <c r="DP55" s="133"/>
      <c r="DQ55" s="133"/>
      <c r="DR55" s="133"/>
      <c r="DS55" s="133"/>
      <c r="DT55" s="133"/>
      <c r="DU55" s="133"/>
      <c r="DV55" s="133"/>
      <c r="DW55" s="133"/>
      <c r="DX55" s="157"/>
      <c r="DY55" s="157"/>
      <c r="DZ55" s="147"/>
      <c r="EA55" s="147"/>
      <c r="EB55" s="157"/>
      <c r="EC55" s="157"/>
      <c r="ED55" s="147"/>
      <c r="EE55" s="147"/>
      <c r="EF55" s="147"/>
      <c r="EG55" s="143"/>
      <c r="EH55" s="147"/>
      <c r="EI55" s="147"/>
      <c r="EJ55" s="501"/>
      <c r="EK55" s="143"/>
      <c r="EL55" s="143"/>
      <c r="EM55" s="147"/>
      <c r="EN55" s="147"/>
      <c r="EO55" s="143"/>
      <c r="EP55" s="143"/>
      <c r="EQ55" s="157"/>
      <c r="ER55" s="157"/>
      <c r="ES55" s="157"/>
      <c r="ET55" s="157"/>
      <c r="LQ55" s="214"/>
      <c r="LR55" s="214"/>
      <c r="LS55" s="211"/>
      <c r="LT55" s="211"/>
      <c r="LU55" s="211"/>
      <c r="LV55" s="211"/>
      <c r="LW55" s="211"/>
      <c r="LX55" s="211"/>
      <c r="LY55" s="211"/>
      <c r="LZ55" s="211"/>
      <c r="MA55" s="211"/>
      <c r="MB55" s="211"/>
      <c r="MC55" s="211"/>
      <c r="MD55" s="211"/>
      <c r="ME55" s="211"/>
      <c r="MF55" s="211"/>
      <c r="MG55" s="211"/>
      <c r="MH55" s="211"/>
      <c r="MI55" s="211"/>
      <c r="MJ55" s="211"/>
      <c r="MK55" s="211"/>
      <c r="ML55" s="211"/>
      <c r="MM55" s="211"/>
      <c r="MN55" s="211"/>
      <c r="MO55" s="506"/>
      <c r="MP55" s="506"/>
      <c r="MQ55" s="109"/>
      <c r="MR55" s="109"/>
      <c r="MS55" s="109"/>
      <c r="MT55" s="109"/>
      <c r="MU55" s="109"/>
      <c r="MV55" s="109"/>
      <c r="MW55" s="506"/>
      <c r="MX55" s="506"/>
      <c r="MY55" s="109"/>
      <c r="MZ55" s="109"/>
      <c r="NA55" s="109"/>
      <c r="NB55" s="109"/>
      <c r="NC55" s="109"/>
      <c r="ND55" s="109"/>
    </row>
    <row r="56" spans="2:368">
      <c r="D56" s="66"/>
      <c r="J56" s="327"/>
      <c r="O56" s="6"/>
      <c r="P56" s="6"/>
      <c r="Q56" s="6"/>
      <c r="R56" s="6"/>
      <c r="S56" s="6"/>
      <c r="T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133"/>
      <c r="AJ56" s="133"/>
      <c r="AK56" s="133"/>
      <c r="AL56" s="133"/>
      <c r="AM56" s="133"/>
      <c r="AN56" s="133"/>
      <c r="AO56" s="133"/>
      <c r="AP56" s="133"/>
      <c r="AQ56" s="133"/>
      <c r="AR56" s="133"/>
      <c r="AU56" s="133"/>
      <c r="AV56" s="133"/>
      <c r="AW56" s="133"/>
      <c r="AX56" s="133"/>
      <c r="AY56" s="133"/>
      <c r="AZ56" s="133"/>
      <c r="BA56" s="133"/>
      <c r="BB56" s="133"/>
      <c r="BC56" s="6"/>
      <c r="BD56" s="8"/>
      <c r="BE56" s="133"/>
      <c r="BF56" s="133"/>
      <c r="BG56" s="133"/>
      <c r="BH56" s="133"/>
      <c r="BI56" s="143"/>
      <c r="BJ56" s="133"/>
      <c r="BK56" s="143"/>
      <c r="BL56" s="133"/>
      <c r="BM56" s="143"/>
      <c r="BN56" s="133"/>
      <c r="BO56" s="147"/>
      <c r="BP56" s="147"/>
      <c r="BR56" s="147"/>
      <c r="BS56" s="147"/>
      <c r="BT56" s="143"/>
      <c r="BU56" s="147"/>
      <c r="BV56" s="476"/>
      <c r="BW56" s="143"/>
      <c r="BX56" s="3"/>
      <c r="BY56" s="3"/>
      <c r="BZ56" s="157"/>
      <c r="CA56" s="157"/>
      <c r="CB56" s="157"/>
      <c r="CC56" s="158"/>
      <c r="CD56" s="157"/>
      <c r="CE56" s="477"/>
      <c r="CF56" s="157"/>
      <c r="CG56" s="157"/>
      <c r="CH56" s="157"/>
      <c r="CI56" s="157"/>
      <c r="CJ56" s="157"/>
      <c r="CK56" s="157"/>
      <c r="CL56" s="157"/>
      <c r="CM56" s="157"/>
      <c r="CN56" s="66"/>
      <c r="CO56" s="66"/>
      <c r="CP56" s="3"/>
      <c r="CQ56" s="60"/>
      <c r="CR56" s="3"/>
      <c r="CS56" s="3"/>
      <c r="CT56" s="6"/>
      <c r="CU56" s="6"/>
      <c r="CV56" s="4"/>
      <c r="CW56" s="4"/>
      <c r="CX56" s="157"/>
      <c r="CY56" s="157"/>
      <c r="CZ56" s="143"/>
      <c r="DA56" s="143"/>
      <c r="DB56" s="159"/>
      <c r="DC56" s="167"/>
      <c r="DD56" s="157"/>
      <c r="DE56" s="157"/>
      <c r="DF56" s="147"/>
      <c r="DG56" s="133"/>
      <c r="DH56" s="159"/>
      <c r="DI56" s="167"/>
      <c r="DJ56" s="157"/>
      <c r="DK56" s="157"/>
      <c r="DL56" s="143"/>
      <c r="DM56" s="143"/>
      <c r="DN56" s="147"/>
      <c r="DO56" s="147"/>
      <c r="DP56" s="133"/>
      <c r="DQ56" s="133"/>
      <c r="DR56" s="133"/>
      <c r="DS56" s="133"/>
      <c r="DT56" s="133"/>
      <c r="DU56" s="133"/>
      <c r="DV56" s="133"/>
      <c r="DW56" s="133"/>
      <c r="DX56" s="157"/>
      <c r="DY56" s="157"/>
      <c r="DZ56" s="147"/>
      <c r="EA56" s="147"/>
      <c r="EB56" s="157"/>
      <c r="EC56" s="157"/>
      <c r="ED56" s="147"/>
      <c r="EE56" s="147"/>
      <c r="EF56" s="147"/>
      <c r="EG56" s="143"/>
      <c r="EH56" s="147"/>
      <c r="EI56" s="147"/>
      <c r="EJ56" s="501"/>
      <c r="EK56" s="143"/>
      <c r="EL56" s="143"/>
      <c r="EM56" s="147"/>
      <c r="EN56" s="147"/>
      <c r="EO56" s="143"/>
      <c r="EP56" s="143"/>
      <c r="EQ56" s="157"/>
      <c r="ER56" s="157"/>
      <c r="ES56" s="157"/>
      <c r="ET56" s="157"/>
    </row>
    <row r="57" spans="2:368">
      <c r="D57" s="66"/>
      <c r="J57" s="327"/>
      <c r="O57" s="6"/>
      <c r="P57" s="6"/>
      <c r="Q57" s="6"/>
      <c r="R57" s="6"/>
      <c r="S57" s="6"/>
      <c r="T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133"/>
      <c r="AJ57" s="133"/>
      <c r="AK57" s="133"/>
      <c r="AL57" s="133"/>
      <c r="AM57" s="133"/>
      <c r="AN57" s="133"/>
      <c r="AO57" s="133"/>
      <c r="AP57" s="133"/>
      <c r="AQ57" s="133"/>
      <c r="AR57" s="133"/>
      <c r="AU57" s="133"/>
      <c r="AV57" s="133"/>
      <c r="AW57" s="133"/>
      <c r="AX57" s="133"/>
      <c r="AY57" s="133"/>
      <c r="AZ57" s="133"/>
      <c r="BA57" s="133"/>
      <c r="BB57" s="133"/>
      <c r="BC57" s="6"/>
      <c r="BD57" s="8"/>
      <c r="BE57" s="133"/>
      <c r="BF57" s="133"/>
      <c r="BG57" s="133"/>
      <c r="BH57" s="133"/>
      <c r="BI57" s="143"/>
      <c r="BJ57" s="133"/>
      <c r="BK57" s="143"/>
      <c r="BL57" s="133"/>
      <c r="BM57" s="143"/>
      <c r="BN57" s="133"/>
      <c r="BO57" s="147"/>
      <c r="BP57" s="147"/>
      <c r="BR57" s="147"/>
      <c r="BS57" s="147"/>
      <c r="BT57" s="143"/>
      <c r="BU57" s="147"/>
      <c r="BV57" s="476"/>
      <c r="BW57" s="143"/>
      <c r="BX57" s="3"/>
      <c r="BY57" s="3"/>
      <c r="BZ57" s="157"/>
      <c r="CA57" s="157"/>
      <c r="CB57" s="157"/>
      <c r="CC57" s="158"/>
      <c r="CD57" s="157"/>
      <c r="CE57" s="477"/>
      <c r="CF57" s="157"/>
      <c r="CG57" s="157"/>
      <c r="CH57" s="157"/>
      <c r="CI57" s="157"/>
      <c r="CJ57" s="157"/>
      <c r="CK57" s="157"/>
      <c r="CL57" s="157"/>
      <c r="CM57" s="157"/>
      <c r="CN57" s="66"/>
      <c r="CO57" s="66"/>
      <c r="CP57" s="3"/>
      <c r="CQ57" s="60"/>
      <c r="CR57" s="3"/>
      <c r="CS57" s="3"/>
      <c r="CT57" s="6"/>
      <c r="CU57" s="6"/>
      <c r="CV57" s="4"/>
      <c r="CW57" s="4"/>
      <c r="CX57" s="157"/>
      <c r="CY57" s="157"/>
      <c r="CZ57" s="143"/>
      <c r="DA57" s="143"/>
      <c r="DB57" s="159"/>
      <c r="DC57" s="167"/>
      <c r="DD57" s="157"/>
      <c r="DE57" s="157"/>
      <c r="DF57" s="147"/>
      <c r="DG57" s="133"/>
      <c r="DH57" s="159"/>
      <c r="DI57" s="167"/>
      <c r="DJ57" s="157"/>
      <c r="DK57" s="157"/>
      <c r="DL57" s="143"/>
      <c r="DM57" s="143"/>
      <c r="DN57" s="147"/>
      <c r="DO57" s="147"/>
      <c r="DP57" s="133"/>
      <c r="DQ57" s="133"/>
      <c r="DR57" s="133"/>
      <c r="DS57" s="133"/>
      <c r="DT57" s="133"/>
      <c r="DU57" s="133"/>
      <c r="DV57" s="133"/>
      <c r="DW57" s="133"/>
      <c r="DX57" s="157"/>
      <c r="DY57" s="157"/>
      <c r="DZ57" s="147"/>
      <c r="EA57" s="147"/>
      <c r="EB57" s="157"/>
      <c r="EC57" s="157"/>
      <c r="ED57" s="147"/>
      <c r="EE57" s="147"/>
      <c r="EF57" s="147"/>
      <c r="EG57" s="143"/>
      <c r="EH57" s="147"/>
      <c r="EI57" s="147"/>
      <c r="EJ57" s="501"/>
      <c r="EK57" s="143"/>
      <c r="EL57" s="143"/>
      <c r="EM57" s="147"/>
      <c r="EN57" s="147"/>
      <c r="EO57" s="143"/>
      <c r="EP57" s="143"/>
      <c r="EQ57" s="157"/>
      <c r="ER57" s="157"/>
      <c r="ES57" s="157"/>
      <c r="ET57" s="157"/>
    </row>
    <row r="58" spans="2:368">
      <c r="D58" s="66"/>
      <c r="J58" s="327"/>
      <c r="O58" s="6"/>
      <c r="P58" s="6"/>
      <c r="Q58" s="6"/>
      <c r="R58" s="6"/>
      <c r="S58" s="6"/>
      <c r="T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133"/>
      <c r="AJ58" s="133"/>
      <c r="AK58" s="133"/>
      <c r="AL58" s="133"/>
      <c r="AM58" s="133"/>
      <c r="AN58" s="133"/>
      <c r="AO58" s="133"/>
      <c r="AP58" s="133"/>
      <c r="AQ58" s="133"/>
      <c r="AR58" s="133"/>
      <c r="AU58" s="133"/>
      <c r="AV58" s="133"/>
      <c r="AW58" s="133"/>
      <c r="AX58" s="133"/>
      <c r="AY58" s="133"/>
      <c r="AZ58" s="133"/>
      <c r="BA58" s="133"/>
      <c r="BB58" s="133"/>
      <c r="BC58" s="6"/>
      <c r="BD58" s="8"/>
      <c r="BE58" s="133"/>
      <c r="BF58" s="133"/>
      <c r="BG58" s="133"/>
      <c r="BH58" s="133"/>
      <c r="BI58" s="143"/>
      <c r="BJ58" s="133"/>
      <c r="BK58" s="143"/>
      <c r="BL58" s="133"/>
      <c r="BM58" s="143"/>
      <c r="BN58" s="133"/>
      <c r="BO58" s="147"/>
      <c r="BP58" s="147"/>
      <c r="BR58" s="147"/>
      <c r="BS58" s="147"/>
      <c r="BT58" s="143"/>
      <c r="BU58" s="147"/>
      <c r="BV58" s="476"/>
      <c r="BW58" s="143"/>
      <c r="BX58" s="3"/>
      <c r="BY58" s="3"/>
      <c r="BZ58" s="157"/>
      <c r="CA58" s="157"/>
      <c r="CB58" s="157"/>
      <c r="CC58" s="158"/>
      <c r="CD58" s="157"/>
      <c r="CE58" s="477"/>
      <c r="CF58" s="157"/>
      <c r="CG58" s="157"/>
      <c r="CH58" s="157"/>
      <c r="CI58" s="157"/>
      <c r="CJ58" s="157"/>
      <c r="CK58" s="157"/>
      <c r="CL58" s="157"/>
      <c r="CM58" s="157"/>
      <c r="CN58" s="66"/>
      <c r="CO58" s="66"/>
      <c r="CP58" s="3"/>
      <c r="CQ58" s="60"/>
      <c r="CR58" s="3"/>
      <c r="CS58" s="3"/>
      <c r="CT58" s="6"/>
      <c r="CU58" s="6"/>
      <c r="CV58" s="4"/>
      <c r="CW58" s="4"/>
      <c r="CX58" s="157"/>
      <c r="CY58" s="157"/>
      <c r="CZ58" s="143"/>
      <c r="DA58" s="143"/>
      <c r="DB58" s="159"/>
      <c r="DC58" s="167"/>
      <c r="DD58" s="157"/>
      <c r="DE58" s="157"/>
      <c r="DF58" s="147"/>
      <c r="DG58" s="133"/>
      <c r="DH58" s="159"/>
      <c r="DI58" s="167"/>
      <c r="DJ58" s="157"/>
      <c r="DK58" s="157"/>
      <c r="DL58" s="143"/>
      <c r="DM58" s="143"/>
      <c r="DN58" s="147"/>
      <c r="DO58" s="147"/>
      <c r="DP58" s="133"/>
      <c r="DQ58" s="133"/>
      <c r="DR58" s="133"/>
      <c r="DS58" s="133"/>
      <c r="DT58" s="133"/>
      <c r="DU58" s="133"/>
      <c r="DV58" s="133"/>
      <c r="DW58" s="133"/>
      <c r="DX58" s="157"/>
      <c r="DY58" s="157"/>
      <c r="DZ58" s="147"/>
      <c r="EA58" s="147"/>
      <c r="EB58" s="157"/>
      <c r="EC58" s="157"/>
      <c r="ED58" s="147"/>
      <c r="EE58" s="147"/>
      <c r="EF58" s="147"/>
      <c r="EG58" s="143"/>
      <c r="EH58" s="147"/>
      <c r="EI58" s="147"/>
      <c r="EJ58" s="501"/>
      <c r="EK58" s="143"/>
      <c r="EL58" s="143"/>
      <c r="EM58" s="147"/>
      <c r="EN58" s="147"/>
      <c r="EO58" s="143"/>
      <c r="EP58" s="143"/>
      <c r="EQ58" s="157"/>
      <c r="ER58" s="157"/>
      <c r="ES58" s="157"/>
      <c r="ET58" s="157"/>
    </row>
    <row r="59" spans="2:368">
      <c r="D59" s="66"/>
      <c r="J59" s="327"/>
      <c r="O59" s="6"/>
      <c r="P59" s="6"/>
      <c r="Q59" s="6"/>
      <c r="R59" s="6"/>
      <c r="S59" s="6"/>
      <c r="T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133"/>
      <c r="AJ59" s="133"/>
      <c r="AK59" s="133"/>
      <c r="AL59" s="133"/>
      <c r="AM59" s="133"/>
      <c r="AN59" s="133"/>
      <c r="AO59" s="133"/>
      <c r="AP59" s="133"/>
      <c r="AQ59" s="133"/>
      <c r="AR59" s="133"/>
      <c r="AU59" s="133"/>
      <c r="AV59" s="133"/>
      <c r="AW59" s="133"/>
      <c r="AX59" s="133"/>
      <c r="AY59" s="133"/>
      <c r="AZ59" s="133"/>
      <c r="BA59" s="133"/>
      <c r="BB59" s="133"/>
      <c r="BC59" s="6"/>
      <c r="BD59" s="8"/>
      <c r="BE59" s="133"/>
      <c r="BF59" s="133"/>
      <c r="BG59" s="133"/>
      <c r="BH59" s="133"/>
      <c r="BI59" s="143"/>
      <c r="BJ59" s="133"/>
      <c r="BK59" s="143"/>
      <c r="BL59" s="133"/>
      <c r="BM59" s="143"/>
      <c r="BN59" s="133"/>
      <c r="BO59" s="147"/>
      <c r="BP59" s="147"/>
      <c r="BR59" s="147"/>
      <c r="BS59" s="147"/>
      <c r="BT59" s="143"/>
      <c r="BU59" s="147"/>
      <c r="BV59" s="476"/>
      <c r="BW59" s="143"/>
      <c r="BX59" s="3"/>
      <c r="BY59" s="3"/>
      <c r="BZ59" s="157"/>
      <c r="CA59" s="157"/>
      <c r="CB59" s="157"/>
      <c r="CC59" s="158"/>
      <c r="CD59" s="157"/>
      <c r="CE59" s="477"/>
      <c r="CF59" s="157"/>
      <c r="CG59" s="157"/>
      <c r="CH59" s="157"/>
      <c r="CI59" s="157"/>
      <c r="CJ59" s="157"/>
      <c r="CK59" s="157"/>
      <c r="CL59" s="157"/>
      <c r="CM59" s="157"/>
      <c r="CN59" s="66"/>
      <c r="CO59" s="66"/>
      <c r="CP59" s="3"/>
      <c r="CQ59" s="60"/>
      <c r="CR59" s="3"/>
      <c r="CS59" s="3"/>
      <c r="CT59" s="6"/>
      <c r="CU59" s="6"/>
      <c r="CV59" s="4"/>
      <c r="CW59" s="4"/>
      <c r="CX59" s="157"/>
      <c r="CY59" s="157"/>
      <c r="CZ59" s="143"/>
      <c r="DA59" s="143"/>
      <c r="DB59" s="159"/>
      <c r="DC59" s="167"/>
      <c r="DD59" s="157"/>
      <c r="DE59" s="157"/>
      <c r="DF59" s="147"/>
      <c r="DG59" s="133"/>
      <c r="DH59" s="159"/>
      <c r="DI59" s="167"/>
      <c r="DJ59" s="157"/>
      <c r="DK59" s="157"/>
      <c r="DL59" s="143"/>
      <c r="DM59" s="143"/>
      <c r="DN59" s="147"/>
      <c r="DO59" s="147"/>
      <c r="DP59" s="133"/>
      <c r="DQ59" s="133"/>
      <c r="DR59" s="133"/>
      <c r="DS59" s="133"/>
      <c r="DT59" s="133"/>
      <c r="DU59" s="133"/>
      <c r="DV59" s="133"/>
      <c r="DW59" s="133"/>
      <c r="DX59" s="157"/>
      <c r="DY59" s="157"/>
      <c r="DZ59" s="147"/>
      <c r="EA59" s="147"/>
      <c r="EB59" s="157"/>
      <c r="EC59" s="157"/>
      <c r="ED59" s="147"/>
      <c r="EE59" s="147"/>
      <c r="EF59" s="147"/>
      <c r="EG59" s="143"/>
      <c r="EH59" s="147"/>
      <c r="EI59" s="147"/>
      <c r="EJ59" s="501"/>
      <c r="EK59" s="143"/>
      <c r="EL59" s="143"/>
      <c r="EM59" s="147"/>
      <c r="EN59" s="147"/>
      <c r="EO59" s="143"/>
      <c r="EP59" s="143"/>
      <c r="EQ59" s="157"/>
      <c r="ER59" s="157"/>
      <c r="ES59" s="157"/>
      <c r="ET59" s="157"/>
    </row>
    <row r="60" spans="2:368" s="484" customFormat="1" ht="17.399999999999999">
      <c r="B60" s="485"/>
      <c r="C60" s="5"/>
      <c r="D60" s="486"/>
      <c r="E60" s="487"/>
      <c r="F60" s="117"/>
      <c r="G60" s="117"/>
      <c r="H60" s="117"/>
      <c r="I60" s="117"/>
      <c r="J60" s="488"/>
      <c r="K60" s="487"/>
      <c r="L60" s="117"/>
      <c r="M60" s="117"/>
      <c r="N60" s="117"/>
      <c r="Y60" s="117"/>
      <c r="Z60" s="117"/>
      <c r="AA60" s="117"/>
      <c r="AB60" s="117"/>
      <c r="AC60" s="117"/>
      <c r="AD60" s="117"/>
      <c r="AE60" s="117"/>
      <c r="AF60" s="117"/>
      <c r="AG60" s="117"/>
      <c r="AH60" s="117"/>
      <c r="AI60" s="489"/>
      <c r="AJ60" s="489"/>
      <c r="AK60" s="489"/>
      <c r="AL60" s="489"/>
      <c r="AM60" s="489"/>
      <c r="AN60" s="489"/>
      <c r="AO60" s="489"/>
      <c r="AP60" s="489"/>
      <c r="AQ60" s="489"/>
      <c r="AR60" s="489"/>
      <c r="AS60" s="117"/>
      <c r="AT60" s="117"/>
      <c r="AU60" s="489"/>
      <c r="AV60" s="489"/>
      <c r="AW60" s="489"/>
      <c r="AX60" s="489"/>
      <c r="AY60" s="489"/>
      <c r="AZ60" s="489"/>
      <c r="BA60" s="489"/>
      <c r="BB60" s="489"/>
      <c r="BC60" s="118"/>
      <c r="BD60" s="490"/>
      <c r="BE60" s="489"/>
      <c r="BF60" s="489"/>
      <c r="BG60" s="489"/>
      <c r="BH60" s="489"/>
      <c r="BI60" s="247"/>
      <c r="BJ60" s="489"/>
      <c r="BK60" s="247"/>
      <c r="BL60" s="489"/>
      <c r="BM60" s="247"/>
      <c r="BN60" s="489"/>
      <c r="BO60" s="168"/>
      <c r="BP60" s="168"/>
      <c r="BQ60" s="117"/>
      <c r="BR60" s="168"/>
      <c r="BS60" s="168"/>
      <c r="BT60" s="247"/>
      <c r="BU60" s="168"/>
      <c r="BV60" s="481"/>
      <c r="BW60" s="247"/>
      <c r="BX60" s="491"/>
      <c r="BY60" s="491"/>
      <c r="BZ60" s="482"/>
      <c r="CA60" s="482"/>
      <c r="CB60" s="482"/>
      <c r="CC60" s="492"/>
      <c r="CD60" s="157"/>
      <c r="CE60" s="477"/>
      <c r="CF60" s="157"/>
      <c r="CG60" s="157"/>
      <c r="CH60" s="482"/>
      <c r="CI60" s="482"/>
      <c r="CJ60" s="482"/>
      <c r="CK60" s="482"/>
      <c r="CL60" s="482"/>
      <c r="CM60" s="482"/>
      <c r="CN60" s="66"/>
      <c r="CO60" s="66"/>
      <c r="CP60" s="491"/>
      <c r="CQ60" s="493"/>
      <c r="CR60" s="491"/>
      <c r="CS60" s="491"/>
      <c r="CT60" s="118"/>
      <c r="CU60" s="118"/>
      <c r="CV60" s="267"/>
      <c r="CW60" s="267"/>
      <c r="CX60" s="482"/>
      <c r="CY60" s="482"/>
      <c r="CZ60" s="247"/>
      <c r="DA60" s="247"/>
      <c r="DB60" s="494"/>
      <c r="DC60" s="495"/>
      <c r="DD60" s="482"/>
      <c r="DE60" s="482"/>
      <c r="DF60" s="489"/>
      <c r="DG60" s="489"/>
      <c r="DH60" s="494"/>
      <c r="DI60" s="495"/>
      <c r="DJ60" s="482"/>
      <c r="DK60" s="482"/>
      <c r="DL60" s="247"/>
      <c r="DM60" s="247"/>
      <c r="DN60" s="168"/>
      <c r="DO60" s="168"/>
      <c r="DP60" s="489"/>
      <c r="DQ60" s="489"/>
      <c r="DR60" s="489"/>
      <c r="DS60" s="489"/>
      <c r="DT60" s="489"/>
      <c r="DU60" s="489"/>
      <c r="DV60" s="489"/>
      <c r="DW60" s="489"/>
      <c r="DX60" s="482"/>
      <c r="DY60" s="482"/>
      <c r="DZ60" s="168"/>
      <c r="EA60" s="168"/>
      <c r="EB60" s="482"/>
      <c r="EC60" s="482"/>
      <c r="ED60" s="168"/>
      <c r="EE60" s="168"/>
      <c r="EF60" s="168"/>
      <c r="EG60" s="247"/>
      <c r="EH60" s="168"/>
      <c r="EI60" s="168"/>
      <c r="EJ60" s="502"/>
      <c r="EK60" s="247"/>
      <c r="EL60" s="247"/>
      <c r="EM60" s="168"/>
      <c r="EN60" s="168"/>
      <c r="EO60" s="247"/>
      <c r="EP60" s="247"/>
      <c r="EQ60" s="482"/>
      <c r="ER60" s="482"/>
      <c r="ES60" s="482"/>
      <c r="ET60" s="482"/>
      <c r="EU60" s="117"/>
      <c r="EV60" s="117"/>
      <c r="EW60" s="117"/>
      <c r="EX60" s="117"/>
      <c r="EY60" s="117"/>
      <c r="EZ60" s="117"/>
      <c r="FA60" s="117"/>
      <c r="FB60" s="117"/>
      <c r="FC60" s="117"/>
      <c r="FD60" s="117"/>
      <c r="FE60" s="117"/>
      <c r="FF60" s="117"/>
      <c r="FG60" s="117"/>
      <c r="FH60" s="117"/>
      <c r="FI60" s="117"/>
      <c r="FJ60" s="117"/>
      <c r="FK60" s="161"/>
      <c r="FL60" s="161"/>
      <c r="FM60" s="161"/>
      <c r="FN60" s="161"/>
      <c r="FO60" s="161"/>
      <c r="FP60" s="161"/>
      <c r="FQ60" s="161"/>
      <c r="FR60" s="161"/>
      <c r="FS60" s="161"/>
      <c r="FT60" s="161"/>
      <c r="FU60" s="161"/>
      <c r="FV60" s="161"/>
      <c r="FW60" s="161"/>
      <c r="FX60" s="161"/>
      <c r="FY60" s="161"/>
      <c r="FZ60" s="161"/>
      <c r="GA60" s="117"/>
      <c r="GB60" s="117"/>
      <c r="GC60" s="117"/>
      <c r="GD60" s="117"/>
      <c r="GE60" s="161"/>
      <c r="GF60" s="161"/>
      <c r="GG60" s="161"/>
      <c r="GH60" s="161"/>
      <c r="GI60" s="161"/>
      <c r="GJ60" s="161"/>
      <c r="GK60" s="161"/>
      <c r="GL60" s="161"/>
      <c r="GM60" s="161"/>
      <c r="GN60" s="161"/>
      <c r="GO60" s="161"/>
      <c r="GP60" s="161"/>
      <c r="GQ60" s="161"/>
      <c r="GR60" s="161"/>
      <c r="GS60" s="161"/>
      <c r="GT60" s="161"/>
      <c r="GU60" s="117"/>
      <c r="GV60" s="117"/>
      <c r="GW60" s="161"/>
      <c r="GX60" s="161"/>
      <c r="GY60" s="161"/>
      <c r="GZ60" s="161"/>
      <c r="HA60" s="161"/>
      <c r="HB60" s="161"/>
      <c r="HC60" s="117"/>
      <c r="HD60" s="117"/>
      <c r="HE60" s="161"/>
      <c r="HF60" s="161"/>
      <c r="HG60" s="161"/>
      <c r="HH60" s="161"/>
      <c r="HI60" s="161"/>
      <c r="HJ60" s="161"/>
      <c r="HK60" s="117"/>
      <c r="HL60" s="117"/>
      <c r="HM60" s="117"/>
      <c r="HN60" s="117"/>
      <c r="HO60" s="117"/>
      <c r="HP60" s="117"/>
      <c r="HQ60" s="117"/>
      <c r="HR60" s="117"/>
      <c r="HS60" s="117"/>
      <c r="HT60" s="117"/>
      <c r="HU60" s="117"/>
      <c r="HV60" s="117"/>
      <c r="HW60" s="117"/>
      <c r="HX60" s="117"/>
      <c r="HY60" s="117"/>
      <c r="HZ60" s="117"/>
      <c r="IA60" s="117"/>
      <c r="IB60" s="117"/>
      <c r="IC60" s="117"/>
      <c r="ID60" s="117"/>
      <c r="IE60" s="117"/>
      <c r="IF60" s="117"/>
      <c r="IG60" s="117"/>
      <c r="IH60" s="117"/>
      <c r="II60" s="117"/>
      <c r="IJ60" s="117"/>
      <c r="IK60" s="117"/>
      <c r="IL60" s="117"/>
      <c r="IM60" s="117"/>
      <c r="IN60" s="117"/>
      <c r="IO60" s="117"/>
      <c r="IP60" s="117"/>
      <c r="IQ60" s="117"/>
      <c r="IR60" s="117"/>
      <c r="IS60" s="117"/>
      <c r="IT60" s="117"/>
      <c r="IU60" s="161"/>
      <c r="IV60" s="161"/>
      <c r="IW60" s="161"/>
      <c r="IX60" s="161"/>
      <c r="IY60" s="161"/>
      <c r="IZ60" s="161"/>
      <c r="JA60" s="161"/>
      <c r="JB60" s="161"/>
      <c r="JC60" s="161"/>
      <c r="JD60" s="161"/>
      <c r="JE60" s="161"/>
      <c r="JF60" s="161"/>
      <c r="JG60" s="161"/>
      <c r="JH60" s="161"/>
      <c r="JI60" s="161"/>
      <c r="JJ60" s="161"/>
      <c r="JK60" s="161"/>
      <c r="JL60" s="161"/>
      <c r="JM60" s="161"/>
      <c r="JN60" s="161"/>
      <c r="JO60" s="161"/>
      <c r="JP60" s="161"/>
      <c r="JQ60" s="161"/>
      <c r="JR60" s="161"/>
      <c r="JS60" s="161"/>
      <c r="JT60" s="161"/>
      <c r="JU60" s="117"/>
      <c r="JV60" s="117"/>
      <c r="JW60" s="117"/>
      <c r="JX60" s="117"/>
      <c r="JY60" s="161"/>
      <c r="JZ60" s="161"/>
      <c r="KA60" s="161"/>
      <c r="KB60" s="161"/>
      <c r="KC60" s="117"/>
      <c r="KD60" s="117"/>
      <c r="KE60" s="161"/>
      <c r="KF60" s="161"/>
      <c r="KG60" s="161"/>
      <c r="KH60" s="161"/>
      <c r="KI60" s="161"/>
      <c r="KJ60" s="161"/>
      <c r="KK60" s="161"/>
      <c r="KL60" s="161"/>
      <c r="KM60" s="161"/>
      <c r="KN60" s="161"/>
      <c r="KO60" s="161"/>
      <c r="KP60" s="161"/>
      <c r="KQ60" s="161"/>
      <c r="KR60" s="161"/>
      <c r="KS60" s="161"/>
      <c r="KT60" s="161"/>
      <c r="KU60" s="117"/>
      <c r="KV60" s="117"/>
      <c r="KW60" s="161"/>
      <c r="KX60" s="161"/>
      <c r="KY60" s="161"/>
      <c r="KZ60" s="161"/>
      <c r="LA60" s="161"/>
      <c r="LB60" s="161"/>
      <c r="LC60" s="161"/>
      <c r="LD60" s="161"/>
      <c r="LE60" s="161"/>
      <c r="LF60" s="161"/>
      <c r="LG60" s="161"/>
      <c r="LH60" s="161"/>
      <c r="LI60" s="161"/>
      <c r="LJ60" s="161"/>
      <c r="LK60" s="161"/>
      <c r="LL60" s="161"/>
      <c r="LM60" s="161"/>
      <c r="LN60" s="161"/>
      <c r="LQ60" s="257"/>
      <c r="LR60" s="257"/>
      <c r="LS60" s="257"/>
      <c r="LT60" s="257"/>
      <c r="LU60" s="257"/>
      <c r="LV60" s="257"/>
      <c r="LW60" s="257"/>
      <c r="LX60" s="257"/>
      <c r="LY60" s="257"/>
      <c r="LZ60" s="257"/>
      <c r="MA60" s="257"/>
      <c r="MB60" s="257"/>
      <c r="MC60" s="257"/>
      <c r="MD60" s="257"/>
      <c r="ME60" s="257"/>
      <c r="MF60" s="257"/>
      <c r="MG60" s="257"/>
      <c r="MH60" s="257"/>
      <c r="MI60" s="257"/>
      <c r="MJ60" s="257"/>
      <c r="MK60" s="257"/>
      <c r="ML60" s="257"/>
      <c r="MM60" s="257"/>
      <c r="MN60" s="257"/>
      <c r="MO60" s="496"/>
      <c r="MP60" s="496"/>
      <c r="MQ60" s="496"/>
      <c r="MR60" s="496"/>
      <c r="MS60" s="496"/>
      <c r="MT60" s="496"/>
      <c r="MU60" s="496"/>
      <c r="MV60" s="496"/>
      <c r="MW60" s="496"/>
      <c r="MX60" s="496"/>
      <c r="MY60" s="496"/>
      <c r="MZ60" s="496"/>
      <c r="NA60" s="496"/>
      <c r="NB60" s="496"/>
      <c r="NC60" s="496"/>
      <c r="ND60" s="496"/>
    </row>
    <row r="61" spans="2:368">
      <c r="O61" s="1"/>
      <c r="P61" s="1"/>
      <c r="Q61" s="1"/>
      <c r="R61" s="1"/>
      <c r="S61" s="1"/>
      <c r="T61" s="1"/>
      <c r="U61" s="1"/>
      <c r="V61" s="1"/>
      <c r="W61" s="1"/>
      <c r="X61" s="1"/>
      <c r="DP61" s="133"/>
      <c r="DQ61" s="133"/>
      <c r="DR61" s="133"/>
      <c r="DS61" s="133"/>
      <c r="DT61" s="133"/>
      <c r="DU61" s="133"/>
      <c r="DV61" s="133"/>
      <c r="DW61" s="133"/>
    </row>
    <row r="62" spans="2:368">
      <c r="D62" s="66"/>
      <c r="J62" s="327"/>
      <c r="O62" s="6"/>
      <c r="P62" s="6"/>
      <c r="Q62" s="6"/>
      <c r="R62" s="6"/>
      <c r="S62" s="6"/>
      <c r="T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133"/>
      <c r="AJ62" s="133"/>
      <c r="AK62" s="133"/>
      <c r="AL62" s="133"/>
      <c r="AM62" s="133"/>
      <c r="AN62" s="133"/>
      <c r="AO62" s="133"/>
      <c r="AP62" s="133"/>
      <c r="AQ62" s="133"/>
      <c r="AR62" s="133"/>
      <c r="AU62" s="133"/>
      <c r="AV62" s="133"/>
      <c r="AW62" s="133"/>
      <c r="AX62" s="133"/>
      <c r="AY62" s="133"/>
      <c r="AZ62" s="133"/>
      <c r="BA62" s="133"/>
      <c r="BB62" s="133"/>
      <c r="BC62" s="6"/>
      <c r="BD62" s="8"/>
      <c r="BE62" s="133"/>
      <c r="BF62" s="133"/>
      <c r="BG62" s="133"/>
      <c r="BH62" s="133"/>
      <c r="BI62" s="143"/>
      <c r="BJ62" s="133"/>
      <c r="BK62" s="143"/>
      <c r="BL62" s="133"/>
      <c r="BM62" s="143"/>
      <c r="BN62" s="133"/>
      <c r="BO62" s="147"/>
      <c r="BP62" s="147"/>
      <c r="BR62" s="147"/>
      <c r="BS62" s="147"/>
      <c r="BT62" s="143"/>
      <c r="BU62" s="147"/>
      <c r="BV62" s="476"/>
      <c r="BW62" s="143"/>
      <c r="BX62" s="3"/>
      <c r="BY62" s="3"/>
      <c r="BZ62" s="157"/>
      <c r="CA62" s="157"/>
      <c r="CB62" s="157"/>
      <c r="CC62" s="158"/>
      <c r="CD62" s="157"/>
      <c r="CE62" s="477"/>
      <c r="CF62" s="157"/>
      <c r="CG62" s="157"/>
      <c r="CH62" s="157"/>
      <c r="CI62" s="157"/>
      <c r="CJ62" s="157"/>
      <c r="CK62" s="157"/>
      <c r="CL62" s="157"/>
      <c r="CM62" s="157"/>
      <c r="CN62" s="66"/>
      <c r="CO62" s="66"/>
      <c r="CP62" s="3"/>
      <c r="CQ62" s="60"/>
      <c r="CR62" s="3"/>
      <c r="CS62" s="3"/>
      <c r="CT62" s="6"/>
      <c r="CU62" s="6"/>
      <c r="CV62" s="4"/>
      <c r="CW62" s="4"/>
      <c r="CX62" s="157"/>
      <c r="CY62" s="157"/>
      <c r="CZ62" s="143"/>
      <c r="DA62" s="143"/>
      <c r="DB62" s="159"/>
      <c r="DC62" s="167"/>
      <c r="DD62" s="157"/>
      <c r="DE62" s="157"/>
      <c r="DF62" s="147"/>
      <c r="DG62" s="133"/>
      <c r="DH62" s="159"/>
      <c r="DI62" s="167"/>
      <c r="DJ62" s="157"/>
      <c r="DK62" s="157"/>
      <c r="DL62" s="143"/>
      <c r="DM62" s="143"/>
      <c r="DN62" s="147"/>
      <c r="DO62" s="147"/>
      <c r="DP62" s="133"/>
      <c r="DQ62" s="133"/>
      <c r="DR62" s="133"/>
      <c r="DS62" s="133"/>
      <c r="DT62" s="133"/>
      <c r="DU62" s="133"/>
      <c r="DV62" s="133"/>
      <c r="DW62" s="133"/>
      <c r="DX62" s="157"/>
      <c r="DY62" s="157"/>
      <c r="DZ62" s="147"/>
      <c r="EA62" s="147"/>
      <c r="EB62" s="157"/>
      <c r="EC62" s="157"/>
      <c r="ED62" s="147"/>
      <c r="EE62" s="147"/>
      <c r="EF62" s="147"/>
      <c r="EG62" s="143"/>
      <c r="EH62" s="147"/>
      <c r="EI62" s="147"/>
      <c r="EJ62" s="501"/>
      <c r="EK62" s="143"/>
      <c r="EL62" s="143"/>
      <c r="EM62" s="147"/>
      <c r="EN62" s="147"/>
      <c r="EO62" s="143"/>
      <c r="EP62" s="143"/>
      <c r="EQ62" s="157"/>
      <c r="ER62" s="157"/>
      <c r="ES62" s="157"/>
      <c r="ET62" s="157"/>
    </row>
    <row r="63" spans="2:368">
      <c r="D63" s="66"/>
      <c r="J63" s="327"/>
      <c r="O63" s="6"/>
      <c r="P63" s="6"/>
      <c r="Q63" s="6"/>
      <c r="R63" s="6"/>
      <c r="S63" s="6"/>
      <c r="T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133"/>
      <c r="AJ63" s="133"/>
      <c r="AK63" s="133"/>
      <c r="AL63" s="133"/>
      <c r="AM63" s="133"/>
      <c r="AN63" s="133"/>
      <c r="AO63" s="133"/>
      <c r="AP63" s="133"/>
      <c r="AQ63" s="133"/>
      <c r="AR63" s="133"/>
      <c r="AU63" s="133"/>
      <c r="AV63" s="133"/>
      <c r="AW63" s="133"/>
      <c r="AX63" s="133"/>
      <c r="AY63" s="133"/>
      <c r="AZ63" s="133"/>
      <c r="BA63" s="133"/>
      <c r="BB63" s="133"/>
      <c r="BC63" s="6"/>
      <c r="BD63" s="8"/>
      <c r="BE63" s="133"/>
      <c r="BF63" s="133"/>
      <c r="BG63" s="133"/>
      <c r="BH63" s="133"/>
      <c r="BI63" s="143"/>
      <c r="BJ63" s="133"/>
      <c r="BK63" s="143"/>
      <c r="BL63" s="133"/>
      <c r="BM63" s="143"/>
      <c r="BN63" s="133"/>
      <c r="BO63" s="147"/>
      <c r="BP63" s="147"/>
      <c r="BR63" s="147"/>
      <c r="BS63" s="147"/>
      <c r="BT63" s="143"/>
      <c r="BU63" s="147"/>
      <c r="BV63" s="476"/>
      <c r="BW63" s="143"/>
      <c r="BX63" s="3"/>
      <c r="BY63" s="3"/>
      <c r="BZ63" s="157"/>
      <c r="CA63" s="157"/>
      <c r="CB63" s="157"/>
      <c r="CC63" s="158"/>
      <c r="CD63" s="157"/>
      <c r="CE63" s="477"/>
      <c r="CF63" s="157"/>
      <c r="CG63" s="157"/>
      <c r="CH63" s="157"/>
      <c r="CI63" s="157"/>
      <c r="CJ63" s="157"/>
      <c r="CK63" s="157"/>
      <c r="CL63" s="157"/>
      <c r="CM63" s="157"/>
      <c r="CN63" s="66"/>
      <c r="CO63" s="66"/>
      <c r="CP63" s="3"/>
      <c r="CQ63" s="60"/>
      <c r="CR63" s="3"/>
      <c r="CS63" s="3"/>
      <c r="CT63" s="6"/>
      <c r="CU63" s="6"/>
      <c r="CV63" s="4"/>
      <c r="CW63" s="4"/>
      <c r="CX63" s="157"/>
      <c r="CY63" s="157"/>
      <c r="CZ63" s="143"/>
      <c r="DA63" s="143"/>
      <c r="DB63" s="159"/>
      <c r="DC63" s="167"/>
      <c r="DD63" s="157"/>
      <c r="DE63" s="157"/>
      <c r="DF63" s="147"/>
      <c r="DG63" s="133"/>
      <c r="DH63" s="159"/>
      <c r="DI63" s="167"/>
      <c r="DJ63" s="157"/>
      <c r="DK63" s="157"/>
      <c r="DL63" s="143"/>
      <c r="DM63" s="143"/>
      <c r="DN63" s="147"/>
      <c r="DO63" s="147"/>
      <c r="DP63" s="133"/>
      <c r="DQ63" s="133"/>
      <c r="DR63" s="133"/>
      <c r="DS63" s="133"/>
      <c r="DT63" s="133"/>
      <c r="DU63" s="133"/>
      <c r="DV63" s="133"/>
      <c r="DW63" s="133"/>
      <c r="DX63" s="157"/>
      <c r="DY63" s="157"/>
      <c r="DZ63" s="147"/>
      <c r="EA63" s="147"/>
      <c r="EB63" s="157"/>
      <c r="EC63" s="157"/>
      <c r="ED63" s="147"/>
      <c r="EE63" s="147"/>
      <c r="EF63" s="147"/>
      <c r="EG63" s="143"/>
      <c r="EH63" s="147"/>
      <c r="EI63" s="147"/>
      <c r="EJ63" s="501"/>
      <c r="EK63" s="143"/>
      <c r="EL63" s="143"/>
      <c r="EM63" s="147"/>
      <c r="EN63" s="147"/>
      <c r="EO63" s="143"/>
      <c r="EP63" s="143"/>
      <c r="EQ63" s="157"/>
      <c r="ER63" s="157"/>
      <c r="ES63" s="157"/>
      <c r="ET63" s="157"/>
    </row>
    <row r="64" spans="2:368">
      <c r="D64" s="66"/>
      <c r="J64" s="327"/>
      <c r="O64" s="6"/>
      <c r="P64" s="6"/>
      <c r="Q64" s="6"/>
      <c r="R64" s="6"/>
      <c r="S64" s="6"/>
      <c r="T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133"/>
      <c r="AJ64" s="133"/>
      <c r="AK64" s="133"/>
      <c r="AL64" s="133"/>
      <c r="AM64" s="133"/>
      <c r="AN64" s="133"/>
      <c r="AO64" s="133"/>
      <c r="AP64" s="133"/>
      <c r="AQ64" s="133"/>
      <c r="AR64" s="133"/>
      <c r="AU64" s="133"/>
      <c r="AV64" s="133"/>
      <c r="AW64" s="133"/>
      <c r="AX64" s="133"/>
      <c r="AY64" s="133"/>
      <c r="AZ64" s="133"/>
      <c r="BA64" s="133"/>
      <c r="BB64" s="133"/>
      <c r="BC64" s="6"/>
      <c r="BD64" s="8"/>
      <c r="BE64" s="133"/>
      <c r="BF64" s="133"/>
      <c r="BG64" s="133"/>
      <c r="BH64" s="133"/>
      <c r="BI64" s="143"/>
      <c r="BJ64" s="133"/>
      <c r="BK64" s="143"/>
      <c r="BL64" s="133"/>
      <c r="BM64" s="143"/>
      <c r="BN64" s="133"/>
      <c r="BO64" s="147"/>
      <c r="BP64" s="147"/>
      <c r="BR64" s="147"/>
      <c r="BS64" s="147"/>
      <c r="BT64" s="143"/>
      <c r="BU64" s="147"/>
      <c r="BV64" s="476"/>
      <c r="BW64" s="143"/>
      <c r="BX64" s="3"/>
      <c r="BY64" s="3"/>
      <c r="BZ64" s="157"/>
      <c r="CA64" s="157"/>
      <c r="CB64" s="157"/>
      <c r="CC64" s="158"/>
      <c r="CD64" s="157"/>
      <c r="CE64" s="477"/>
      <c r="CF64" s="157"/>
      <c r="CG64" s="157"/>
      <c r="CH64" s="157"/>
      <c r="CI64" s="157"/>
      <c r="CJ64" s="157"/>
      <c r="CK64" s="157"/>
      <c r="CL64" s="157"/>
      <c r="CM64" s="157"/>
      <c r="CN64" s="66"/>
      <c r="CO64" s="66"/>
      <c r="CP64" s="3"/>
      <c r="CQ64" s="60"/>
      <c r="CR64" s="3"/>
      <c r="CS64" s="3"/>
      <c r="CT64" s="6"/>
      <c r="CU64" s="6"/>
      <c r="CV64" s="4"/>
      <c r="CW64" s="4"/>
      <c r="CX64" s="157"/>
      <c r="CY64" s="157"/>
      <c r="CZ64" s="143"/>
      <c r="DA64" s="143"/>
      <c r="DB64" s="159"/>
      <c r="DC64" s="167"/>
      <c r="DD64" s="157"/>
      <c r="DE64" s="157"/>
      <c r="DF64" s="147"/>
      <c r="DG64" s="133"/>
      <c r="DH64" s="159"/>
      <c r="DI64" s="167"/>
      <c r="DJ64" s="157"/>
      <c r="DK64" s="157"/>
      <c r="DL64" s="143"/>
      <c r="DM64" s="143"/>
      <c r="DN64" s="147"/>
      <c r="DO64" s="147"/>
      <c r="DP64" s="133"/>
      <c r="DQ64" s="133"/>
      <c r="DR64" s="133"/>
      <c r="DS64" s="133"/>
      <c r="DT64" s="133"/>
      <c r="DU64" s="133"/>
      <c r="DV64" s="133"/>
      <c r="DW64" s="133"/>
      <c r="DX64" s="157"/>
      <c r="DY64" s="157"/>
      <c r="DZ64" s="147"/>
      <c r="EA64" s="147"/>
      <c r="EB64" s="157"/>
      <c r="EC64" s="157"/>
      <c r="ED64" s="147"/>
      <c r="EE64" s="147"/>
      <c r="EF64" s="147"/>
      <c r="EG64" s="143"/>
      <c r="EH64" s="147"/>
      <c r="EI64" s="147"/>
      <c r="EJ64" s="501"/>
      <c r="EK64" s="143"/>
      <c r="EL64" s="143"/>
      <c r="EM64" s="147"/>
      <c r="EN64" s="147"/>
      <c r="EO64" s="143"/>
      <c r="EP64" s="143"/>
      <c r="EQ64" s="157"/>
      <c r="ER64" s="157"/>
      <c r="ES64" s="157"/>
      <c r="ET64" s="157"/>
    </row>
    <row r="65" spans="4:150">
      <c r="D65" s="66"/>
      <c r="J65" s="327"/>
      <c r="O65" s="6"/>
      <c r="P65" s="6"/>
      <c r="Q65" s="6"/>
      <c r="R65" s="6"/>
      <c r="S65" s="6"/>
      <c r="T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133"/>
      <c r="AJ65" s="133"/>
      <c r="AK65" s="133"/>
      <c r="AL65" s="133"/>
      <c r="AM65" s="133"/>
      <c r="AN65" s="133"/>
      <c r="AO65" s="133"/>
      <c r="AP65" s="133"/>
      <c r="AQ65" s="133"/>
      <c r="AR65" s="133"/>
      <c r="AU65" s="133"/>
      <c r="AV65" s="133"/>
      <c r="AW65" s="133"/>
      <c r="AX65" s="133"/>
      <c r="AY65" s="133"/>
      <c r="AZ65" s="133"/>
      <c r="BA65" s="133"/>
      <c r="BB65" s="133"/>
      <c r="BC65" s="6"/>
      <c r="BD65" s="8"/>
      <c r="BE65" s="133"/>
      <c r="BF65" s="133"/>
      <c r="BG65" s="133"/>
      <c r="BH65" s="133"/>
      <c r="BI65" s="143"/>
      <c r="BJ65" s="133"/>
      <c r="BK65" s="143"/>
      <c r="BL65" s="133"/>
      <c r="BM65" s="143"/>
      <c r="BN65" s="133"/>
      <c r="BO65" s="147"/>
      <c r="BP65" s="147"/>
      <c r="BR65" s="147"/>
      <c r="BS65" s="147"/>
      <c r="BT65" s="143"/>
      <c r="BU65" s="147"/>
      <c r="BV65" s="476"/>
      <c r="BW65" s="143"/>
      <c r="BX65" s="3"/>
      <c r="BY65" s="3"/>
      <c r="BZ65" s="157"/>
      <c r="CA65" s="157"/>
      <c r="CB65" s="157"/>
      <c r="CC65" s="158"/>
      <c r="CD65" s="157"/>
      <c r="CE65" s="477"/>
      <c r="CF65" s="157"/>
      <c r="CG65" s="157"/>
      <c r="CH65" s="157"/>
      <c r="CI65" s="157"/>
      <c r="CJ65" s="157"/>
      <c r="CK65" s="157"/>
      <c r="CL65" s="157"/>
      <c r="CM65" s="157"/>
      <c r="CN65" s="66"/>
      <c r="CO65" s="66"/>
      <c r="CP65" s="3"/>
      <c r="CQ65" s="60"/>
      <c r="CR65" s="3"/>
      <c r="CS65" s="3"/>
      <c r="CT65" s="6"/>
      <c r="CU65" s="6"/>
      <c r="CV65" s="4"/>
      <c r="CW65" s="4"/>
      <c r="CX65" s="157"/>
      <c r="CY65" s="157"/>
      <c r="CZ65" s="143"/>
      <c r="DA65" s="143"/>
      <c r="DB65" s="159"/>
      <c r="DC65" s="167"/>
      <c r="DD65" s="157"/>
      <c r="DE65" s="157"/>
      <c r="DF65" s="147"/>
      <c r="DG65" s="133"/>
      <c r="DH65" s="159"/>
      <c r="DI65" s="167"/>
      <c r="DJ65" s="157"/>
      <c r="DK65" s="157"/>
      <c r="DL65" s="143"/>
      <c r="DM65" s="143"/>
      <c r="DN65" s="147"/>
      <c r="DO65" s="147"/>
      <c r="DP65" s="133"/>
      <c r="DQ65" s="133"/>
      <c r="DR65" s="133"/>
      <c r="DS65" s="133"/>
      <c r="DT65" s="133"/>
      <c r="DU65" s="133"/>
      <c r="DV65" s="133"/>
      <c r="DW65" s="133"/>
      <c r="DX65" s="157"/>
      <c r="DY65" s="157"/>
      <c r="DZ65" s="147"/>
      <c r="EA65" s="147"/>
      <c r="EB65" s="157"/>
      <c r="EC65" s="157"/>
      <c r="ED65" s="147"/>
      <c r="EE65" s="147"/>
      <c r="EF65" s="147"/>
      <c r="EG65" s="143"/>
      <c r="EH65" s="147"/>
      <c r="EI65" s="147"/>
      <c r="EJ65" s="501"/>
      <c r="EK65" s="143"/>
      <c r="EL65" s="143"/>
      <c r="EM65" s="147"/>
      <c r="EN65" s="147"/>
      <c r="EO65" s="143"/>
      <c r="EP65" s="143"/>
      <c r="EQ65" s="157"/>
      <c r="ER65" s="157"/>
      <c r="ES65" s="157"/>
      <c r="ET65" s="157"/>
    </row>
    <row r="66" spans="4:150">
      <c r="D66" s="66"/>
      <c r="J66" s="327"/>
      <c r="O66" s="6"/>
      <c r="P66" s="6"/>
      <c r="Q66" s="6"/>
      <c r="R66" s="6"/>
      <c r="S66" s="6"/>
      <c r="T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133"/>
      <c r="AJ66" s="133"/>
      <c r="AK66" s="133"/>
      <c r="AL66" s="133"/>
      <c r="AM66" s="133"/>
      <c r="AN66" s="133"/>
      <c r="AO66" s="133"/>
      <c r="AP66" s="133"/>
      <c r="AQ66" s="133"/>
      <c r="AR66" s="133"/>
      <c r="AU66" s="133"/>
      <c r="AV66" s="133"/>
      <c r="AW66" s="133"/>
      <c r="AX66" s="133"/>
      <c r="AY66" s="133"/>
      <c r="AZ66" s="133"/>
      <c r="BA66" s="133"/>
      <c r="BB66" s="133"/>
      <c r="BC66" s="6"/>
      <c r="BD66" s="8"/>
      <c r="BE66" s="133"/>
      <c r="BF66" s="133"/>
      <c r="BG66" s="133"/>
      <c r="BH66" s="133"/>
      <c r="BI66" s="143"/>
      <c r="BJ66" s="133"/>
      <c r="BK66" s="143"/>
      <c r="BL66" s="133"/>
      <c r="BM66" s="143"/>
      <c r="BN66" s="133"/>
      <c r="BO66" s="147"/>
      <c r="BP66" s="147"/>
      <c r="BR66" s="147"/>
      <c r="BS66" s="147"/>
      <c r="BT66" s="143"/>
      <c r="BU66" s="147"/>
      <c r="BV66" s="476"/>
      <c r="BW66" s="143"/>
      <c r="BX66" s="3"/>
      <c r="BY66" s="3"/>
      <c r="BZ66" s="157"/>
      <c r="CA66" s="157"/>
      <c r="CB66" s="157"/>
      <c r="CC66" s="158"/>
      <c r="CD66" s="157"/>
      <c r="CE66" s="477"/>
      <c r="CF66" s="157"/>
      <c r="CG66" s="157"/>
      <c r="CH66" s="157"/>
      <c r="CI66" s="157"/>
      <c r="CJ66" s="157"/>
      <c r="CK66" s="157"/>
      <c r="CL66" s="157"/>
      <c r="CM66" s="157"/>
      <c r="CN66" s="66"/>
      <c r="CO66" s="66"/>
      <c r="CP66" s="3"/>
      <c r="CQ66" s="60"/>
      <c r="CR66" s="3"/>
      <c r="CS66" s="3"/>
      <c r="CT66" s="6"/>
      <c r="CU66" s="6"/>
      <c r="CV66" s="4"/>
      <c r="CW66" s="4"/>
      <c r="CX66" s="157"/>
      <c r="CY66" s="157"/>
      <c r="CZ66" s="143"/>
      <c r="DA66" s="143"/>
      <c r="DB66" s="159"/>
      <c r="DC66" s="167"/>
      <c r="DD66" s="157"/>
      <c r="DE66" s="157"/>
      <c r="DF66" s="147"/>
      <c r="DG66" s="133"/>
      <c r="DH66" s="159"/>
      <c r="DI66" s="167"/>
      <c r="DJ66" s="157"/>
      <c r="DK66" s="157"/>
      <c r="DL66" s="143"/>
      <c r="DM66" s="143"/>
      <c r="DN66" s="147"/>
      <c r="DO66" s="147"/>
      <c r="DP66" s="133"/>
      <c r="DQ66" s="133"/>
      <c r="DR66" s="133"/>
      <c r="DS66" s="133"/>
      <c r="DT66" s="133"/>
      <c r="DU66" s="133"/>
      <c r="DV66" s="133"/>
      <c r="DW66" s="133"/>
      <c r="DX66" s="157"/>
      <c r="DY66" s="157"/>
      <c r="DZ66" s="147"/>
      <c r="EA66" s="147"/>
      <c r="EB66" s="157"/>
      <c r="EC66" s="157"/>
      <c r="ED66" s="147"/>
      <c r="EE66" s="147"/>
      <c r="EF66" s="147"/>
      <c r="EG66" s="143"/>
      <c r="EH66" s="147"/>
      <c r="EI66" s="147"/>
      <c r="EJ66" s="501"/>
      <c r="EK66" s="143"/>
      <c r="EL66" s="143"/>
      <c r="EM66" s="147"/>
      <c r="EN66" s="147"/>
      <c r="EO66" s="143"/>
      <c r="EP66" s="143"/>
      <c r="EQ66" s="157"/>
      <c r="ER66" s="157"/>
      <c r="ES66" s="157"/>
      <c r="ET66" s="157"/>
    </row>
    <row r="67" spans="4:150">
      <c r="D67" s="66"/>
      <c r="J67" s="327"/>
      <c r="O67" s="6"/>
      <c r="P67" s="6"/>
      <c r="Q67" s="6"/>
      <c r="R67" s="6"/>
      <c r="S67" s="6"/>
      <c r="T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133"/>
      <c r="AJ67" s="133"/>
      <c r="AK67" s="133"/>
      <c r="AL67" s="133"/>
      <c r="AM67" s="133"/>
      <c r="AN67" s="133"/>
      <c r="AO67" s="133"/>
      <c r="AP67" s="133"/>
      <c r="AQ67" s="133"/>
      <c r="AR67" s="133"/>
      <c r="AU67" s="133"/>
      <c r="AV67" s="133"/>
      <c r="AW67" s="133"/>
      <c r="AX67" s="133"/>
      <c r="AY67" s="133"/>
      <c r="AZ67" s="133"/>
      <c r="BA67" s="133"/>
      <c r="BB67" s="133"/>
      <c r="BC67" s="6"/>
      <c r="BD67" s="8"/>
      <c r="BE67" s="133"/>
      <c r="BF67" s="133"/>
      <c r="BG67" s="133"/>
      <c r="BH67" s="133"/>
      <c r="BI67" s="143"/>
      <c r="BJ67" s="133"/>
      <c r="BK67" s="143"/>
      <c r="BL67" s="133"/>
      <c r="BM67" s="143"/>
      <c r="BN67" s="133"/>
      <c r="BO67" s="147"/>
      <c r="BP67" s="147"/>
      <c r="BR67" s="147"/>
      <c r="BS67" s="147"/>
      <c r="BT67" s="143"/>
      <c r="BU67" s="147"/>
      <c r="BV67" s="476"/>
      <c r="BW67" s="143"/>
      <c r="BX67" s="3"/>
      <c r="BY67" s="3"/>
      <c r="BZ67" s="157"/>
      <c r="CA67" s="157"/>
      <c r="CB67" s="157"/>
      <c r="CC67" s="158"/>
      <c r="CD67" s="157"/>
      <c r="CE67" s="477"/>
      <c r="CF67" s="157"/>
      <c r="CG67" s="157"/>
      <c r="CH67" s="157"/>
      <c r="CI67" s="157"/>
      <c r="CJ67" s="157"/>
      <c r="CK67" s="157"/>
      <c r="CL67" s="157"/>
      <c r="CM67" s="157"/>
      <c r="CN67" s="66"/>
      <c r="CO67" s="66"/>
      <c r="CP67" s="3"/>
      <c r="CQ67" s="60"/>
      <c r="CR67" s="3"/>
      <c r="CS67" s="3"/>
      <c r="CT67" s="6"/>
      <c r="CU67" s="6"/>
      <c r="CV67" s="4"/>
      <c r="CW67" s="4"/>
      <c r="CX67" s="157"/>
      <c r="CY67" s="157"/>
      <c r="CZ67" s="143"/>
      <c r="DA67" s="143"/>
      <c r="DB67" s="159"/>
      <c r="DC67" s="167"/>
      <c r="DD67" s="157"/>
      <c r="DE67" s="157"/>
      <c r="DF67" s="147"/>
      <c r="DG67" s="133"/>
      <c r="DH67" s="159"/>
      <c r="DI67" s="167"/>
      <c r="DJ67" s="157"/>
      <c r="DK67" s="157"/>
      <c r="DL67" s="143"/>
      <c r="DM67" s="143"/>
      <c r="DN67" s="147"/>
      <c r="DO67" s="147"/>
      <c r="DP67" s="133"/>
      <c r="DQ67" s="133"/>
      <c r="DR67" s="133"/>
      <c r="DS67" s="133"/>
      <c r="DT67" s="133"/>
      <c r="DU67" s="133"/>
      <c r="DV67" s="133"/>
      <c r="DW67" s="133"/>
      <c r="DX67" s="157"/>
      <c r="DY67" s="157"/>
      <c r="DZ67" s="147"/>
      <c r="EA67" s="147"/>
      <c r="EB67" s="157"/>
      <c r="EC67" s="157"/>
      <c r="ED67" s="147"/>
      <c r="EE67" s="147"/>
      <c r="EF67" s="147"/>
      <c r="EG67" s="143"/>
      <c r="EH67" s="147"/>
      <c r="EI67" s="147"/>
      <c r="EJ67" s="501"/>
      <c r="EK67" s="143"/>
      <c r="EL67" s="143"/>
      <c r="EM67" s="147"/>
      <c r="EN67" s="147"/>
      <c r="EO67" s="143"/>
      <c r="EP67" s="143"/>
      <c r="EQ67" s="157"/>
      <c r="ER67" s="157"/>
      <c r="ES67" s="157"/>
      <c r="ET67" s="157"/>
    </row>
    <row r="68" spans="4:150">
      <c r="D68" s="66"/>
      <c r="J68" s="327"/>
      <c r="O68" s="6"/>
      <c r="P68" s="6"/>
      <c r="Q68" s="6"/>
      <c r="R68" s="6"/>
      <c r="S68" s="6"/>
      <c r="T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133"/>
      <c r="AJ68" s="133"/>
      <c r="AK68" s="133"/>
      <c r="AL68" s="133"/>
      <c r="AM68" s="133"/>
      <c r="AN68" s="133"/>
      <c r="AO68" s="133"/>
      <c r="AP68" s="133"/>
      <c r="AQ68" s="133"/>
      <c r="AR68" s="133"/>
      <c r="AU68" s="133"/>
      <c r="AV68" s="133"/>
      <c r="AW68" s="133"/>
      <c r="AX68" s="133"/>
      <c r="AY68" s="133"/>
      <c r="AZ68" s="133"/>
      <c r="BA68" s="133"/>
      <c r="BB68" s="133"/>
      <c r="BC68" s="6"/>
      <c r="BD68" s="8"/>
      <c r="BE68" s="133"/>
      <c r="BF68" s="133"/>
      <c r="BG68" s="133"/>
      <c r="BH68" s="133"/>
      <c r="BI68" s="143"/>
      <c r="BJ68" s="133"/>
      <c r="BK68" s="143"/>
      <c r="BL68" s="133"/>
      <c r="BM68" s="143"/>
      <c r="BN68" s="133"/>
      <c r="BO68" s="147"/>
      <c r="BP68" s="147"/>
      <c r="BR68" s="147"/>
      <c r="BS68" s="147"/>
      <c r="BT68" s="143"/>
      <c r="BU68" s="147"/>
      <c r="BV68" s="476"/>
      <c r="BW68" s="143"/>
      <c r="BX68" s="3"/>
      <c r="BY68" s="3"/>
      <c r="BZ68" s="157"/>
      <c r="CA68" s="157"/>
      <c r="CB68" s="157"/>
      <c r="CC68" s="158"/>
      <c r="CD68" s="157"/>
      <c r="CE68" s="477"/>
      <c r="CF68" s="157"/>
      <c r="CG68" s="157"/>
      <c r="CH68" s="157"/>
      <c r="CI68" s="157"/>
      <c r="CJ68" s="157"/>
      <c r="CK68" s="157"/>
      <c r="CL68" s="157"/>
      <c r="CM68" s="157"/>
      <c r="CN68" s="66"/>
      <c r="CO68" s="66"/>
      <c r="CP68" s="3"/>
      <c r="CQ68" s="60"/>
      <c r="CR68" s="3"/>
      <c r="CS68" s="3"/>
      <c r="CT68" s="6"/>
      <c r="CU68" s="6"/>
      <c r="CV68" s="4"/>
      <c r="CW68" s="4"/>
      <c r="CX68" s="157"/>
      <c r="CY68" s="157"/>
      <c r="CZ68" s="143"/>
      <c r="DA68" s="143"/>
      <c r="DB68" s="159"/>
      <c r="DC68" s="167"/>
      <c r="DD68" s="157"/>
      <c r="DE68" s="157"/>
      <c r="DF68" s="147"/>
      <c r="DG68" s="133"/>
      <c r="DH68" s="159"/>
      <c r="DI68" s="167"/>
      <c r="DJ68" s="157"/>
      <c r="DK68" s="157"/>
      <c r="DL68" s="143"/>
      <c r="DM68" s="143"/>
      <c r="DN68" s="147"/>
      <c r="DO68" s="147"/>
      <c r="DP68" s="133"/>
      <c r="DQ68" s="133"/>
      <c r="DR68" s="133"/>
      <c r="DS68" s="133"/>
      <c r="DT68" s="133"/>
      <c r="DU68" s="133"/>
      <c r="DV68" s="133"/>
      <c r="DW68" s="133"/>
      <c r="DX68" s="157"/>
      <c r="DY68" s="157"/>
      <c r="DZ68" s="147"/>
      <c r="EA68" s="147"/>
      <c r="EB68" s="157"/>
      <c r="EC68" s="157"/>
      <c r="ED68" s="147"/>
      <c r="EE68" s="147"/>
      <c r="EF68" s="147"/>
      <c r="EG68" s="143"/>
      <c r="EH68" s="147"/>
      <c r="EI68" s="147"/>
      <c r="EJ68" s="501"/>
      <c r="EK68" s="143"/>
      <c r="EL68" s="143"/>
      <c r="EM68" s="147"/>
      <c r="EN68" s="147"/>
      <c r="EO68" s="143"/>
      <c r="EP68" s="143"/>
      <c r="EQ68" s="157"/>
      <c r="ER68" s="157"/>
      <c r="ES68" s="157"/>
      <c r="ET68" s="157"/>
    </row>
    <row r="69" spans="4:150">
      <c r="D69" s="66"/>
      <c r="J69" s="327"/>
      <c r="O69" s="6"/>
      <c r="P69" s="6"/>
      <c r="Q69" s="6"/>
      <c r="R69" s="6"/>
      <c r="S69" s="6"/>
      <c r="T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133"/>
      <c r="AJ69" s="133"/>
      <c r="AK69" s="133"/>
      <c r="AL69" s="133"/>
      <c r="AM69" s="133"/>
      <c r="AN69" s="133"/>
      <c r="AO69" s="133"/>
      <c r="AP69" s="133"/>
      <c r="AQ69" s="133"/>
      <c r="AR69" s="133"/>
      <c r="AU69" s="133"/>
      <c r="AV69" s="133"/>
      <c r="AW69" s="133"/>
      <c r="AX69" s="133"/>
      <c r="AY69" s="133"/>
      <c r="AZ69" s="133"/>
      <c r="BA69" s="133"/>
      <c r="BB69" s="133"/>
      <c r="BC69" s="6"/>
      <c r="BD69" s="8"/>
      <c r="BE69" s="133"/>
      <c r="BF69" s="133"/>
      <c r="BG69" s="133"/>
      <c r="BH69" s="133"/>
      <c r="BI69" s="143"/>
      <c r="BJ69" s="133"/>
      <c r="BK69" s="143"/>
      <c r="BL69" s="133"/>
      <c r="BM69" s="143"/>
      <c r="BN69" s="133"/>
      <c r="BO69" s="147"/>
      <c r="BP69" s="147"/>
      <c r="BR69" s="147"/>
      <c r="BS69" s="147"/>
      <c r="BT69" s="143"/>
      <c r="BU69" s="147"/>
      <c r="BV69" s="476"/>
      <c r="BW69" s="143"/>
      <c r="BX69" s="3"/>
      <c r="BY69" s="3"/>
      <c r="BZ69" s="157"/>
      <c r="CA69" s="157"/>
      <c r="CB69" s="157"/>
      <c r="CC69" s="158"/>
      <c r="CD69" s="157"/>
      <c r="CE69" s="477"/>
      <c r="CF69" s="157"/>
      <c r="CG69" s="157"/>
      <c r="CH69" s="157"/>
      <c r="CI69" s="157"/>
      <c r="CJ69" s="157"/>
      <c r="CK69" s="157"/>
      <c r="CL69" s="157"/>
      <c r="CM69" s="157"/>
      <c r="CN69" s="66"/>
      <c r="CO69" s="66"/>
      <c r="CP69" s="3"/>
      <c r="CQ69" s="60"/>
      <c r="CR69" s="3"/>
      <c r="CS69" s="3"/>
      <c r="CT69" s="6"/>
      <c r="CU69" s="6"/>
      <c r="CV69" s="4"/>
      <c r="CW69" s="4"/>
      <c r="CX69" s="157"/>
      <c r="CY69" s="157"/>
      <c r="CZ69" s="143"/>
      <c r="DA69" s="143"/>
      <c r="DB69" s="159"/>
      <c r="DC69" s="167"/>
      <c r="DD69" s="157"/>
      <c r="DE69" s="157"/>
      <c r="DF69" s="147"/>
      <c r="DG69" s="133"/>
      <c r="DH69" s="159"/>
      <c r="DI69" s="167"/>
      <c r="DJ69" s="157"/>
      <c r="DK69" s="157"/>
      <c r="DL69" s="143"/>
      <c r="DM69" s="143"/>
      <c r="DN69" s="147"/>
      <c r="DO69" s="147"/>
      <c r="DP69" s="133"/>
      <c r="DQ69" s="133"/>
      <c r="DR69" s="133"/>
      <c r="DS69" s="133"/>
      <c r="DT69" s="133"/>
      <c r="DU69" s="133"/>
      <c r="DV69" s="133"/>
      <c r="DW69" s="133"/>
      <c r="DX69" s="157"/>
      <c r="DY69" s="157"/>
      <c r="DZ69" s="147"/>
      <c r="EA69" s="147"/>
      <c r="EB69" s="157"/>
      <c r="EC69" s="157"/>
      <c r="ED69" s="147"/>
      <c r="EE69" s="147"/>
      <c r="EF69" s="147"/>
      <c r="EG69" s="143"/>
      <c r="EH69" s="147"/>
      <c r="EI69" s="147"/>
      <c r="EJ69" s="501"/>
      <c r="EK69" s="143"/>
      <c r="EL69" s="143"/>
      <c r="EM69" s="147"/>
      <c r="EN69" s="147"/>
      <c r="EO69" s="143"/>
      <c r="EP69" s="143"/>
      <c r="EQ69" s="157"/>
      <c r="ER69" s="157"/>
      <c r="ES69" s="157"/>
      <c r="ET69" s="157"/>
    </row>
    <row r="70" spans="4:150">
      <c r="D70" s="66"/>
      <c r="J70" s="327"/>
      <c r="O70" s="6"/>
      <c r="P70" s="6"/>
      <c r="Q70" s="6"/>
      <c r="R70" s="6"/>
      <c r="S70" s="6"/>
      <c r="T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133"/>
      <c r="AJ70" s="133"/>
      <c r="AK70" s="133"/>
      <c r="AL70" s="133"/>
      <c r="AM70" s="133"/>
      <c r="AN70" s="133"/>
      <c r="AO70" s="133"/>
      <c r="AP70" s="133"/>
      <c r="AQ70" s="133"/>
      <c r="AR70" s="133"/>
      <c r="AU70" s="133"/>
      <c r="AV70" s="133"/>
      <c r="AW70" s="133"/>
      <c r="AX70" s="133"/>
      <c r="AY70" s="133"/>
      <c r="AZ70" s="133"/>
      <c r="BA70" s="133"/>
      <c r="BB70" s="133"/>
      <c r="BC70" s="6"/>
      <c r="BD70" s="8"/>
      <c r="BE70" s="133"/>
      <c r="BF70" s="133"/>
      <c r="BG70" s="133"/>
      <c r="BH70" s="133"/>
      <c r="BI70" s="143"/>
      <c r="BJ70" s="133"/>
      <c r="BK70" s="143"/>
      <c r="BL70" s="133"/>
      <c r="BM70" s="143"/>
      <c r="BN70" s="133"/>
      <c r="BO70" s="147"/>
      <c r="BP70" s="147"/>
      <c r="BR70" s="147"/>
      <c r="BS70" s="147"/>
      <c r="BT70" s="143"/>
      <c r="BU70" s="147"/>
      <c r="BV70" s="476"/>
      <c r="BW70" s="143"/>
      <c r="BX70" s="3"/>
      <c r="BY70" s="3"/>
      <c r="BZ70" s="157"/>
      <c r="CA70" s="157"/>
      <c r="CB70" s="157"/>
      <c r="CC70" s="158"/>
      <c r="CD70" s="157"/>
      <c r="CE70" s="477"/>
      <c r="CF70" s="157"/>
      <c r="CG70" s="157"/>
      <c r="CH70" s="157"/>
      <c r="CI70" s="157"/>
      <c r="CJ70" s="157"/>
      <c r="CK70" s="157"/>
      <c r="CL70" s="157"/>
      <c r="CM70" s="157"/>
      <c r="CN70" s="66"/>
      <c r="CO70" s="66"/>
      <c r="CP70" s="3"/>
      <c r="CQ70" s="60"/>
      <c r="CR70" s="3"/>
      <c r="CS70" s="3"/>
      <c r="CT70" s="6"/>
      <c r="CU70" s="6"/>
      <c r="CV70" s="4"/>
      <c r="CW70" s="4"/>
      <c r="CX70" s="157"/>
      <c r="CY70" s="157"/>
      <c r="CZ70" s="143"/>
      <c r="DA70" s="143"/>
      <c r="DB70" s="159"/>
      <c r="DC70" s="167"/>
      <c r="DD70" s="157"/>
      <c r="DE70" s="157"/>
      <c r="DF70" s="147"/>
      <c r="DG70" s="133"/>
      <c r="DH70" s="159"/>
      <c r="DI70" s="167"/>
      <c r="DJ70" s="157"/>
      <c r="DK70" s="157"/>
      <c r="DL70" s="143"/>
      <c r="DM70" s="143"/>
      <c r="DN70" s="147"/>
      <c r="DO70" s="147"/>
      <c r="DP70" s="133"/>
      <c r="DQ70" s="133"/>
      <c r="DR70" s="133"/>
      <c r="DS70" s="133"/>
      <c r="DT70" s="133"/>
      <c r="DU70" s="133"/>
      <c r="DV70" s="133"/>
      <c r="DW70" s="133"/>
      <c r="DX70" s="157"/>
      <c r="DY70" s="157"/>
      <c r="DZ70" s="147"/>
      <c r="EA70" s="147"/>
      <c r="EB70" s="157"/>
      <c r="EC70" s="157"/>
      <c r="ED70" s="147"/>
      <c r="EE70" s="147"/>
      <c r="EF70" s="147"/>
      <c r="EG70" s="143"/>
      <c r="EH70" s="147"/>
      <c r="EI70" s="147"/>
      <c r="EJ70" s="501"/>
      <c r="EK70" s="143"/>
      <c r="EL70" s="143"/>
      <c r="EM70" s="147"/>
      <c r="EN70" s="147"/>
      <c r="EO70" s="143"/>
      <c r="EP70" s="143"/>
      <c r="EQ70" s="157"/>
      <c r="ER70" s="157"/>
      <c r="ES70" s="157"/>
      <c r="ET70" s="157"/>
    </row>
    <row r="71" spans="4:150">
      <c r="D71" s="66"/>
      <c r="J71" s="327"/>
      <c r="O71" s="6"/>
      <c r="P71" s="6"/>
      <c r="Q71" s="6"/>
      <c r="R71" s="6"/>
      <c r="S71" s="6"/>
      <c r="T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133"/>
      <c r="AJ71" s="133"/>
      <c r="AK71" s="133"/>
      <c r="AL71" s="133"/>
      <c r="AM71" s="133"/>
      <c r="AN71" s="133"/>
      <c r="AO71" s="133"/>
      <c r="AP71" s="133"/>
      <c r="AQ71" s="133"/>
      <c r="AR71" s="133"/>
      <c r="AU71" s="133"/>
      <c r="AV71" s="133"/>
      <c r="AW71" s="133"/>
      <c r="AX71" s="133"/>
      <c r="AY71" s="133"/>
      <c r="AZ71" s="133"/>
      <c r="BA71" s="133"/>
      <c r="BB71" s="133"/>
      <c r="BC71" s="6"/>
      <c r="BD71" s="8"/>
      <c r="BE71" s="133"/>
      <c r="BF71" s="133"/>
      <c r="BG71" s="133"/>
      <c r="BH71" s="133"/>
      <c r="BI71" s="143"/>
      <c r="BJ71" s="133"/>
      <c r="BK71" s="143"/>
      <c r="BL71" s="133"/>
      <c r="BM71" s="143"/>
      <c r="BN71" s="133"/>
      <c r="BO71" s="147"/>
      <c r="BP71" s="147"/>
      <c r="BR71" s="147"/>
      <c r="BS71" s="147"/>
      <c r="BT71" s="143"/>
      <c r="BU71" s="147"/>
      <c r="BV71" s="476"/>
      <c r="BW71" s="143"/>
      <c r="BX71" s="3"/>
      <c r="BY71" s="3"/>
      <c r="BZ71" s="157"/>
      <c r="CA71" s="157"/>
      <c r="CB71" s="157"/>
      <c r="CC71" s="158"/>
      <c r="CD71" s="157"/>
      <c r="CE71" s="477"/>
      <c r="CF71" s="157"/>
      <c r="CG71" s="157"/>
      <c r="CH71" s="157"/>
      <c r="CI71" s="157"/>
      <c r="CJ71" s="157"/>
      <c r="CK71" s="157"/>
      <c r="CL71" s="157"/>
      <c r="CM71" s="157"/>
      <c r="CN71" s="66"/>
      <c r="CO71" s="66"/>
      <c r="CP71" s="3"/>
      <c r="CQ71" s="60"/>
      <c r="CR71" s="3"/>
      <c r="CS71" s="3"/>
      <c r="CT71" s="6"/>
      <c r="CU71" s="6"/>
      <c r="CV71" s="4"/>
      <c r="CW71" s="4"/>
      <c r="CX71" s="157"/>
      <c r="CY71" s="157"/>
      <c r="CZ71" s="143"/>
      <c r="DA71" s="143"/>
      <c r="DB71" s="159"/>
      <c r="DC71" s="167"/>
      <c r="DD71" s="157"/>
      <c r="DE71" s="157"/>
      <c r="DF71" s="147"/>
      <c r="DG71" s="133"/>
      <c r="DH71" s="159"/>
      <c r="DI71" s="167"/>
      <c r="DJ71" s="157"/>
      <c r="DK71" s="157"/>
      <c r="DL71" s="143"/>
      <c r="DM71" s="143"/>
      <c r="DN71" s="147"/>
      <c r="DO71" s="147"/>
      <c r="DP71" s="133"/>
      <c r="DQ71" s="133"/>
      <c r="DR71" s="133"/>
      <c r="DS71" s="133"/>
      <c r="DT71" s="133"/>
      <c r="DU71" s="133"/>
      <c r="DV71" s="133"/>
      <c r="DW71" s="133"/>
      <c r="DX71" s="157"/>
      <c r="DY71" s="157"/>
      <c r="DZ71" s="147"/>
      <c r="EA71" s="147"/>
      <c r="EB71" s="157"/>
      <c r="EC71" s="157"/>
      <c r="ED71" s="147"/>
      <c r="EE71" s="147"/>
      <c r="EF71" s="147"/>
      <c r="EG71" s="143"/>
      <c r="EH71" s="147"/>
      <c r="EI71" s="147"/>
      <c r="EJ71" s="501"/>
      <c r="EK71" s="143"/>
      <c r="EL71" s="143"/>
      <c r="EM71" s="147"/>
      <c r="EN71" s="147"/>
      <c r="EO71" s="143"/>
      <c r="EP71" s="143"/>
      <c r="EQ71" s="157"/>
      <c r="ER71" s="157"/>
      <c r="ES71" s="157"/>
      <c r="ET71" s="157"/>
    </row>
    <row r="72" spans="4:150">
      <c r="D72" s="66"/>
      <c r="J72" s="327"/>
      <c r="O72" s="6"/>
      <c r="P72" s="6"/>
      <c r="Q72" s="6"/>
      <c r="R72" s="6"/>
      <c r="S72" s="6"/>
      <c r="T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133"/>
      <c r="AJ72" s="133"/>
      <c r="AK72" s="133"/>
      <c r="AL72" s="133"/>
      <c r="AM72" s="133"/>
      <c r="AN72" s="133"/>
      <c r="AO72" s="133"/>
      <c r="AP72" s="133"/>
      <c r="AQ72" s="133"/>
      <c r="AR72" s="133"/>
      <c r="AU72" s="133"/>
      <c r="AV72" s="133"/>
      <c r="AW72" s="133"/>
      <c r="AX72" s="133"/>
      <c r="AY72" s="133"/>
      <c r="AZ72" s="133"/>
      <c r="BA72" s="133"/>
      <c r="BB72" s="133"/>
      <c r="BC72" s="6"/>
      <c r="BD72" s="8"/>
      <c r="BE72" s="133"/>
      <c r="BF72" s="133"/>
      <c r="BG72" s="133"/>
      <c r="BH72" s="133"/>
      <c r="BI72" s="143"/>
      <c r="BJ72" s="133"/>
      <c r="BK72" s="143"/>
      <c r="BL72" s="133"/>
      <c r="BM72" s="143"/>
      <c r="BN72" s="133"/>
      <c r="BO72" s="147"/>
      <c r="BP72" s="147"/>
      <c r="BR72" s="147"/>
      <c r="BS72" s="147"/>
      <c r="BT72" s="143"/>
      <c r="BU72" s="147"/>
      <c r="BV72" s="476"/>
      <c r="BW72" s="143"/>
      <c r="BX72" s="3"/>
      <c r="BY72" s="3"/>
      <c r="BZ72" s="157"/>
      <c r="CA72" s="157"/>
      <c r="CB72" s="157"/>
      <c r="CC72" s="158"/>
      <c r="CD72" s="157"/>
      <c r="CE72" s="477"/>
      <c r="CF72" s="157"/>
      <c r="CG72" s="157"/>
      <c r="CH72" s="157"/>
      <c r="CI72" s="157"/>
      <c r="CJ72" s="157"/>
      <c r="CK72" s="157"/>
      <c r="CL72" s="157"/>
      <c r="CM72" s="157"/>
      <c r="CN72" s="66"/>
      <c r="CO72" s="66"/>
      <c r="CP72" s="3"/>
      <c r="CQ72" s="60"/>
      <c r="CR72" s="3"/>
      <c r="CS72" s="3"/>
      <c r="CT72" s="6"/>
      <c r="CU72" s="6"/>
      <c r="CV72" s="4"/>
      <c r="CW72" s="4"/>
      <c r="CX72" s="157"/>
      <c r="CY72" s="157"/>
      <c r="CZ72" s="143"/>
      <c r="DA72" s="143"/>
      <c r="DB72" s="159"/>
      <c r="DC72" s="167"/>
      <c r="DD72" s="157"/>
      <c r="DE72" s="157"/>
      <c r="DF72" s="147"/>
      <c r="DG72" s="133"/>
      <c r="DH72" s="159"/>
      <c r="DI72" s="167"/>
      <c r="DJ72" s="157"/>
      <c r="DK72" s="157"/>
      <c r="DL72" s="143"/>
      <c r="DM72" s="143"/>
      <c r="DN72" s="147"/>
      <c r="DO72" s="147"/>
      <c r="DP72" s="133"/>
      <c r="DQ72" s="133"/>
      <c r="DR72" s="133"/>
      <c r="DS72" s="133"/>
      <c r="DT72" s="133"/>
      <c r="DU72" s="133"/>
      <c r="DV72" s="133"/>
      <c r="DW72" s="133"/>
      <c r="DX72" s="157"/>
      <c r="DY72" s="157"/>
      <c r="DZ72" s="147"/>
      <c r="EA72" s="147"/>
      <c r="EB72" s="157"/>
      <c r="EC72" s="157"/>
      <c r="ED72" s="147"/>
      <c r="EE72" s="147"/>
      <c r="EF72" s="147"/>
      <c r="EG72" s="143"/>
      <c r="EH72" s="147"/>
      <c r="EI72" s="147"/>
      <c r="EJ72" s="501"/>
      <c r="EK72" s="143"/>
      <c r="EL72" s="143"/>
      <c r="EM72" s="147"/>
      <c r="EN72" s="147"/>
      <c r="EO72" s="143"/>
      <c r="EP72" s="143"/>
      <c r="EQ72" s="157"/>
      <c r="ER72" s="157"/>
      <c r="ES72" s="157"/>
      <c r="ET72" s="157"/>
    </row>
    <row r="73" spans="4:150">
      <c r="D73" s="66"/>
      <c r="J73" s="327"/>
      <c r="O73" s="6"/>
      <c r="P73" s="6"/>
      <c r="Q73" s="6"/>
      <c r="R73" s="6"/>
      <c r="S73" s="6"/>
      <c r="T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133"/>
      <c r="AJ73" s="133"/>
      <c r="AK73" s="133"/>
      <c r="AL73" s="133"/>
      <c r="AM73" s="133"/>
      <c r="AN73" s="133"/>
      <c r="AO73" s="133"/>
      <c r="AP73" s="133"/>
      <c r="AQ73" s="133"/>
      <c r="AR73" s="133"/>
      <c r="AU73" s="133"/>
      <c r="AV73" s="133"/>
      <c r="AW73" s="133"/>
      <c r="AX73" s="133"/>
      <c r="AY73" s="133"/>
      <c r="AZ73" s="133"/>
      <c r="BA73" s="133"/>
      <c r="BB73" s="133"/>
      <c r="BC73" s="6"/>
      <c r="BD73" s="8"/>
      <c r="BE73" s="133"/>
      <c r="BF73" s="133"/>
      <c r="BG73" s="133"/>
      <c r="BH73" s="133"/>
      <c r="BI73" s="143"/>
      <c r="BJ73" s="133"/>
      <c r="BK73" s="143"/>
      <c r="BL73" s="133"/>
      <c r="BM73" s="143"/>
      <c r="BN73" s="133"/>
      <c r="BO73" s="147"/>
      <c r="BP73" s="147"/>
      <c r="BR73" s="147"/>
      <c r="BS73" s="147"/>
      <c r="BT73" s="143"/>
      <c r="BU73" s="147"/>
      <c r="BV73" s="476"/>
      <c r="BW73" s="143"/>
      <c r="BX73" s="3"/>
      <c r="BY73" s="3"/>
      <c r="BZ73" s="157"/>
      <c r="CA73" s="157"/>
      <c r="CB73" s="157"/>
      <c r="CC73" s="158"/>
      <c r="CD73" s="157"/>
      <c r="CE73" s="477"/>
      <c r="CF73" s="157"/>
      <c r="CG73" s="157"/>
      <c r="CH73" s="157"/>
      <c r="CI73" s="157"/>
      <c r="CJ73" s="157"/>
      <c r="CK73" s="157"/>
      <c r="CL73" s="157"/>
      <c r="CM73" s="157"/>
      <c r="CN73" s="66"/>
      <c r="CO73" s="66"/>
      <c r="CP73" s="3"/>
      <c r="CQ73" s="60"/>
      <c r="CR73" s="3"/>
      <c r="CS73" s="3"/>
      <c r="CT73" s="6"/>
      <c r="CU73" s="6"/>
      <c r="CV73" s="4"/>
      <c r="CW73" s="4"/>
      <c r="CX73" s="157"/>
      <c r="CY73" s="157"/>
      <c r="CZ73" s="143"/>
      <c r="DA73" s="143"/>
      <c r="DB73" s="159"/>
      <c r="DC73" s="167"/>
      <c r="DD73" s="157"/>
      <c r="DE73" s="157"/>
      <c r="DF73" s="147"/>
      <c r="DG73" s="133"/>
      <c r="DH73" s="159"/>
      <c r="DI73" s="167"/>
      <c r="DJ73" s="157"/>
      <c r="DK73" s="157"/>
      <c r="DL73" s="143"/>
      <c r="DM73" s="143"/>
      <c r="DN73" s="147"/>
      <c r="DO73" s="147"/>
      <c r="DP73" s="133"/>
      <c r="DQ73" s="133"/>
      <c r="DR73" s="133"/>
      <c r="DS73" s="133"/>
      <c r="DT73" s="133"/>
      <c r="DU73" s="133"/>
      <c r="DV73" s="133"/>
      <c r="DW73" s="133"/>
      <c r="DX73" s="157"/>
      <c r="DY73" s="157"/>
      <c r="DZ73" s="147"/>
      <c r="EA73" s="147"/>
      <c r="EB73" s="157"/>
      <c r="EC73" s="157"/>
      <c r="ED73" s="147"/>
      <c r="EE73" s="147"/>
      <c r="EF73" s="147"/>
      <c r="EG73" s="143"/>
      <c r="EH73" s="147"/>
      <c r="EI73" s="147"/>
      <c r="EJ73" s="501"/>
      <c r="EK73" s="143"/>
      <c r="EL73" s="143"/>
      <c r="EM73" s="147"/>
      <c r="EN73" s="147"/>
      <c r="EO73" s="143"/>
      <c r="EP73" s="143"/>
      <c r="EQ73" s="157"/>
      <c r="ER73" s="157"/>
      <c r="ES73" s="157"/>
      <c r="ET73" s="157"/>
    </row>
    <row r="74" spans="4:150">
      <c r="D74" s="66"/>
      <c r="J74" s="327"/>
      <c r="O74" s="6"/>
      <c r="P74" s="6"/>
      <c r="Q74" s="6"/>
      <c r="R74" s="6"/>
      <c r="S74" s="6"/>
      <c r="T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133"/>
      <c r="AJ74" s="133"/>
      <c r="AK74" s="133"/>
      <c r="AL74" s="133"/>
      <c r="AM74" s="133"/>
      <c r="AN74" s="133"/>
      <c r="AO74" s="133"/>
      <c r="AP74" s="133"/>
      <c r="AQ74" s="133"/>
      <c r="AR74" s="133"/>
      <c r="AU74" s="133"/>
      <c r="AV74" s="133"/>
      <c r="AW74" s="133"/>
      <c r="AX74" s="133"/>
      <c r="AY74" s="133"/>
      <c r="AZ74" s="133"/>
      <c r="BA74" s="133"/>
      <c r="BB74" s="133"/>
      <c r="BC74" s="6"/>
      <c r="BD74" s="8"/>
      <c r="BE74" s="133"/>
      <c r="BF74" s="133"/>
      <c r="BG74" s="133"/>
      <c r="BH74" s="133"/>
      <c r="BI74" s="143"/>
      <c r="BJ74" s="133"/>
      <c r="BK74" s="143"/>
      <c r="BL74" s="133"/>
      <c r="BM74" s="143"/>
      <c r="BN74" s="133"/>
      <c r="BO74" s="147"/>
      <c r="BP74" s="147"/>
      <c r="BR74" s="147"/>
      <c r="BS74" s="147"/>
      <c r="BT74" s="143"/>
      <c r="BU74" s="147"/>
      <c r="BV74" s="476"/>
      <c r="BW74" s="143"/>
      <c r="BX74" s="3"/>
      <c r="BY74" s="3"/>
      <c r="BZ74" s="157"/>
      <c r="CA74" s="157"/>
      <c r="CB74" s="157"/>
      <c r="CC74" s="158"/>
      <c r="CD74" s="157"/>
      <c r="CE74" s="477"/>
      <c r="CF74" s="157"/>
      <c r="CG74" s="157"/>
      <c r="CH74" s="157"/>
      <c r="CI74" s="157"/>
      <c r="CJ74" s="157"/>
      <c r="CK74" s="157"/>
      <c r="CL74" s="157"/>
      <c r="CM74" s="157"/>
      <c r="CN74" s="66"/>
      <c r="CO74" s="66"/>
      <c r="CP74" s="3"/>
      <c r="CQ74" s="60"/>
      <c r="CR74" s="3"/>
      <c r="CS74" s="3"/>
      <c r="CT74" s="6"/>
      <c r="CU74" s="6"/>
      <c r="CV74" s="4"/>
      <c r="CW74" s="4"/>
      <c r="CX74" s="157"/>
      <c r="CY74" s="157"/>
      <c r="CZ74" s="143"/>
      <c r="DA74" s="143"/>
      <c r="DB74" s="159"/>
      <c r="DC74" s="167"/>
      <c r="DD74" s="157"/>
      <c r="DE74" s="157"/>
      <c r="DF74" s="147"/>
      <c r="DG74" s="133"/>
      <c r="DH74" s="159"/>
      <c r="DI74" s="167"/>
      <c r="DJ74" s="157"/>
      <c r="DK74" s="157"/>
      <c r="DL74" s="143"/>
      <c r="DM74" s="143"/>
      <c r="DN74" s="147"/>
      <c r="DO74" s="147"/>
      <c r="DP74" s="133"/>
      <c r="DQ74" s="133"/>
      <c r="DR74" s="133"/>
      <c r="DS74" s="133"/>
      <c r="DT74" s="133"/>
      <c r="DU74" s="133"/>
      <c r="DV74" s="133"/>
      <c r="DW74" s="133"/>
      <c r="DX74" s="157"/>
      <c r="DY74" s="157"/>
      <c r="DZ74" s="147"/>
      <c r="EA74" s="147"/>
      <c r="EB74" s="157"/>
      <c r="EC74" s="157"/>
      <c r="ED74" s="147"/>
      <c r="EE74" s="147"/>
      <c r="EF74" s="147"/>
      <c r="EG74" s="143"/>
      <c r="EH74" s="147"/>
      <c r="EI74" s="147"/>
      <c r="EJ74" s="501"/>
      <c r="EK74" s="143"/>
      <c r="EL74" s="143"/>
      <c r="EM74" s="147"/>
      <c r="EN74" s="147"/>
      <c r="EO74" s="143"/>
      <c r="EP74" s="143"/>
      <c r="EQ74" s="157"/>
      <c r="ER74" s="157"/>
      <c r="ES74" s="157"/>
      <c r="ET74" s="157"/>
    </row>
    <row r="75" spans="4:150">
      <c r="D75" s="66"/>
      <c r="J75" s="327"/>
      <c r="O75" s="6"/>
      <c r="P75" s="6"/>
      <c r="Q75" s="6"/>
      <c r="R75" s="6"/>
      <c r="S75" s="6"/>
      <c r="T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133"/>
      <c r="AJ75" s="133"/>
      <c r="AK75" s="133"/>
      <c r="AL75" s="133"/>
      <c r="AM75" s="133"/>
      <c r="AN75" s="133"/>
      <c r="AO75" s="133"/>
      <c r="AP75" s="133"/>
      <c r="AQ75" s="133"/>
      <c r="AR75" s="133"/>
      <c r="AU75" s="133"/>
      <c r="AV75" s="133"/>
      <c r="AW75" s="133"/>
      <c r="AX75" s="133"/>
      <c r="AY75" s="133"/>
      <c r="AZ75" s="133"/>
      <c r="BA75" s="133"/>
      <c r="BB75" s="133"/>
      <c r="BC75" s="6"/>
      <c r="BD75" s="8"/>
      <c r="BE75" s="133"/>
      <c r="BF75" s="133"/>
      <c r="BG75" s="133"/>
      <c r="BH75" s="133"/>
      <c r="BI75" s="143"/>
      <c r="BJ75" s="133"/>
      <c r="BK75" s="143"/>
      <c r="BL75" s="133"/>
      <c r="BM75" s="143"/>
      <c r="BN75" s="133"/>
      <c r="BO75" s="147"/>
      <c r="BP75" s="147"/>
      <c r="BR75" s="147"/>
      <c r="BS75" s="147"/>
      <c r="BT75" s="143"/>
      <c r="BU75" s="147"/>
      <c r="BV75" s="476"/>
      <c r="BW75" s="143"/>
      <c r="BX75" s="3"/>
      <c r="BY75" s="3"/>
      <c r="BZ75" s="157"/>
      <c r="CA75" s="157"/>
      <c r="CB75" s="157"/>
      <c r="CC75" s="158"/>
      <c r="CD75" s="157"/>
      <c r="CE75" s="477"/>
      <c r="CF75" s="157"/>
      <c r="CG75" s="157"/>
      <c r="CH75" s="157"/>
      <c r="CI75" s="157"/>
      <c r="CJ75" s="157"/>
      <c r="CK75" s="157"/>
      <c r="CL75" s="157"/>
      <c r="CM75" s="157"/>
      <c r="CN75" s="66"/>
      <c r="CO75" s="66"/>
      <c r="CP75" s="3"/>
      <c r="CQ75" s="60"/>
      <c r="CR75" s="3"/>
      <c r="CS75" s="3"/>
      <c r="CT75" s="6"/>
      <c r="CU75" s="6"/>
      <c r="CV75" s="4"/>
      <c r="CW75" s="4"/>
      <c r="CX75" s="157"/>
      <c r="CY75" s="157"/>
      <c r="CZ75" s="143"/>
      <c r="DA75" s="143"/>
      <c r="DB75" s="159"/>
      <c r="DC75" s="167"/>
      <c r="DD75" s="157"/>
      <c r="DE75" s="157"/>
      <c r="DF75" s="147"/>
      <c r="DG75" s="133"/>
      <c r="DH75" s="159"/>
      <c r="DI75" s="167"/>
      <c r="DJ75" s="157"/>
      <c r="DK75" s="157"/>
      <c r="DL75" s="143"/>
      <c r="DM75" s="143"/>
      <c r="DN75" s="147"/>
      <c r="DO75" s="147"/>
      <c r="DP75" s="133"/>
      <c r="DQ75" s="133"/>
      <c r="DR75" s="133"/>
      <c r="DS75" s="133"/>
      <c r="DT75" s="133"/>
      <c r="DU75" s="133"/>
      <c r="DV75" s="133"/>
      <c r="DW75" s="133"/>
      <c r="DX75" s="157"/>
      <c r="DY75" s="157"/>
      <c r="DZ75" s="147"/>
      <c r="EA75" s="147"/>
      <c r="EB75" s="157"/>
      <c r="EC75" s="157"/>
      <c r="ED75" s="147"/>
      <c r="EE75" s="147"/>
      <c r="EF75" s="147"/>
      <c r="EG75" s="143"/>
      <c r="EH75" s="147"/>
      <c r="EI75" s="147"/>
      <c r="EJ75" s="501"/>
      <c r="EK75" s="143"/>
      <c r="EL75" s="143"/>
      <c r="EM75" s="147"/>
      <c r="EN75" s="147"/>
      <c r="EO75" s="143"/>
      <c r="EP75" s="143"/>
      <c r="EQ75" s="157"/>
      <c r="ER75" s="157"/>
      <c r="ES75" s="157"/>
      <c r="ET75" s="157"/>
    </row>
    <row r="76" spans="4:150">
      <c r="D76" s="66"/>
      <c r="J76" s="327"/>
      <c r="O76" s="6"/>
      <c r="P76" s="6"/>
      <c r="Q76" s="6"/>
      <c r="R76" s="6"/>
      <c r="S76" s="6"/>
      <c r="T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133"/>
      <c r="AJ76" s="133"/>
      <c r="AK76" s="133"/>
      <c r="AL76" s="133"/>
      <c r="AM76" s="133"/>
      <c r="AN76" s="133"/>
      <c r="AO76" s="133"/>
      <c r="AP76" s="133"/>
      <c r="AQ76" s="133"/>
      <c r="AR76" s="133"/>
      <c r="AU76" s="133"/>
      <c r="AV76" s="133"/>
      <c r="AW76" s="133"/>
      <c r="AX76" s="133"/>
      <c r="AY76" s="133"/>
      <c r="AZ76" s="133"/>
      <c r="BA76" s="133"/>
      <c r="BB76" s="133"/>
      <c r="BC76" s="6"/>
      <c r="BD76" s="8"/>
      <c r="BE76" s="133"/>
      <c r="BF76" s="133"/>
      <c r="BG76" s="133"/>
      <c r="BH76" s="133"/>
      <c r="BI76" s="143"/>
      <c r="BJ76" s="133"/>
      <c r="BK76" s="143"/>
      <c r="BL76" s="133"/>
      <c r="BM76" s="143"/>
      <c r="BN76" s="133"/>
      <c r="BO76" s="147"/>
      <c r="BP76" s="147"/>
      <c r="BR76" s="147"/>
      <c r="BS76" s="147"/>
      <c r="BT76" s="143"/>
      <c r="BU76" s="147"/>
      <c r="BV76" s="476"/>
      <c r="BW76" s="143"/>
      <c r="BX76" s="3"/>
      <c r="BY76" s="3"/>
      <c r="BZ76" s="157"/>
      <c r="CA76" s="157"/>
      <c r="CB76" s="157"/>
      <c r="CC76" s="158"/>
      <c r="CD76" s="157"/>
      <c r="CE76" s="477"/>
      <c r="CF76" s="157"/>
      <c r="CG76" s="157"/>
      <c r="CH76" s="157"/>
      <c r="CI76" s="157"/>
      <c r="CJ76" s="157"/>
      <c r="CK76" s="157"/>
      <c r="CL76" s="157"/>
      <c r="CM76" s="157"/>
      <c r="CN76" s="66"/>
      <c r="CO76" s="66"/>
      <c r="CP76" s="3"/>
      <c r="CQ76" s="60"/>
      <c r="CR76" s="3"/>
      <c r="CS76" s="3"/>
      <c r="CT76" s="6"/>
      <c r="CU76" s="6"/>
      <c r="CV76" s="4"/>
      <c r="CW76" s="4"/>
      <c r="CX76" s="157"/>
      <c r="CY76" s="157"/>
      <c r="CZ76" s="143"/>
      <c r="DA76" s="143"/>
      <c r="DB76" s="159"/>
      <c r="DC76" s="167"/>
      <c r="DD76" s="157"/>
      <c r="DE76" s="157"/>
      <c r="DF76" s="147"/>
      <c r="DG76" s="133"/>
      <c r="DH76" s="159"/>
      <c r="DI76" s="167"/>
      <c r="DJ76" s="157"/>
      <c r="DK76" s="157"/>
      <c r="DL76" s="143"/>
      <c r="DM76" s="143"/>
      <c r="DN76" s="147"/>
      <c r="DO76" s="147"/>
      <c r="DP76" s="133"/>
      <c r="DQ76" s="133"/>
      <c r="DR76" s="133"/>
      <c r="DS76" s="133"/>
      <c r="DT76" s="133"/>
      <c r="DU76" s="133"/>
      <c r="DV76" s="133"/>
      <c r="DW76" s="133"/>
      <c r="DX76" s="157"/>
      <c r="DY76" s="157"/>
      <c r="DZ76" s="147"/>
      <c r="EA76" s="147"/>
      <c r="EB76" s="157"/>
      <c r="EC76" s="157"/>
      <c r="ED76" s="147"/>
      <c r="EE76" s="147"/>
      <c r="EF76" s="147"/>
      <c r="EG76" s="143"/>
      <c r="EH76" s="147"/>
      <c r="EI76" s="147"/>
      <c r="EJ76" s="501"/>
      <c r="EK76" s="143"/>
      <c r="EL76" s="143"/>
      <c r="EM76" s="147"/>
      <c r="EN76" s="147"/>
      <c r="EO76" s="143"/>
      <c r="EP76" s="143"/>
      <c r="EQ76" s="157"/>
      <c r="ER76" s="157"/>
      <c r="ES76" s="157"/>
      <c r="ET76" s="157"/>
    </row>
    <row r="77" spans="4:150">
      <c r="D77" s="66"/>
      <c r="J77" s="327"/>
      <c r="O77" s="6"/>
      <c r="P77" s="6"/>
      <c r="Q77" s="6"/>
      <c r="R77" s="6"/>
      <c r="S77" s="6"/>
      <c r="T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133"/>
      <c r="AJ77" s="133"/>
      <c r="AK77" s="133"/>
      <c r="AL77" s="133"/>
      <c r="AM77" s="133"/>
      <c r="AN77" s="133"/>
      <c r="AO77" s="133"/>
      <c r="AP77" s="133"/>
      <c r="AQ77" s="133"/>
      <c r="AR77" s="133"/>
      <c r="AU77" s="133"/>
      <c r="AV77" s="133"/>
      <c r="AW77" s="133"/>
      <c r="AX77" s="133"/>
      <c r="AY77" s="133"/>
      <c r="AZ77" s="133"/>
      <c r="BA77" s="133"/>
      <c r="BB77" s="133"/>
      <c r="BC77" s="6"/>
      <c r="BD77" s="8"/>
      <c r="BE77" s="133"/>
      <c r="BF77" s="133"/>
      <c r="BG77" s="133"/>
      <c r="BH77" s="133"/>
      <c r="BI77" s="143"/>
      <c r="BJ77" s="133"/>
      <c r="BK77" s="143"/>
      <c r="BL77" s="133"/>
      <c r="BM77" s="143"/>
      <c r="BN77" s="133"/>
      <c r="BO77" s="147"/>
      <c r="BP77" s="147"/>
      <c r="BR77" s="147"/>
      <c r="BS77" s="147"/>
      <c r="BT77" s="143"/>
      <c r="BU77" s="147"/>
      <c r="BV77" s="476"/>
      <c r="BW77" s="143"/>
      <c r="BX77" s="3"/>
      <c r="BY77" s="3"/>
      <c r="BZ77" s="157"/>
      <c r="CA77" s="157"/>
      <c r="CB77" s="157"/>
      <c r="CC77" s="158"/>
      <c r="CD77" s="157"/>
      <c r="CE77" s="477"/>
      <c r="CF77" s="157"/>
      <c r="CG77" s="157"/>
      <c r="CH77" s="157"/>
      <c r="CI77" s="157"/>
      <c r="CJ77" s="157"/>
      <c r="CK77" s="157"/>
      <c r="CL77" s="157"/>
      <c r="CM77" s="157"/>
      <c r="CN77" s="66"/>
      <c r="CO77" s="66"/>
      <c r="CP77" s="3"/>
      <c r="CQ77" s="60"/>
      <c r="CR77" s="3"/>
      <c r="CS77" s="3"/>
      <c r="CT77" s="6"/>
      <c r="CU77" s="6"/>
      <c r="CV77" s="4"/>
      <c r="CW77" s="4"/>
      <c r="CX77" s="157"/>
      <c r="CY77" s="157"/>
      <c r="CZ77" s="143"/>
      <c r="DA77" s="143"/>
      <c r="DB77" s="159"/>
      <c r="DC77" s="167"/>
      <c r="DD77" s="157"/>
      <c r="DE77" s="157"/>
      <c r="DF77" s="147"/>
      <c r="DG77" s="133"/>
      <c r="DH77" s="159"/>
      <c r="DI77" s="167"/>
      <c r="DJ77" s="157"/>
      <c r="DK77" s="157"/>
      <c r="DL77" s="143"/>
      <c r="DM77" s="143"/>
      <c r="DN77" s="147"/>
      <c r="DO77" s="147"/>
      <c r="DP77" s="133"/>
      <c r="DQ77" s="133"/>
      <c r="DR77" s="133"/>
      <c r="DS77" s="133"/>
      <c r="DT77" s="133"/>
      <c r="DU77" s="133"/>
      <c r="DV77" s="133"/>
      <c r="DW77" s="133"/>
      <c r="DX77" s="157"/>
      <c r="DY77" s="157"/>
      <c r="DZ77" s="147"/>
      <c r="EA77" s="147"/>
      <c r="EB77" s="157"/>
      <c r="EC77" s="157"/>
      <c r="ED77" s="147"/>
      <c r="EE77" s="147"/>
      <c r="EF77" s="147"/>
      <c r="EG77" s="143"/>
      <c r="EH77" s="147"/>
      <c r="EI77" s="147"/>
      <c r="EJ77" s="501"/>
      <c r="EK77" s="143"/>
      <c r="EL77" s="143"/>
      <c r="EM77" s="147"/>
      <c r="EN77" s="147"/>
      <c r="EO77" s="143"/>
      <c r="EP77" s="143"/>
      <c r="EQ77" s="157"/>
      <c r="ER77" s="157"/>
      <c r="ES77" s="157"/>
      <c r="ET77" s="157"/>
    </row>
    <row r="78" spans="4:150">
      <c r="D78" s="66"/>
      <c r="J78" s="327"/>
      <c r="O78" s="6"/>
      <c r="P78" s="6"/>
      <c r="Q78" s="6"/>
      <c r="R78" s="6"/>
      <c r="S78" s="6"/>
      <c r="T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133"/>
      <c r="AJ78" s="133"/>
      <c r="AK78" s="133"/>
      <c r="AL78" s="133"/>
      <c r="AM78" s="133"/>
      <c r="AN78" s="133"/>
      <c r="AO78" s="133"/>
      <c r="AP78" s="133"/>
      <c r="AQ78" s="133"/>
      <c r="AR78" s="133"/>
      <c r="AU78" s="133"/>
      <c r="AV78" s="133"/>
      <c r="AW78" s="133"/>
      <c r="AX78" s="133"/>
      <c r="AY78" s="133"/>
      <c r="AZ78" s="133"/>
      <c r="BA78" s="133"/>
      <c r="BB78" s="133"/>
      <c r="BC78" s="6"/>
      <c r="BD78" s="8"/>
      <c r="BE78" s="133"/>
      <c r="BF78" s="133"/>
      <c r="BG78" s="133"/>
      <c r="BH78" s="133"/>
      <c r="BI78" s="143"/>
      <c r="BJ78" s="133"/>
      <c r="BK78" s="143"/>
      <c r="BL78" s="133"/>
      <c r="BM78" s="143"/>
      <c r="BN78" s="133"/>
      <c r="BO78" s="147"/>
      <c r="BP78" s="147"/>
      <c r="BR78" s="147"/>
      <c r="BS78" s="147"/>
      <c r="BT78" s="143"/>
      <c r="BU78" s="147"/>
      <c r="BV78" s="476"/>
      <c r="BW78" s="143"/>
      <c r="BX78" s="3"/>
      <c r="BY78" s="3"/>
      <c r="BZ78" s="157"/>
      <c r="CA78" s="157"/>
      <c r="CB78" s="157"/>
      <c r="CC78" s="158"/>
      <c r="CD78" s="157"/>
      <c r="CE78" s="477"/>
      <c r="CF78" s="157"/>
      <c r="CG78" s="157"/>
      <c r="CH78" s="157"/>
      <c r="CI78" s="157"/>
      <c r="CJ78" s="157"/>
      <c r="CK78" s="157"/>
      <c r="CL78" s="157"/>
      <c r="CM78" s="157"/>
      <c r="CN78" s="66"/>
      <c r="CO78" s="66"/>
      <c r="CP78" s="3"/>
      <c r="CQ78" s="60"/>
      <c r="CR78" s="3"/>
      <c r="CS78" s="3"/>
      <c r="CT78" s="6"/>
      <c r="CU78" s="6"/>
      <c r="CV78" s="4"/>
      <c r="CW78" s="4"/>
      <c r="CX78" s="157"/>
      <c r="CY78" s="157"/>
      <c r="CZ78" s="143"/>
      <c r="DA78" s="143"/>
      <c r="DB78" s="159"/>
      <c r="DC78" s="167"/>
      <c r="DD78" s="157"/>
      <c r="DE78" s="157"/>
      <c r="DF78" s="147"/>
      <c r="DG78" s="133"/>
      <c r="DH78" s="159"/>
      <c r="DI78" s="167"/>
      <c r="DJ78" s="157"/>
      <c r="DK78" s="157"/>
      <c r="DL78" s="143"/>
      <c r="DM78" s="143"/>
      <c r="DN78" s="147"/>
      <c r="DO78" s="147"/>
      <c r="DP78" s="133"/>
      <c r="DQ78" s="133"/>
      <c r="DR78" s="133"/>
      <c r="DS78" s="133"/>
      <c r="DT78" s="133"/>
      <c r="DU78" s="133"/>
      <c r="DV78" s="133"/>
      <c r="DW78" s="133"/>
      <c r="DX78" s="157"/>
      <c r="DY78" s="157"/>
      <c r="DZ78" s="147"/>
      <c r="EA78" s="147"/>
      <c r="EB78" s="157"/>
      <c r="EC78" s="157"/>
      <c r="ED78" s="147"/>
      <c r="EE78" s="147"/>
      <c r="EF78" s="147"/>
      <c r="EG78" s="143"/>
      <c r="EH78" s="147"/>
      <c r="EI78" s="147"/>
      <c r="EJ78" s="501"/>
      <c r="EK78" s="143"/>
      <c r="EL78" s="143"/>
      <c r="EM78" s="147"/>
      <c r="EN78" s="147"/>
      <c r="EO78" s="143"/>
      <c r="EP78" s="143"/>
      <c r="EQ78" s="157"/>
      <c r="ER78" s="157"/>
      <c r="ES78" s="157"/>
      <c r="ET78" s="157"/>
    </row>
    <row r="79" spans="4:150">
      <c r="D79" s="66"/>
      <c r="J79" s="327"/>
      <c r="O79" s="6"/>
      <c r="P79" s="6"/>
      <c r="Q79" s="6"/>
      <c r="R79" s="6"/>
      <c r="S79" s="6"/>
      <c r="T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133"/>
      <c r="AJ79" s="133"/>
      <c r="AK79" s="133"/>
      <c r="AL79" s="133"/>
      <c r="AM79" s="133"/>
      <c r="AN79" s="133"/>
      <c r="AO79" s="133"/>
      <c r="AP79" s="133"/>
      <c r="AQ79" s="133"/>
      <c r="AR79" s="133"/>
      <c r="AU79" s="133"/>
      <c r="AV79" s="133"/>
      <c r="AW79" s="133"/>
      <c r="AX79" s="133"/>
      <c r="AY79" s="133"/>
      <c r="AZ79" s="133"/>
      <c r="BA79" s="133"/>
      <c r="BB79" s="133"/>
      <c r="BC79" s="6"/>
      <c r="BD79" s="8"/>
      <c r="BE79" s="133"/>
      <c r="BF79" s="133"/>
      <c r="BG79" s="133"/>
      <c r="BH79" s="133"/>
      <c r="BI79" s="143"/>
      <c r="BJ79" s="133"/>
      <c r="BK79" s="143"/>
      <c r="BL79" s="133"/>
      <c r="BM79" s="143"/>
      <c r="BN79" s="133"/>
      <c r="BO79" s="147"/>
      <c r="BP79" s="147"/>
      <c r="BR79" s="147"/>
      <c r="BS79" s="147"/>
      <c r="BT79" s="143"/>
      <c r="BU79" s="147"/>
      <c r="BV79" s="476"/>
      <c r="BW79" s="143"/>
      <c r="BX79" s="3"/>
      <c r="BY79" s="3"/>
      <c r="BZ79" s="157"/>
      <c r="CA79" s="157"/>
      <c r="CB79" s="157"/>
      <c r="CC79" s="158"/>
      <c r="CD79" s="157"/>
      <c r="CE79" s="477"/>
      <c r="CF79" s="157"/>
      <c r="CG79" s="157"/>
      <c r="CH79" s="157"/>
      <c r="CI79" s="157"/>
      <c r="CJ79" s="157"/>
      <c r="CK79" s="157"/>
      <c r="CL79" s="157"/>
      <c r="CM79" s="157"/>
      <c r="CN79" s="66"/>
      <c r="CO79" s="66"/>
      <c r="CP79" s="3"/>
      <c r="CQ79" s="60"/>
      <c r="CR79" s="3"/>
      <c r="CS79" s="3"/>
      <c r="CT79" s="6"/>
      <c r="CU79" s="6"/>
      <c r="CV79" s="4"/>
      <c r="CW79" s="4"/>
      <c r="CX79" s="157"/>
      <c r="CY79" s="157"/>
      <c r="CZ79" s="143"/>
      <c r="DA79" s="143"/>
      <c r="DB79" s="159"/>
      <c r="DC79" s="167"/>
      <c r="DD79" s="157"/>
      <c r="DE79" s="157"/>
      <c r="DF79" s="147"/>
      <c r="DG79" s="133"/>
      <c r="DH79" s="159"/>
      <c r="DI79" s="167"/>
      <c r="DJ79" s="157"/>
      <c r="DK79" s="157"/>
      <c r="DL79" s="143"/>
      <c r="DM79" s="143"/>
      <c r="DN79" s="147"/>
      <c r="DO79" s="147"/>
      <c r="DP79" s="133"/>
      <c r="DQ79" s="133"/>
      <c r="DR79" s="133"/>
      <c r="DS79" s="133"/>
      <c r="DT79" s="133"/>
      <c r="DU79" s="133"/>
      <c r="DV79" s="133"/>
      <c r="DW79" s="133"/>
      <c r="DX79" s="157"/>
      <c r="DY79" s="157"/>
      <c r="DZ79" s="147"/>
      <c r="EA79" s="147"/>
      <c r="EB79" s="157"/>
      <c r="EC79" s="157"/>
      <c r="ED79" s="147"/>
      <c r="EE79" s="147"/>
      <c r="EF79" s="147"/>
      <c r="EG79" s="143"/>
      <c r="EH79" s="147"/>
      <c r="EI79" s="147"/>
      <c r="EJ79" s="501"/>
      <c r="EK79" s="143"/>
      <c r="EL79" s="143"/>
      <c r="EM79" s="147"/>
      <c r="EN79" s="147"/>
      <c r="EO79" s="143"/>
      <c r="EP79" s="143"/>
      <c r="EQ79" s="157"/>
      <c r="ER79" s="157"/>
      <c r="ES79" s="157"/>
      <c r="ET79" s="157"/>
    </row>
    <row r="80" spans="4:150">
      <c r="D80" s="66"/>
      <c r="J80" s="327"/>
      <c r="O80" s="6"/>
      <c r="P80" s="6"/>
      <c r="Q80" s="6"/>
      <c r="R80" s="6"/>
      <c r="S80" s="6"/>
      <c r="T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133"/>
      <c r="AJ80" s="133"/>
      <c r="AK80" s="133"/>
      <c r="AL80" s="133"/>
      <c r="AM80" s="133"/>
      <c r="AN80" s="133"/>
      <c r="AO80" s="133"/>
      <c r="AP80" s="133"/>
      <c r="AQ80" s="133"/>
      <c r="AR80" s="133"/>
      <c r="AU80" s="133"/>
      <c r="AV80" s="133"/>
      <c r="AW80" s="133"/>
      <c r="AX80" s="133"/>
      <c r="AY80" s="133"/>
      <c r="AZ80" s="133"/>
      <c r="BA80" s="133"/>
      <c r="BB80" s="133"/>
      <c r="BC80" s="6"/>
      <c r="BD80" s="8"/>
      <c r="BE80" s="133"/>
      <c r="BF80" s="133"/>
      <c r="BG80" s="133"/>
      <c r="BH80" s="133"/>
      <c r="BI80" s="143"/>
      <c r="BJ80" s="133"/>
      <c r="BK80" s="143"/>
      <c r="BL80" s="133"/>
      <c r="BM80" s="143"/>
      <c r="BN80" s="133"/>
      <c r="BO80" s="147"/>
      <c r="BP80" s="147"/>
      <c r="BR80" s="147"/>
      <c r="BS80" s="147"/>
      <c r="BT80" s="143"/>
      <c r="BU80" s="147"/>
      <c r="BV80" s="476"/>
      <c r="BW80" s="143"/>
      <c r="BX80" s="3"/>
      <c r="BY80" s="3"/>
      <c r="BZ80" s="157"/>
      <c r="CA80" s="157"/>
      <c r="CB80" s="157"/>
      <c r="CC80" s="158"/>
      <c r="CD80" s="157"/>
      <c r="CE80" s="477"/>
      <c r="CF80" s="157"/>
      <c r="CG80" s="157"/>
      <c r="CH80" s="157"/>
      <c r="CI80" s="157"/>
      <c r="CJ80" s="157"/>
      <c r="CK80" s="157"/>
      <c r="CL80" s="157"/>
      <c r="CM80" s="157"/>
      <c r="CN80" s="66"/>
      <c r="CO80" s="66"/>
      <c r="CP80" s="3"/>
      <c r="CQ80" s="60"/>
      <c r="CR80" s="3"/>
      <c r="CS80" s="3"/>
      <c r="CT80" s="6"/>
      <c r="CU80" s="6"/>
      <c r="CV80" s="4"/>
      <c r="CW80" s="4"/>
      <c r="CX80" s="157"/>
      <c r="CY80" s="157"/>
      <c r="CZ80" s="143"/>
      <c r="DA80" s="143"/>
      <c r="DB80" s="159"/>
      <c r="DC80" s="167"/>
      <c r="DD80" s="157"/>
      <c r="DE80" s="157"/>
      <c r="DF80" s="147"/>
      <c r="DG80" s="133"/>
      <c r="DH80" s="159"/>
      <c r="DI80" s="167"/>
      <c r="DJ80" s="157"/>
      <c r="DK80" s="157"/>
      <c r="DL80" s="143"/>
      <c r="DM80" s="143"/>
      <c r="DN80" s="147"/>
      <c r="DO80" s="147"/>
      <c r="DP80" s="133"/>
      <c r="DQ80" s="133"/>
      <c r="DR80" s="133"/>
      <c r="DS80" s="133"/>
      <c r="DT80" s="133"/>
      <c r="DU80" s="133"/>
      <c r="DV80" s="133"/>
      <c r="DW80" s="133"/>
      <c r="DX80" s="157"/>
      <c r="DY80" s="157"/>
      <c r="DZ80" s="147"/>
      <c r="EA80" s="147"/>
      <c r="EB80" s="157"/>
      <c r="EC80" s="157"/>
      <c r="ED80" s="147"/>
      <c r="EE80" s="147"/>
      <c r="EF80" s="147"/>
      <c r="EG80" s="143"/>
      <c r="EH80" s="147"/>
      <c r="EI80" s="147"/>
      <c r="EJ80" s="501"/>
      <c r="EK80" s="143"/>
      <c r="EL80" s="143"/>
      <c r="EM80" s="147"/>
      <c r="EN80" s="147"/>
      <c r="EO80" s="143"/>
      <c r="EP80" s="143"/>
      <c r="EQ80" s="157"/>
      <c r="ER80" s="157"/>
      <c r="ES80" s="157"/>
      <c r="ET80" s="157"/>
    </row>
    <row r="81" spans="2:368">
      <c r="D81" s="66"/>
      <c r="J81" s="327"/>
      <c r="O81" s="6"/>
      <c r="P81" s="6"/>
      <c r="Q81" s="6"/>
      <c r="R81" s="6"/>
      <c r="S81" s="6"/>
      <c r="T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133"/>
      <c r="AJ81" s="133"/>
      <c r="AK81" s="133"/>
      <c r="AL81" s="133"/>
      <c r="AM81" s="133"/>
      <c r="AN81" s="133"/>
      <c r="AO81" s="133"/>
      <c r="AP81" s="133"/>
      <c r="AQ81" s="133"/>
      <c r="AR81" s="133"/>
      <c r="AU81" s="133"/>
      <c r="AV81" s="133"/>
      <c r="AW81" s="133"/>
      <c r="AX81" s="133"/>
      <c r="AY81" s="133"/>
      <c r="AZ81" s="133"/>
      <c r="BA81" s="133"/>
      <c r="BB81" s="133"/>
      <c r="BC81" s="6"/>
      <c r="BD81" s="8"/>
      <c r="BE81" s="133"/>
      <c r="BF81" s="133"/>
      <c r="BG81" s="133"/>
      <c r="BH81" s="133"/>
      <c r="BI81" s="143"/>
      <c r="BJ81" s="133"/>
      <c r="BK81" s="143"/>
      <c r="BL81" s="133"/>
      <c r="BM81" s="143"/>
      <c r="BN81" s="133"/>
      <c r="BO81" s="147"/>
      <c r="BP81" s="147"/>
      <c r="BR81" s="147"/>
      <c r="BS81" s="147"/>
      <c r="BT81" s="143"/>
      <c r="BU81" s="147"/>
      <c r="BV81" s="476"/>
      <c r="BW81" s="143"/>
      <c r="BX81" s="3"/>
      <c r="BY81" s="3"/>
      <c r="BZ81" s="157"/>
      <c r="CA81" s="157"/>
      <c r="CB81" s="157"/>
      <c r="CC81" s="158"/>
      <c r="CD81" s="157"/>
      <c r="CE81" s="477"/>
      <c r="CF81" s="157"/>
      <c r="CG81" s="157"/>
      <c r="CH81" s="157"/>
      <c r="CI81" s="157"/>
      <c r="CJ81" s="157"/>
      <c r="CK81" s="157"/>
      <c r="CL81" s="157"/>
      <c r="CM81" s="157"/>
      <c r="CN81" s="66"/>
      <c r="CO81" s="66"/>
      <c r="CP81" s="3"/>
      <c r="CQ81" s="60"/>
      <c r="CR81" s="3"/>
      <c r="CS81" s="3"/>
      <c r="CT81" s="6"/>
      <c r="CU81" s="6"/>
      <c r="CV81" s="4"/>
      <c r="CW81" s="4"/>
      <c r="CX81" s="157"/>
      <c r="CY81" s="157"/>
      <c r="CZ81" s="143"/>
      <c r="DA81" s="143"/>
      <c r="DB81" s="159"/>
      <c r="DC81" s="167"/>
      <c r="DD81" s="157"/>
      <c r="DE81" s="157"/>
      <c r="DF81" s="147"/>
      <c r="DG81" s="133"/>
      <c r="DH81" s="159"/>
      <c r="DI81" s="167"/>
      <c r="DJ81" s="157"/>
      <c r="DK81" s="157"/>
      <c r="DL81" s="143"/>
      <c r="DM81" s="143"/>
      <c r="DN81" s="147"/>
      <c r="DO81" s="147"/>
      <c r="DP81" s="133"/>
      <c r="DQ81" s="133"/>
      <c r="DR81" s="133"/>
      <c r="DS81" s="133"/>
      <c r="DT81" s="133"/>
      <c r="DU81" s="133"/>
      <c r="DV81" s="133"/>
      <c r="DW81" s="133"/>
      <c r="DX81" s="157"/>
      <c r="DY81" s="157"/>
      <c r="DZ81" s="147"/>
      <c r="EA81" s="147"/>
      <c r="EB81" s="157"/>
      <c r="EC81" s="157"/>
      <c r="ED81" s="147"/>
      <c r="EE81" s="147"/>
      <c r="EF81" s="147"/>
      <c r="EG81" s="143"/>
      <c r="EH81" s="147"/>
      <c r="EI81" s="147"/>
      <c r="EJ81" s="501"/>
      <c r="EK81" s="143"/>
      <c r="EL81" s="143"/>
      <c r="EM81" s="147"/>
      <c r="EN81" s="147"/>
      <c r="EO81" s="143"/>
      <c r="EP81" s="143"/>
      <c r="EQ81" s="157"/>
      <c r="ER81" s="157"/>
      <c r="ES81" s="157"/>
      <c r="ET81" s="157"/>
    </row>
    <row r="82" spans="2:368" s="484" customFormat="1" ht="17.399999999999999">
      <c r="B82" s="485"/>
      <c r="C82" s="117"/>
      <c r="D82" s="486"/>
      <c r="E82" s="67"/>
      <c r="F82" s="117"/>
      <c r="G82" s="117"/>
      <c r="H82" s="117"/>
      <c r="I82" s="117"/>
      <c r="J82" s="488"/>
      <c r="K82" s="487"/>
      <c r="L82" s="117"/>
      <c r="M82" s="117"/>
      <c r="N82" s="5"/>
      <c r="Y82" s="117"/>
      <c r="Z82" s="117"/>
      <c r="AA82" s="117"/>
      <c r="AB82" s="117"/>
      <c r="AC82" s="117"/>
      <c r="AD82" s="117"/>
      <c r="AE82" s="117"/>
      <c r="AF82" s="117"/>
      <c r="AG82" s="117"/>
      <c r="AH82" s="117"/>
      <c r="AI82" s="489"/>
      <c r="AJ82" s="489"/>
      <c r="AK82" s="489"/>
      <c r="AL82" s="489"/>
      <c r="AM82" s="489"/>
      <c r="AN82" s="489"/>
      <c r="AO82" s="489"/>
      <c r="AP82" s="489"/>
      <c r="AQ82" s="489"/>
      <c r="AR82" s="489"/>
      <c r="AS82" s="117"/>
      <c r="AT82" s="117"/>
      <c r="AU82" s="489"/>
      <c r="AV82" s="489"/>
      <c r="AW82" s="489"/>
      <c r="AX82" s="489"/>
      <c r="AY82" s="489"/>
      <c r="AZ82" s="489"/>
      <c r="BA82" s="489"/>
      <c r="BB82" s="489"/>
      <c r="BC82" s="118"/>
      <c r="BD82" s="490"/>
      <c r="BE82" s="489"/>
      <c r="BF82" s="489"/>
      <c r="BG82" s="489"/>
      <c r="BH82" s="489"/>
      <c r="BI82" s="247"/>
      <c r="BJ82" s="489"/>
      <c r="BK82" s="247"/>
      <c r="BL82" s="489"/>
      <c r="BM82" s="247"/>
      <c r="BN82" s="489"/>
      <c r="BO82" s="168"/>
      <c r="BP82" s="168"/>
      <c r="BQ82" s="117"/>
      <c r="BR82" s="168"/>
      <c r="BS82" s="168"/>
      <c r="BT82" s="247"/>
      <c r="BU82" s="168"/>
      <c r="BV82" s="481"/>
      <c r="BW82" s="247"/>
      <c r="BX82" s="491"/>
      <c r="BY82" s="491"/>
      <c r="BZ82" s="482"/>
      <c r="CA82" s="482"/>
      <c r="CB82" s="482"/>
      <c r="CC82" s="492"/>
      <c r="CD82" s="482"/>
      <c r="CE82" s="497"/>
      <c r="CF82" s="482"/>
      <c r="CG82" s="482"/>
      <c r="CH82" s="482"/>
      <c r="CI82" s="482"/>
      <c r="CJ82" s="482"/>
      <c r="CK82" s="482"/>
      <c r="CL82" s="482"/>
      <c r="CM82" s="482"/>
      <c r="CN82" s="66"/>
      <c r="CO82" s="66"/>
      <c r="CP82" s="491"/>
      <c r="CQ82" s="493"/>
      <c r="CR82" s="491"/>
      <c r="CS82" s="491"/>
      <c r="CT82" s="118"/>
      <c r="CU82" s="118"/>
      <c r="CV82" s="267"/>
      <c r="CW82" s="267"/>
      <c r="CX82" s="482"/>
      <c r="CY82" s="482"/>
      <c r="CZ82" s="247"/>
      <c r="DA82" s="247"/>
      <c r="DB82" s="494"/>
      <c r="DC82" s="495"/>
      <c r="DD82" s="482"/>
      <c r="DE82" s="482"/>
      <c r="DF82" s="168"/>
      <c r="DG82" s="489"/>
      <c r="DH82" s="494"/>
      <c r="DI82" s="495"/>
      <c r="DJ82" s="482"/>
      <c r="DK82" s="482"/>
      <c r="DL82" s="247"/>
      <c r="DM82" s="247"/>
      <c r="DN82" s="168"/>
      <c r="DO82" s="168"/>
      <c r="DP82" s="489"/>
      <c r="DQ82" s="489"/>
      <c r="DR82" s="489"/>
      <c r="DS82" s="489"/>
      <c r="DT82" s="489"/>
      <c r="DU82" s="489"/>
      <c r="DV82" s="489"/>
      <c r="DW82" s="489"/>
      <c r="DX82" s="482"/>
      <c r="DY82" s="482"/>
      <c r="DZ82" s="168"/>
      <c r="EA82" s="168"/>
      <c r="EB82" s="482"/>
      <c r="EC82" s="482"/>
      <c r="ED82" s="168"/>
      <c r="EE82" s="168"/>
      <c r="EF82" s="168"/>
      <c r="EG82" s="247"/>
      <c r="EH82" s="168"/>
      <c r="EI82" s="168"/>
      <c r="EJ82" s="503"/>
      <c r="EK82" s="247"/>
      <c r="EL82" s="247"/>
      <c r="EM82" s="168"/>
      <c r="EN82" s="168"/>
      <c r="EO82" s="247"/>
      <c r="EP82" s="247"/>
      <c r="EQ82" s="482"/>
      <c r="ER82" s="482"/>
      <c r="ES82" s="482"/>
      <c r="ET82" s="482"/>
      <c r="EU82" s="117"/>
      <c r="EV82" s="117"/>
      <c r="EW82" s="117"/>
      <c r="EX82" s="117"/>
      <c r="EY82" s="117"/>
      <c r="EZ82" s="117"/>
      <c r="FA82" s="117"/>
      <c r="FB82" s="117"/>
      <c r="FC82" s="117"/>
      <c r="FD82" s="117"/>
      <c r="FE82" s="117"/>
      <c r="FF82" s="117"/>
      <c r="FG82" s="117"/>
      <c r="FH82" s="117"/>
      <c r="FI82" s="117"/>
      <c r="FJ82" s="117"/>
      <c r="FK82" s="161"/>
      <c r="FL82" s="161"/>
      <c r="FM82" s="161"/>
      <c r="FN82" s="161"/>
      <c r="FO82" s="161"/>
      <c r="FP82" s="161"/>
      <c r="FQ82" s="161"/>
      <c r="FR82" s="161"/>
      <c r="FS82" s="161"/>
      <c r="FT82" s="161"/>
      <c r="FU82" s="161"/>
      <c r="FV82" s="161"/>
      <c r="FW82" s="161"/>
      <c r="FX82" s="161"/>
      <c r="FY82" s="161"/>
      <c r="FZ82" s="161"/>
      <c r="GA82" s="117"/>
      <c r="GB82" s="117"/>
      <c r="GC82" s="117"/>
      <c r="GD82" s="117"/>
      <c r="GE82" s="161"/>
      <c r="GF82" s="161"/>
      <c r="GG82" s="161"/>
      <c r="GH82" s="161"/>
      <c r="GI82" s="161"/>
      <c r="GJ82" s="161"/>
      <c r="GK82" s="161"/>
      <c r="GL82" s="161"/>
      <c r="GM82" s="161"/>
      <c r="GN82" s="161"/>
      <c r="GO82" s="161"/>
      <c r="GP82" s="161"/>
      <c r="GQ82" s="161"/>
      <c r="GR82" s="161"/>
      <c r="GS82" s="161"/>
      <c r="GT82" s="161"/>
      <c r="GU82" s="117"/>
      <c r="GV82" s="117"/>
      <c r="GW82" s="161"/>
      <c r="GX82" s="161"/>
      <c r="GY82" s="161"/>
      <c r="GZ82" s="161"/>
      <c r="HA82" s="161"/>
      <c r="HB82" s="161"/>
      <c r="HC82" s="117"/>
      <c r="HD82" s="117"/>
      <c r="HE82" s="161"/>
      <c r="HF82" s="161"/>
      <c r="HG82" s="161"/>
      <c r="HH82" s="161"/>
      <c r="HI82" s="161"/>
      <c r="HJ82" s="161"/>
      <c r="HK82" s="117"/>
      <c r="HL82" s="117"/>
      <c r="HM82" s="117"/>
      <c r="HN82" s="117"/>
      <c r="HO82" s="117"/>
      <c r="HP82" s="117"/>
      <c r="HQ82" s="117"/>
      <c r="HR82" s="117"/>
      <c r="HS82" s="117"/>
      <c r="HT82" s="117"/>
      <c r="HU82" s="117"/>
      <c r="HV82" s="117"/>
      <c r="HW82" s="117"/>
      <c r="HX82" s="117"/>
      <c r="HY82" s="117"/>
      <c r="HZ82" s="117"/>
      <c r="IA82" s="117"/>
      <c r="IB82" s="117"/>
      <c r="IC82" s="117"/>
      <c r="ID82" s="117"/>
      <c r="IE82" s="117"/>
      <c r="IF82" s="117"/>
      <c r="IG82" s="117"/>
      <c r="IH82" s="117"/>
      <c r="II82" s="117"/>
      <c r="IJ82" s="117"/>
      <c r="IK82" s="117"/>
      <c r="IL82" s="117"/>
      <c r="IM82" s="117"/>
      <c r="IN82" s="117"/>
      <c r="IO82" s="117"/>
      <c r="IP82" s="117"/>
      <c r="IQ82" s="117"/>
      <c r="IR82" s="117"/>
      <c r="IS82" s="117"/>
      <c r="IT82" s="117"/>
      <c r="IU82" s="161"/>
      <c r="IV82" s="161"/>
      <c r="IW82" s="161"/>
      <c r="IX82" s="161"/>
      <c r="IY82" s="161"/>
      <c r="IZ82" s="161"/>
      <c r="JA82" s="161"/>
      <c r="JB82" s="161"/>
      <c r="JC82" s="161"/>
      <c r="JD82" s="161"/>
      <c r="JE82" s="161"/>
      <c r="JF82" s="161"/>
      <c r="JG82" s="161"/>
      <c r="JH82" s="161"/>
      <c r="JI82" s="161"/>
      <c r="JJ82" s="161"/>
      <c r="JK82" s="161"/>
      <c r="JL82" s="161"/>
      <c r="JM82" s="161"/>
      <c r="JN82" s="161"/>
      <c r="JO82" s="161"/>
      <c r="JP82" s="161"/>
      <c r="JQ82" s="161"/>
      <c r="JR82" s="161"/>
      <c r="JS82" s="161"/>
      <c r="JT82" s="161"/>
      <c r="JU82" s="117"/>
      <c r="JV82" s="117"/>
      <c r="JW82" s="117"/>
      <c r="JX82" s="117"/>
      <c r="JY82" s="161"/>
      <c r="JZ82" s="161"/>
      <c r="KA82" s="161"/>
      <c r="KB82" s="161"/>
      <c r="KC82" s="117"/>
      <c r="KD82" s="117"/>
      <c r="KE82" s="161"/>
      <c r="KF82" s="161"/>
      <c r="KG82" s="161"/>
      <c r="KH82" s="161"/>
      <c r="KI82" s="161"/>
      <c r="KJ82" s="161"/>
      <c r="KK82" s="161"/>
      <c r="KL82" s="161"/>
      <c r="KM82" s="161"/>
      <c r="KN82" s="161"/>
      <c r="KO82" s="161"/>
      <c r="KP82" s="161"/>
      <c r="KQ82" s="161"/>
      <c r="KR82" s="161"/>
      <c r="KS82" s="161"/>
      <c r="KT82" s="161"/>
      <c r="KU82" s="117"/>
      <c r="KV82" s="117"/>
      <c r="KW82" s="161"/>
      <c r="KX82" s="161"/>
      <c r="KY82" s="161"/>
      <c r="KZ82" s="161"/>
      <c r="LA82" s="161"/>
      <c r="LB82" s="161"/>
      <c r="LC82" s="161"/>
      <c r="LD82" s="161"/>
      <c r="LE82" s="161"/>
      <c r="LF82" s="161"/>
      <c r="LG82" s="161"/>
      <c r="LH82" s="161"/>
      <c r="LI82" s="161"/>
      <c r="LJ82" s="161"/>
      <c r="LK82" s="161"/>
      <c r="LL82" s="161"/>
      <c r="LM82" s="161"/>
      <c r="LN82" s="161"/>
      <c r="LQ82" s="257"/>
      <c r="LR82" s="257"/>
      <c r="LS82" s="257"/>
      <c r="LT82" s="257"/>
      <c r="LU82" s="257"/>
      <c r="LV82" s="257"/>
      <c r="LW82" s="257"/>
      <c r="LX82" s="257"/>
      <c r="LY82" s="257"/>
      <c r="LZ82" s="257"/>
      <c r="MA82" s="257"/>
      <c r="MB82" s="257"/>
      <c r="MC82" s="257"/>
      <c r="MD82" s="257"/>
      <c r="ME82" s="257"/>
      <c r="MF82" s="257"/>
      <c r="MG82" s="257"/>
      <c r="MH82" s="257"/>
      <c r="MI82" s="257"/>
      <c r="MJ82" s="257"/>
      <c r="MK82" s="257"/>
      <c r="ML82" s="257"/>
      <c r="MM82" s="257"/>
      <c r="MN82" s="257"/>
      <c r="MO82" s="496"/>
      <c r="MP82" s="496"/>
      <c r="MQ82" s="496"/>
      <c r="MR82" s="496"/>
      <c r="MS82" s="496"/>
      <c r="MT82" s="496"/>
      <c r="MU82" s="496"/>
      <c r="MV82" s="496"/>
      <c r="MW82" s="496"/>
      <c r="MX82" s="496"/>
      <c r="MY82" s="496"/>
      <c r="MZ82" s="496"/>
      <c r="NA82" s="496"/>
      <c r="NB82" s="496"/>
      <c r="NC82" s="496"/>
      <c r="ND82" s="496"/>
    </row>
    <row r="83" spans="2:368">
      <c r="T83" s="1"/>
      <c r="U83" s="1"/>
      <c r="V83" s="1"/>
      <c r="W83" s="1"/>
      <c r="X83" s="1"/>
    </row>
    <row r="84" spans="2:368">
      <c r="D84" s="66"/>
      <c r="J84" s="327"/>
      <c r="O84" s="6"/>
      <c r="P84" s="6"/>
      <c r="Q84" s="6"/>
      <c r="R84" s="6"/>
      <c r="S84" s="6"/>
      <c r="T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133"/>
      <c r="AJ84" s="133"/>
      <c r="AK84" s="133"/>
      <c r="AL84" s="133"/>
      <c r="AM84" s="133"/>
      <c r="AN84" s="133"/>
      <c r="AO84" s="133"/>
      <c r="AP84" s="133"/>
      <c r="AQ84" s="133"/>
      <c r="AR84" s="133"/>
      <c r="AU84" s="133"/>
      <c r="AV84" s="133"/>
      <c r="AW84" s="133"/>
      <c r="AX84" s="133"/>
      <c r="AY84" s="133"/>
      <c r="AZ84" s="133"/>
      <c r="BA84" s="133"/>
      <c r="BB84" s="133"/>
      <c r="BC84" s="6"/>
      <c r="BD84" s="8"/>
      <c r="BE84" s="133"/>
      <c r="BF84" s="133"/>
      <c r="BG84" s="133"/>
      <c r="BH84" s="133"/>
      <c r="BI84" s="143"/>
      <c r="BJ84" s="133"/>
      <c r="BK84" s="143"/>
      <c r="BL84" s="133"/>
      <c r="BM84" s="143"/>
      <c r="BN84" s="133"/>
      <c r="BO84" s="147"/>
      <c r="BP84" s="147"/>
      <c r="BR84" s="147"/>
      <c r="BS84" s="147"/>
      <c r="BT84" s="143"/>
      <c r="BU84" s="147"/>
      <c r="BV84" s="476"/>
      <c r="BW84" s="143"/>
      <c r="BX84" s="3"/>
      <c r="BY84" s="3"/>
      <c r="BZ84" s="157"/>
      <c r="CA84" s="157"/>
      <c r="CB84" s="157"/>
      <c r="CC84" s="158"/>
      <c r="CD84" s="157"/>
      <c r="CE84" s="477"/>
      <c r="CF84" s="157"/>
      <c r="CG84" s="157"/>
      <c r="CH84" s="157"/>
      <c r="CI84" s="157"/>
      <c r="CJ84" s="157"/>
      <c r="CK84" s="157"/>
      <c r="CL84" s="157"/>
      <c r="CM84" s="157"/>
      <c r="CN84" s="66"/>
      <c r="CO84" s="66"/>
      <c r="CP84" s="3"/>
      <c r="CQ84" s="60"/>
      <c r="CR84" s="3"/>
      <c r="CS84" s="3"/>
      <c r="CT84" s="6"/>
      <c r="CU84" s="6"/>
      <c r="CV84" s="4"/>
      <c r="CW84" s="4"/>
      <c r="CX84" s="157"/>
      <c r="CY84" s="157"/>
      <c r="CZ84" s="143"/>
      <c r="DA84" s="143"/>
      <c r="DB84" s="159"/>
      <c r="DC84" s="167"/>
      <c r="DD84" s="157"/>
      <c r="DE84" s="157"/>
      <c r="DF84" s="147"/>
      <c r="DG84" s="133"/>
      <c r="DH84" s="159"/>
      <c r="DI84" s="167"/>
      <c r="DJ84" s="157"/>
      <c r="DK84" s="157"/>
      <c r="DL84" s="143"/>
      <c r="DM84" s="143"/>
      <c r="DN84" s="147"/>
      <c r="DO84" s="147"/>
      <c r="DP84" s="133"/>
      <c r="DQ84" s="133"/>
      <c r="DR84" s="133"/>
      <c r="DS84" s="133"/>
      <c r="DT84" s="133"/>
      <c r="DU84" s="133"/>
      <c r="DV84" s="133"/>
      <c r="DW84" s="133"/>
      <c r="DX84" s="157"/>
      <c r="DY84" s="157"/>
      <c r="DZ84" s="147"/>
      <c r="EA84" s="147"/>
      <c r="EB84" s="157"/>
      <c r="EC84" s="157"/>
      <c r="ED84" s="147"/>
      <c r="EE84" s="147"/>
      <c r="EF84" s="147"/>
      <c r="EG84" s="143"/>
      <c r="EH84" s="147"/>
      <c r="EI84" s="147"/>
      <c r="EJ84" s="501"/>
      <c r="EK84" s="143"/>
      <c r="EL84" s="143"/>
      <c r="EM84" s="147"/>
      <c r="EN84" s="147"/>
      <c r="EO84" s="143"/>
      <c r="EP84" s="143"/>
      <c r="EQ84" s="157"/>
      <c r="ER84" s="157"/>
      <c r="ES84" s="157"/>
      <c r="ET84" s="157"/>
    </row>
    <row r="85" spans="2:368">
      <c r="D85" s="66"/>
      <c r="J85" s="327"/>
      <c r="O85" s="6"/>
      <c r="P85" s="6"/>
      <c r="Q85" s="6"/>
      <c r="R85" s="6"/>
      <c r="S85" s="6"/>
      <c r="T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133"/>
      <c r="AJ85" s="133"/>
      <c r="AK85" s="133"/>
      <c r="AL85" s="133"/>
      <c r="AM85" s="133"/>
      <c r="AN85" s="133"/>
      <c r="AO85" s="133"/>
      <c r="AP85" s="133"/>
      <c r="AQ85" s="133"/>
      <c r="AR85" s="133"/>
      <c r="AU85" s="133"/>
      <c r="AV85" s="133"/>
      <c r="AW85" s="133"/>
      <c r="AX85" s="133"/>
      <c r="AY85" s="133"/>
      <c r="AZ85" s="133"/>
      <c r="BA85" s="133"/>
      <c r="BB85" s="133"/>
      <c r="BC85" s="6"/>
      <c r="BD85" s="8"/>
      <c r="BE85" s="133"/>
      <c r="BF85" s="133"/>
      <c r="BG85" s="133"/>
      <c r="BH85" s="133"/>
      <c r="BI85" s="143"/>
      <c r="BJ85" s="133"/>
      <c r="BK85" s="143"/>
      <c r="BL85" s="133"/>
      <c r="BM85" s="143"/>
      <c r="BN85" s="133"/>
      <c r="BO85" s="147"/>
      <c r="BP85" s="147"/>
      <c r="BR85" s="147"/>
      <c r="BS85" s="147"/>
      <c r="BT85" s="143"/>
      <c r="BU85" s="147"/>
      <c r="BV85" s="476"/>
      <c r="BW85" s="143"/>
      <c r="BX85" s="3"/>
      <c r="BY85" s="3"/>
      <c r="BZ85" s="157"/>
      <c r="CA85" s="157"/>
      <c r="CB85" s="157"/>
      <c r="CC85" s="158"/>
      <c r="CD85" s="157"/>
      <c r="CE85" s="477"/>
      <c r="CF85" s="157"/>
      <c r="CG85" s="157"/>
      <c r="CH85" s="157"/>
      <c r="CI85" s="157"/>
      <c r="CJ85" s="157"/>
      <c r="CK85" s="157"/>
      <c r="CL85" s="157"/>
      <c r="CM85" s="157"/>
      <c r="CN85" s="66"/>
      <c r="CO85" s="66"/>
      <c r="CP85" s="3"/>
      <c r="CQ85" s="60"/>
      <c r="CR85" s="3"/>
      <c r="CS85" s="3"/>
      <c r="CT85" s="6"/>
      <c r="CU85" s="6"/>
      <c r="CV85" s="4"/>
      <c r="CW85" s="4"/>
      <c r="CX85" s="157"/>
      <c r="CY85" s="157"/>
      <c r="CZ85" s="143"/>
      <c r="DA85" s="143"/>
      <c r="DB85" s="159"/>
      <c r="DC85" s="167"/>
      <c r="DD85" s="157"/>
      <c r="DE85" s="157"/>
      <c r="DF85" s="147"/>
      <c r="DG85" s="133"/>
      <c r="DH85" s="159"/>
      <c r="DI85" s="167"/>
      <c r="DJ85" s="157"/>
      <c r="DK85" s="157"/>
      <c r="DL85" s="143"/>
      <c r="DM85" s="143"/>
      <c r="DN85" s="147"/>
      <c r="DO85" s="147"/>
      <c r="DP85" s="133"/>
      <c r="DQ85" s="133"/>
      <c r="DR85" s="133"/>
      <c r="DS85" s="133"/>
      <c r="DT85" s="133"/>
      <c r="DU85" s="133"/>
      <c r="DV85" s="133"/>
      <c r="DW85" s="133"/>
      <c r="DX85" s="157"/>
      <c r="DY85" s="157"/>
      <c r="DZ85" s="147"/>
      <c r="EA85" s="147"/>
      <c r="EB85" s="157"/>
      <c r="EC85" s="157"/>
      <c r="ED85" s="147"/>
      <c r="EE85" s="147"/>
      <c r="EF85" s="147"/>
      <c r="EG85" s="143"/>
      <c r="EH85" s="147"/>
      <c r="EI85" s="147"/>
      <c r="EJ85" s="501"/>
      <c r="EK85" s="143"/>
      <c r="EL85" s="143"/>
      <c r="EM85" s="147"/>
      <c r="EN85" s="147"/>
      <c r="EO85" s="143"/>
      <c r="EP85" s="143"/>
      <c r="EQ85" s="157"/>
      <c r="ER85" s="157"/>
      <c r="ES85" s="157"/>
      <c r="ET85" s="157"/>
    </row>
    <row r="86" spans="2:368">
      <c r="D86" s="66"/>
      <c r="J86" s="327"/>
      <c r="O86" s="6"/>
      <c r="P86" s="6"/>
      <c r="Q86" s="6"/>
      <c r="R86" s="6"/>
      <c r="S86" s="6"/>
      <c r="T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133"/>
      <c r="AJ86" s="133"/>
      <c r="AK86" s="133"/>
      <c r="AL86" s="133"/>
      <c r="AM86" s="133"/>
      <c r="AN86" s="133"/>
      <c r="AO86" s="133"/>
      <c r="AP86" s="133"/>
      <c r="AQ86" s="133"/>
      <c r="AR86" s="133"/>
      <c r="AU86" s="133"/>
      <c r="AV86" s="133"/>
      <c r="AW86" s="133"/>
      <c r="AX86" s="133"/>
      <c r="AY86" s="133"/>
      <c r="AZ86" s="133"/>
      <c r="BA86" s="133"/>
      <c r="BB86" s="133"/>
      <c r="BC86" s="6"/>
      <c r="BD86" s="8"/>
      <c r="BE86" s="133"/>
      <c r="BF86" s="133"/>
      <c r="BG86" s="133"/>
      <c r="BH86" s="133"/>
      <c r="BI86" s="143"/>
      <c r="BJ86" s="133"/>
      <c r="BK86" s="143"/>
      <c r="BL86" s="133"/>
      <c r="BM86" s="143"/>
      <c r="BN86" s="133"/>
      <c r="BO86" s="147"/>
      <c r="BP86" s="147"/>
      <c r="BR86" s="147"/>
      <c r="BS86" s="147"/>
      <c r="BT86" s="143"/>
      <c r="BU86" s="147"/>
      <c r="BV86" s="476"/>
      <c r="BW86" s="143"/>
      <c r="BX86" s="3"/>
      <c r="BY86" s="3"/>
      <c r="BZ86" s="157"/>
      <c r="CA86" s="157"/>
      <c r="CB86" s="157"/>
      <c r="CC86" s="158"/>
      <c r="CD86" s="157"/>
      <c r="CE86" s="477"/>
      <c r="CF86" s="157"/>
      <c r="CG86" s="157"/>
      <c r="CH86" s="157"/>
      <c r="CI86" s="157"/>
      <c r="CJ86" s="157"/>
      <c r="CK86" s="157"/>
      <c r="CL86" s="157"/>
      <c r="CM86" s="157"/>
      <c r="CN86" s="66"/>
      <c r="CO86" s="66"/>
      <c r="CP86" s="3"/>
      <c r="CQ86" s="60"/>
      <c r="CR86" s="3"/>
      <c r="CS86" s="3"/>
      <c r="CT86" s="6"/>
      <c r="CU86" s="6"/>
      <c r="CV86" s="4"/>
      <c r="CW86" s="4"/>
      <c r="CX86" s="157"/>
      <c r="CY86" s="157"/>
      <c r="CZ86" s="143"/>
      <c r="DA86" s="143"/>
      <c r="DB86" s="159"/>
      <c r="DC86" s="167"/>
      <c r="DD86" s="157"/>
      <c r="DE86" s="157"/>
      <c r="DF86" s="147"/>
      <c r="DG86" s="133"/>
      <c r="DH86" s="159"/>
      <c r="DI86" s="167"/>
      <c r="DJ86" s="157"/>
      <c r="DK86" s="157"/>
      <c r="DL86" s="143"/>
      <c r="DM86" s="143"/>
      <c r="DN86" s="147"/>
      <c r="DO86" s="147"/>
      <c r="DP86" s="133"/>
      <c r="DQ86" s="133"/>
      <c r="DR86" s="133"/>
      <c r="DS86" s="133"/>
      <c r="DT86" s="133"/>
      <c r="DU86" s="133"/>
      <c r="DV86" s="133"/>
      <c r="DW86" s="133"/>
      <c r="DX86" s="157"/>
      <c r="DY86" s="157"/>
      <c r="DZ86" s="147"/>
      <c r="EA86" s="147"/>
      <c r="EB86" s="157"/>
      <c r="EC86" s="157"/>
      <c r="ED86" s="147"/>
      <c r="EE86" s="147"/>
      <c r="EF86" s="147"/>
      <c r="EG86" s="143"/>
      <c r="EH86" s="147"/>
      <c r="EI86" s="147"/>
      <c r="EJ86" s="501"/>
      <c r="EK86" s="143"/>
      <c r="EL86" s="143"/>
      <c r="EM86" s="147"/>
      <c r="EN86" s="147"/>
      <c r="EO86" s="143"/>
      <c r="EP86" s="143"/>
      <c r="EQ86" s="157"/>
      <c r="ER86" s="157"/>
      <c r="ES86" s="157"/>
      <c r="ET86" s="157"/>
    </row>
    <row r="87" spans="2:368">
      <c r="D87" s="66"/>
      <c r="J87" s="327"/>
      <c r="O87" s="6"/>
      <c r="P87" s="6"/>
      <c r="Q87" s="6"/>
      <c r="R87" s="6"/>
      <c r="S87" s="6"/>
      <c r="T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133"/>
      <c r="AJ87" s="133"/>
      <c r="AK87" s="133"/>
      <c r="AL87" s="133"/>
      <c r="AM87" s="133"/>
      <c r="AN87" s="133"/>
      <c r="AO87" s="133"/>
      <c r="AP87" s="133"/>
      <c r="AQ87" s="133"/>
      <c r="AR87" s="133"/>
      <c r="AU87" s="133"/>
      <c r="AV87" s="133"/>
      <c r="AW87" s="133"/>
      <c r="AX87" s="133"/>
      <c r="AY87" s="133"/>
      <c r="AZ87" s="133"/>
      <c r="BA87" s="133"/>
      <c r="BB87" s="133"/>
      <c r="BC87" s="6"/>
      <c r="BD87" s="8"/>
      <c r="BE87" s="133"/>
      <c r="BF87" s="133"/>
      <c r="BG87" s="133"/>
      <c r="BH87" s="133"/>
      <c r="BI87" s="143"/>
      <c r="BJ87" s="133"/>
      <c r="BK87" s="143"/>
      <c r="BL87" s="133"/>
      <c r="BM87" s="143"/>
      <c r="BN87" s="133"/>
      <c r="BO87" s="147"/>
      <c r="BP87" s="147"/>
      <c r="BR87" s="147"/>
      <c r="BS87" s="147"/>
      <c r="BT87" s="143"/>
      <c r="BU87" s="147"/>
      <c r="BV87" s="476"/>
      <c r="BW87" s="143"/>
      <c r="BX87" s="3"/>
      <c r="BY87" s="3"/>
      <c r="BZ87" s="157"/>
      <c r="CA87" s="157"/>
      <c r="CB87" s="157"/>
      <c r="CC87" s="158"/>
      <c r="CD87" s="157"/>
      <c r="CE87" s="477"/>
      <c r="CF87" s="157"/>
      <c r="CG87" s="157"/>
      <c r="CH87" s="157"/>
      <c r="CI87" s="157"/>
      <c r="CJ87" s="157"/>
      <c r="CK87" s="157"/>
      <c r="CL87" s="157"/>
      <c r="CM87" s="157"/>
      <c r="CN87" s="66"/>
      <c r="CO87" s="66"/>
      <c r="CP87" s="3"/>
      <c r="CQ87" s="60"/>
      <c r="CR87" s="3"/>
      <c r="CS87" s="3"/>
      <c r="CT87" s="6"/>
      <c r="CU87" s="6"/>
      <c r="CV87" s="4"/>
      <c r="CW87" s="4"/>
      <c r="CX87" s="157"/>
      <c r="CY87" s="157"/>
      <c r="CZ87" s="143"/>
      <c r="DA87" s="143"/>
      <c r="DB87" s="159"/>
      <c r="DC87" s="167"/>
      <c r="DD87" s="157"/>
      <c r="DE87" s="157"/>
      <c r="DF87" s="147"/>
      <c r="DG87" s="133"/>
      <c r="DH87" s="159"/>
      <c r="DI87" s="167"/>
      <c r="DJ87" s="157"/>
      <c r="DK87" s="157"/>
      <c r="DL87" s="143"/>
      <c r="DM87" s="143"/>
      <c r="DN87" s="147"/>
      <c r="DO87" s="147"/>
      <c r="DP87" s="133"/>
      <c r="DQ87" s="133"/>
      <c r="DR87" s="133"/>
      <c r="DS87" s="133"/>
      <c r="DT87" s="133"/>
      <c r="DU87" s="133"/>
      <c r="DV87" s="133"/>
      <c r="DW87" s="133"/>
      <c r="DX87" s="157"/>
      <c r="DY87" s="157"/>
      <c r="DZ87" s="147"/>
      <c r="EA87" s="147"/>
      <c r="EB87" s="157"/>
      <c r="EC87" s="157"/>
      <c r="ED87" s="147"/>
      <c r="EE87" s="147"/>
      <c r="EF87" s="147"/>
      <c r="EG87" s="143"/>
      <c r="EH87" s="147"/>
      <c r="EI87" s="147"/>
      <c r="EJ87" s="501"/>
      <c r="EK87" s="143"/>
      <c r="EL87" s="143"/>
      <c r="EM87" s="147"/>
      <c r="EN87" s="147"/>
      <c r="EO87" s="143"/>
      <c r="EP87" s="143"/>
      <c r="EQ87" s="157"/>
      <c r="ER87" s="157"/>
      <c r="ES87" s="157"/>
      <c r="ET87" s="157"/>
    </row>
    <row r="88" spans="2:368">
      <c r="D88" s="66"/>
      <c r="J88" s="327"/>
      <c r="O88" s="6"/>
      <c r="P88" s="6"/>
      <c r="Q88" s="6"/>
      <c r="R88" s="6"/>
      <c r="S88" s="6"/>
      <c r="T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133"/>
      <c r="AJ88" s="133"/>
      <c r="AK88" s="133"/>
      <c r="AL88" s="133"/>
      <c r="AM88" s="133"/>
      <c r="AN88" s="133"/>
      <c r="AO88" s="133"/>
      <c r="AP88" s="133"/>
      <c r="AQ88" s="133"/>
      <c r="AR88" s="133"/>
      <c r="AU88" s="133"/>
      <c r="AV88" s="133"/>
      <c r="AW88" s="133"/>
      <c r="AX88" s="133"/>
      <c r="AY88" s="133"/>
      <c r="AZ88" s="133"/>
      <c r="BA88" s="133"/>
      <c r="BB88" s="133"/>
      <c r="BC88" s="6"/>
      <c r="BD88" s="8"/>
      <c r="BE88" s="133"/>
      <c r="BF88" s="133"/>
      <c r="BG88" s="133"/>
      <c r="BH88" s="133"/>
      <c r="BI88" s="143"/>
      <c r="BJ88" s="133"/>
      <c r="BK88" s="143"/>
      <c r="BL88" s="133"/>
      <c r="BM88" s="143"/>
      <c r="BN88" s="133"/>
      <c r="BO88" s="147"/>
      <c r="BP88" s="147"/>
      <c r="BR88" s="147"/>
      <c r="BS88" s="147"/>
      <c r="BT88" s="143"/>
      <c r="BU88" s="147"/>
      <c r="BV88" s="476"/>
      <c r="BW88" s="143"/>
      <c r="BX88" s="3"/>
      <c r="BY88" s="3"/>
      <c r="BZ88" s="157"/>
      <c r="CA88" s="157"/>
      <c r="CB88" s="157"/>
      <c r="CC88" s="158"/>
      <c r="CD88" s="157"/>
      <c r="CE88" s="477"/>
      <c r="CF88" s="157"/>
      <c r="CG88" s="157"/>
      <c r="CH88" s="157"/>
      <c r="CI88" s="157"/>
      <c r="CJ88" s="157"/>
      <c r="CK88" s="157"/>
      <c r="CL88" s="157"/>
      <c r="CM88" s="157"/>
      <c r="CN88" s="66"/>
      <c r="CO88" s="66"/>
      <c r="CP88" s="3"/>
      <c r="CQ88" s="60"/>
      <c r="CR88" s="3"/>
      <c r="CS88" s="3"/>
      <c r="CT88" s="6"/>
      <c r="CU88" s="6"/>
      <c r="CV88" s="4"/>
      <c r="CW88" s="4"/>
      <c r="CX88" s="157"/>
      <c r="CY88" s="157"/>
      <c r="CZ88" s="143"/>
      <c r="DA88" s="143"/>
      <c r="DB88" s="159"/>
      <c r="DC88" s="167"/>
      <c r="DD88" s="157"/>
      <c r="DE88" s="157"/>
      <c r="DF88" s="147"/>
      <c r="DG88" s="133"/>
      <c r="DH88" s="159"/>
      <c r="DI88" s="167"/>
      <c r="DJ88" s="157"/>
      <c r="DK88" s="157"/>
      <c r="DL88" s="143"/>
      <c r="DM88" s="143"/>
      <c r="DN88" s="147"/>
      <c r="DO88" s="147"/>
      <c r="DP88" s="133"/>
      <c r="DQ88" s="133"/>
      <c r="DR88" s="133"/>
      <c r="DS88" s="133"/>
      <c r="DT88" s="133"/>
      <c r="DU88" s="133"/>
      <c r="DV88" s="133"/>
      <c r="DW88" s="133"/>
      <c r="DX88" s="157"/>
      <c r="DY88" s="157"/>
      <c r="DZ88" s="147"/>
      <c r="EA88" s="147"/>
      <c r="EB88" s="157"/>
      <c r="EC88" s="157"/>
      <c r="ED88" s="147"/>
      <c r="EE88" s="147"/>
      <c r="EF88" s="147"/>
      <c r="EG88" s="143"/>
      <c r="EH88" s="147"/>
      <c r="EI88" s="147"/>
      <c r="EJ88" s="501"/>
      <c r="EK88" s="143"/>
      <c r="EL88" s="143"/>
      <c r="EM88" s="147"/>
      <c r="EN88" s="147"/>
      <c r="EO88" s="143"/>
      <c r="EP88" s="143"/>
      <c r="EQ88" s="157"/>
      <c r="ER88" s="157"/>
      <c r="ES88" s="157"/>
      <c r="ET88" s="157"/>
    </row>
    <row r="89" spans="2:368">
      <c r="D89" s="66"/>
      <c r="J89" s="327"/>
      <c r="O89" s="6"/>
      <c r="P89" s="6"/>
      <c r="Q89" s="6"/>
      <c r="R89" s="6"/>
      <c r="S89" s="6"/>
      <c r="T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133"/>
      <c r="AJ89" s="133"/>
      <c r="AK89" s="133"/>
      <c r="AL89" s="133"/>
      <c r="AM89" s="133"/>
      <c r="AN89" s="133"/>
      <c r="AO89" s="133"/>
      <c r="AP89" s="133"/>
      <c r="AQ89" s="133"/>
      <c r="AR89" s="133"/>
      <c r="AU89" s="133"/>
      <c r="AV89" s="133"/>
      <c r="AW89" s="133"/>
      <c r="AX89" s="133"/>
      <c r="AY89" s="133"/>
      <c r="AZ89" s="133"/>
      <c r="BA89" s="133"/>
      <c r="BB89" s="133"/>
      <c r="BC89" s="6"/>
      <c r="BD89" s="8"/>
      <c r="BE89" s="133"/>
      <c r="BF89" s="133"/>
      <c r="BG89" s="133"/>
      <c r="BH89" s="133"/>
      <c r="BI89" s="143"/>
      <c r="BJ89" s="133"/>
      <c r="BK89" s="143"/>
      <c r="BL89" s="133"/>
      <c r="BM89" s="143"/>
      <c r="BN89" s="133"/>
      <c r="BO89" s="147"/>
      <c r="BP89" s="147"/>
      <c r="BR89" s="147"/>
      <c r="BS89" s="147"/>
      <c r="BT89" s="143"/>
      <c r="BU89" s="147"/>
      <c r="BV89" s="476"/>
      <c r="BW89" s="143"/>
      <c r="BX89" s="3"/>
      <c r="BY89" s="3"/>
      <c r="BZ89" s="157"/>
      <c r="CA89" s="157"/>
      <c r="CB89" s="157"/>
      <c r="CC89" s="158"/>
      <c r="CD89" s="157"/>
      <c r="CE89" s="477"/>
      <c r="CF89" s="157"/>
      <c r="CG89" s="157"/>
      <c r="CH89" s="157"/>
      <c r="CI89" s="157"/>
      <c r="CJ89" s="157"/>
      <c r="CK89" s="157"/>
      <c r="CL89" s="157"/>
      <c r="CM89" s="157"/>
      <c r="CN89" s="66"/>
      <c r="CO89" s="66"/>
      <c r="CP89" s="3"/>
      <c r="CQ89" s="60"/>
      <c r="CR89" s="3"/>
      <c r="CS89" s="3"/>
      <c r="CT89" s="6"/>
      <c r="CU89" s="6"/>
      <c r="CV89" s="4"/>
      <c r="CW89" s="4"/>
      <c r="CX89" s="157"/>
      <c r="CY89" s="157"/>
      <c r="CZ89" s="143"/>
      <c r="DA89" s="143"/>
      <c r="DB89" s="159"/>
      <c r="DC89" s="167"/>
      <c r="DD89" s="157"/>
      <c r="DE89" s="157"/>
      <c r="DF89" s="147"/>
      <c r="DG89" s="133"/>
      <c r="DH89" s="159"/>
      <c r="DI89" s="167"/>
      <c r="DJ89" s="157"/>
      <c r="DK89" s="157"/>
      <c r="DL89" s="143"/>
      <c r="DM89" s="143"/>
      <c r="DN89" s="147"/>
      <c r="DO89" s="147"/>
      <c r="DP89" s="133"/>
      <c r="DQ89" s="133"/>
      <c r="DR89" s="133"/>
      <c r="DS89" s="133"/>
      <c r="DT89" s="133"/>
      <c r="DU89" s="133"/>
      <c r="DV89" s="133"/>
      <c r="DW89" s="133"/>
      <c r="DX89" s="157"/>
      <c r="DY89" s="157"/>
      <c r="DZ89" s="147"/>
      <c r="EA89" s="147"/>
      <c r="EB89" s="157"/>
      <c r="EC89" s="157"/>
      <c r="ED89" s="147"/>
      <c r="EE89" s="147"/>
      <c r="EF89" s="147"/>
      <c r="EG89" s="143"/>
      <c r="EH89" s="147"/>
      <c r="EI89" s="147"/>
      <c r="EJ89" s="501"/>
      <c r="EK89" s="143"/>
      <c r="EL89" s="143"/>
      <c r="EM89" s="147"/>
      <c r="EN89" s="147"/>
      <c r="EO89" s="143"/>
      <c r="EP89" s="143"/>
      <c r="EQ89" s="157"/>
      <c r="ER89" s="157"/>
      <c r="ES89" s="157"/>
      <c r="ET89" s="157"/>
    </row>
    <row r="90" spans="2:368">
      <c r="D90" s="66"/>
      <c r="J90" s="327"/>
      <c r="O90" s="6"/>
      <c r="P90" s="6"/>
      <c r="Q90" s="6"/>
      <c r="R90" s="6"/>
      <c r="S90" s="6"/>
      <c r="T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133"/>
      <c r="AJ90" s="133"/>
      <c r="AK90" s="133"/>
      <c r="AL90" s="133"/>
      <c r="AM90" s="133"/>
      <c r="AN90" s="133"/>
      <c r="AO90" s="133"/>
      <c r="AP90" s="133"/>
      <c r="AQ90" s="133"/>
      <c r="AR90" s="133"/>
      <c r="AU90" s="133"/>
      <c r="AV90" s="133"/>
      <c r="AW90" s="133"/>
      <c r="AX90" s="133"/>
      <c r="AY90" s="133"/>
      <c r="AZ90" s="133"/>
      <c r="BA90" s="133"/>
      <c r="BB90" s="133"/>
      <c r="BC90" s="6"/>
      <c r="BD90" s="8"/>
      <c r="BE90" s="133"/>
      <c r="BF90" s="133"/>
      <c r="BG90" s="133"/>
      <c r="BH90" s="133"/>
      <c r="BI90" s="143"/>
      <c r="BJ90" s="133"/>
      <c r="BK90" s="143"/>
      <c r="BL90" s="133"/>
      <c r="BM90" s="143"/>
      <c r="BN90" s="133"/>
      <c r="BO90" s="147"/>
      <c r="BP90" s="147"/>
      <c r="BR90" s="147"/>
      <c r="BS90" s="147"/>
      <c r="BT90" s="143"/>
      <c r="BU90" s="147"/>
      <c r="BV90" s="476"/>
      <c r="BW90" s="143"/>
      <c r="BX90" s="3"/>
      <c r="BY90" s="3"/>
      <c r="BZ90" s="157"/>
      <c r="CA90" s="157"/>
      <c r="CB90" s="157"/>
      <c r="CC90" s="158"/>
      <c r="CD90" s="157"/>
      <c r="CE90" s="477"/>
      <c r="CF90" s="157"/>
      <c r="CG90" s="157"/>
      <c r="CH90" s="157"/>
      <c r="CI90" s="157"/>
      <c r="CJ90" s="157"/>
      <c r="CK90" s="157"/>
      <c r="CL90" s="157"/>
      <c r="CM90" s="157"/>
      <c r="CN90" s="66"/>
      <c r="CO90" s="66"/>
      <c r="CP90" s="3"/>
      <c r="CQ90" s="60"/>
      <c r="CR90" s="3"/>
      <c r="CS90" s="3"/>
      <c r="CT90" s="6"/>
      <c r="CU90" s="6"/>
      <c r="CV90" s="4"/>
      <c r="CW90" s="4"/>
      <c r="CX90" s="157"/>
      <c r="CY90" s="157"/>
      <c r="CZ90" s="143"/>
      <c r="DA90" s="143"/>
      <c r="DB90" s="159"/>
      <c r="DC90" s="167"/>
      <c r="DD90" s="157"/>
      <c r="DE90" s="157"/>
      <c r="DF90" s="147"/>
      <c r="DG90" s="133"/>
      <c r="DH90" s="159"/>
      <c r="DI90" s="167"/>
      <c r="DJ90" s="157"/>
      <c r="DK90" s="157"/>
      <c r="DL90" s="143"/>
      <c r="DM90" s="143"/>
      <c r="DN90" s="147"/>
      <c r="DO90" s="147"/>
      <c r="DP90" s="133"/>
      <c r="DQ90" s="133"/>
      <c r="DR90" s="133"/>
      <c r="DS90" s="133"/>
      <c r="DT90" s="133"/>
      <c r="DU90" s="133"/>
      <c r="DV90" s="133"/>
      <c r="DW90" s="133"/>
      <c r="DX90" s="157"/>
      <c r="DY90" s="157"/>
      <c r="DZ90" s="147"/>
      <c r="EA90" s="147"/>
      <c r="EB90" s="157"/>
      <c r="EC90" s="157"/>
      <c r="ED90" s="147"/>
      <c r="EE90" s="147"/>
      <c r="EF90" s="147"/>
      <c r="EG90" s="143"/>
      <c r="EH90" s="147"/>
      <c r="EI90" s="147"/>
      <c r="EJ90" s="501"/>
      <c r="EK90" s="143"/>
      <c r="EL90" s="143"/>
      <c r="EM90" s="147"/>
      <c r="EN90" s="147"/>
      <c r="EO90" s="143"/>
      <c r="EP90" s="143"/>
      <c r="EQ90" s="157"/>
      <c r="ER90" s="157"/>
      <c r="ES90" s="157"/>
      <c r="ET90" s="157"/>
    </row>
    <row r="91" spans="2:368">
      <c r="D91" s="66"/>
      <c r="J91" s="327"/>
      <c r="O91" s="6"/>
      <c r="P91" s="6"/>
      <c r="Q91" s="6"/>
      <c r="R91" s="6"/>
      <c r="S91" s="6"/>
      <c r="T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133"/>
      <c r="AJ91" s="133"/>
      <c r="AK91" s="133"/>
      <c r="AL91" s="133"/>
      <c r="AM91" s="133"/>
      <c r="AN91" s="133"/>
      <c r="AO91" s="133"/>
      <c r="AP91" s="133"/>
      <c r="AQ91" s="133"/>
      <c r="AR91" s="133"/>
      <c r="AU91" s="133"/>
      <c r="AV91" s="133"/>
      <c r="AW91" s="133"/>
      <c r="AX91" s="133"/>
      <c r="AY91" s="133"/>
      <c r="AZ91" s="133"/>
      <c r="BA91" s="133"/>
      <c r="BB91" s="133"/>
      <c r="BC91" s="6"/>
      <c r="BD91" s="8"/>
      <c r="BE91" s="133"/>
      <c r="BF91" s="133"/>
      <c r="BG91" s="133"/>
      <c r="BH91" s="133"/>
      <c r="BI91" s="143"/>
      <c r="BJ91" s="133"/>
      <c r="BK91" s="143"/>
      <c r="BL91" s="133"/>
      <c r="BM91" s="143"/>
      <c r="BN91" s="133"/>
      <c r="BO91" s="147"/>
      <c r="BP91" s="147"/>
      <c r="BR91" s="147"/>
      <c r="BS91" s="147"/>
      <c r="BT91" s="143"/>
      <c r="BU91" s="147"/>
      <c r="BV91" s="476"/>
      <c r="BW91" s="143"/>
      <c r="BX91" s="3"/>
      <c r="BY91" s="3"/>
      <c r="BZ91" s="157"/>
      <c r="CA91" s="157"/>
      <c r="CB91" s="157"/>
      <c r="CC91" s="158"/>
      <c r="CD91" s="157"/>
      <c r="CE91" s="477"/>
      <c r="CF91" s="157"/>
      <c r="CG91" s="157"/>
      <c r="CH91" s="157"/>
      <c r="CI91" s="157"/>
      <c r="CJ91" s="157"/>
      <c r="CK91" s="157"/>
      <c r="CL91" s="157"/>
      <c r="CM91" s="157"/>
      <c r="CN91" s="66"/>
      <c r="CO91" s="66"/>
      <c r="CP91" s="3"/>
      <c r="CQ91" s="60"/>
      <c r="CR91" s="3"/>
      <c r="CS91" s="3"/>
      <c r="CT91" s="6"/>
      <c r="CU91" s="6"/>
      <c r="CV91" s="4"/>
      <c r="CW91" s="4"/>
      <c r="CX91" s="157"/>
      <c r="CY91" s="157"/>
      <c r="CZ91" s="143"/>
      <c r="DA91" s="143"/>
      <c r="DB91" s="159"/>
      <c r="DC91" s="167"/>
      <c r="DD91" s="157"/>
      <c r="DE91" s="157"/>
      <c r="DF91" s="147"/>
      <c r="DG91" s="133"/>
      <c r="DH91" s="159"/>
      <c r="DI91" s="167"/>
      <c r="DJ91" s="157"/>
      <c r="DK91" s="157"/>
      <c r="DL91" s="143"/>
      <c r="DM91" s="143"/>
      <c r="DN91" s="147"/>
      <c r="DO91" s="147"/>
      <c r="DP91" s="133"/>
      <c r="DQ91" s="133"/>
      <c r="DR91" s="133"/>
      <c r="DS91" s="133"/>
      <c r="DT91" s="133"/>
      <c r="DU91" s="133"/>
      <c r="DV91" s="133"/>
      <c r="DW91" s="133"/>
      <c r="DX91" s="157"/>
      <c r="DY91" s="157"/>
      <c r="DZ91" s="147"/>
      <c r="EA91" s="147"/>
      <c r="EB91" s="157"/>
      <c r="EC91" s="157"/>
      <c r="ED91" s="147"/>
      <c r="EE91" s="147"/>
      <c r="EF91" s="147"/>
      <c r="EG91" s="143"/>
      <c r="EH91" s="147"/>
      <c r="EI91" s="147"/>
      <c r="EJ91" s="501"/>
      <c r="EK91" s="143"/>
      <c r="EL91" s="143"/>
      <c r="EM91" s="147"/>
      <c r="EN91" s="147"/>
      <c r="EO91" s="143"/>
      <c r="EP91" s="143"/>
      <c r="EQ91" s="157"/>
      <c r="ER91" s="157"/>
      <c r="ES91" s="157"/>
      <c r="ET91" s="157"/>
    </row>
    <row r="92" spans="2:368">
      <c r="D92" s="66"/>
      <c r="J92" s="327"/>
      <c r="O92" s="6"/>
      <c r="P92" s="6"/>
      <c r="Q92" s="6"/>
      <c r="R92" s="6"/>
      <c r="S92" s="6"/>
      <c r="T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133"/>
      <c r="AJ92" s="133"/>
      <c r="AK92" s="133"/>
      <c r="AL92" s="133"/>
      <c r="AM92" s="133"/>
      <c r="AN92" s="133"/>
      <c r="AO92" s="133"/>
      <c r="AP92" s="133"/>
      <c r="AQ92" s="133"/>
      <c r="AR92" s="133"/>
      <c r="AU92" s="133"/>
      <c r="AV92" s="133"/>
      <c r="AW92" s="133"/>
      <c r="AX92" s="133"/>
      <c r="AY92" s="133"/>
      <c r="AZ92" s="133"/>
      <c r="BA92" s="133"/>
      <c r="BB92" s="133"/>
      <c r="BC92" s="6"/>
      <c r="BD92" s="8"/>
      <c r="BE92" s="133"/>
      <c r="BF92" s="133"/>
      <c r="BG92" s="133"/>
      <c r="BH92" s="133"/>
      <c r="BI92" s="143"/>
      <c r="BJ92" s="133"/>
      <c r="BK92" s="143"/>
      <c r="BL92" s="133"/>
      <c r="BM92" s="143"/>
      <c r="BN92" s="133"/>
      <c r="BO92" s="147"/>
      <c r="BP92" s="147"/>
      <c r="BR92" s="147"/>
      <c r="BS92" s="147"/>
      <c r="BT92" s="143"/>
      <c r="BU92" s="147"/>
      <c r="BV92" s="476"/>
      <c r="BW92" s="143"/>
      <c r="BX92" s="3"/>
      <c r="BY92" s="3"/>
      <c r="BZ92" s="157"/>
      <c r="CA92" s="157"/>
      <c r="CB92" s="157"/>
      <c r="CC92" s="158"/>
      <c r="CD92" s="157"/>
      <c r="CE92" s="477"/>
      <c r="CF92" s="157"/>
      <c r="CG92" s="157"/>
      <c r="CH92" s="157"/>
      <c r="CI92" s="157"/>
      <c r="CJ92" s="157"/>
      <c r="CK92" s="157"/>
      <c r="CL92" s="157"/>
      <c r="CM92" s="157"/>
      <c r="CN92" s="66"/>
      <c r="CO92" s="66"/>
      <c r="CP92" s="3"/>
      <c r="CQ92" s="60"/>
      <c r="CR92" s="3"/>
      <c r="CS92" s="3"/>
      <c r="CT92" s="6"/>
      <c r="CU92" s="6"/>
      <c r="CV92" s="4"/>
      <c r="CW92" s="4"/>
      <c r="CX92" s="157"/>
      <c r="CY92" s="157"/>
      <c r="CZ92" s="143"/>
      <c r="DA92" s="143"/>
      <c r="DB92" s="159"/>
      <c r="DC92" s="167"/>
      <c r="DD92" s="157"/>
      <c r="DE92" s="157"/>
      <c r="DF92" s="147"/>
      <c r="DG92" s="133"/>
      <c r="DH92" s="159"/>
      <c r="DI92" s="167"/>
      <c r="DJ92" s="157"/>
      <c r="DK92" s="157"/>
      <c r="DL92" s="143"/>
      <c r="DM92" s="143"/>
      <c r="DN92" s="147"/>
      <c r="DO92" s="147"/>
      <c r="DP92" s="133"/>
      <c r="DQ92" s="133"/>
      <c r="DR92" s="133"/>
      <c r="DS92" s="133"/>
      <c r="DT92" s="133"/>
      <c r="DU92" s="133"/>
      <c r="DV92" s="133"/>
      <c r="DW92" s="133"/>
      <c r="DX92" s="157"/>
      <c r="DY92" s="157"/>
      <c r="DZ92" s="147"/>
      <c r="EA92" s="147"/>
      <c r="EB92" s="157"/>
      <c r="EC92" s="157"/>
      <c r="ED92" s="147"/>
      <c r="EE92" s="147"/>
      <c r="EF92" s="147"/>
      <c r="EG92" s="143"/>
      <c r="EH92" s="147"/>
      <c r="EI92" s="147"/>
      <c r="EJ92" s="501"/>
      <c r="EK92" s="143"/>
      <c r="EL92" s="143"/>
      <c r="EM92" s="147"/>
      <c r="EN92" s="147"/>
      <c r="EO92" s="143"/>
      <c r="EP92" s="143"/>
      <c r="EQ92" s="157"/>
      <c r="ER92" s="157"/>
      <c r="ES92" s="157"/>
      <c r="ET92" s="157"/>
    </row>
    <row r="93" spans="2:368">
      <c r="D93" s="66"/>
      <c r="J93" s="327"/>
      <c r="O93" s="6"/>
      <c r="P93" s="6"/>
      <c r="Q93" s="6"/>
      <c r="R93" s="6"/>
      <c r="S93" s="6"/>
      <c r="T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133"/>
      <c r="AJ93" s="133"/>
      <c r="AK93" s="133"/>
      <c r="AL93" s="133"/>
      <c r="AM93" s="133"/>
      <c r="AN93" s="133"/>
      <c r="AO93" s="133"/>
      <c r="AP93" s="133"/>
      <c r="AQ93" s="133"/>
      <c r="AR93" s="133"/>
      <c r="AU93" s="133"/>
      <c r="AV93" s="133"/>
      <c r="AW93" s="133"/>
      <c r="AX93" s="133"/>
      <c r="AY93" s="133"/>
      <c r="AZ93" s="133"/>
      <c r="BA93" s="133"/>
      <c r="BB93" s="133"/>
      <c r="BC93" s="6"/>
      <c r="BD93" s="8"/>
      <c r="BE93" s="133"/>
      <c r="BF93" s="133"/>
      <c r="BG93" s="133"/>
      <c r="BH93" s="133"/>
      <c r="BI93" s="143"/>
      <c r="BJ93" s="133"/>
      <c r="BK93" s="143"/>
      <c r="BL93" s="133"/>
      <c r="BM93" s="143"/>
      <c r="BN93" s="133"/>
      <c r="BO93" s="147"/>
      <c r="BP93" s="147"/>
      <c r="BR93" s="147"/>
      <c r="BS93" s="147"/>
      <c r="BT93" s="143"/>
      <c r="BU93" s="147"/>
      <c r="BV93" s="476"/>
      <c r="BW93" s="143"/>
      <c r="BX93" s="3"/>
      <c r="BY93" s="3"/>
      <c r="BZ93" s="157"/>
      <c r="CA93" s="157"/>
      <c r="CB93" s="157"/>
      <c r="CC93" s="158"/>
      <c r="CD93" s="157"/>
      <c r="CE93" s="477"/>
      <c r="CF93" s="157"/>
      <c r="CG93" s="157"/>
      <c r="CH93" s="157"/>
      <c r="CI93" s="157"/>
      <c r="CJ93" s="157"/>
      <c r="CK93" s="157"/>
      <c r="CL93" s="157"/>
      <c r="CM93" s="157"/>
      <c r="CN93" s="66"/>
      <c r="CO93" s="66"/>
      <c r="CP93" s="3"/>
      <c r="CQ93" s="60"/>
      <c r="CR93" s="3"/>
      <c r="CS93" s="3"/>
      <c r="CT93" s="6"/>
      <c r="CU93" s="6"/>
      <c r="CV93" s="4"/>
      <c r="CW93" s="4"/>
      <c r="CX93" s="157"/>
      <c r="CY93" s="157"/>
      <c r="CZ93" s="143"/>
      <c r="DA93" s="143"/>
      <c r="DB93" s="159"/>
      <c r="DC93" s="167"/>
      <c r="DD93" s="157"/>
      <c r="DE93" s="157"/>
      <c r="DF93" s="147"/>
      <c r="DG93" s="133"/>
      <c r="DH93" s="159"/>
      <c r="DI93" s="167"/>
      <c r="DJ93" s="157"/>
      <c r="DK93" s="157"/>
      <c r="DL93" s="143"/>
      <c r="DM93" s="143"/>
      <c r="DN93" s="147"/>
      <c r="DO93" s="147"/>
      <c r="DP93" s="133"/>
      <c r="DQ93" s="133"/>
      <c r="DR93" s="133"/>
      <c r="DS93" s="133"/>
      <c r="DT93" s="133"/>
      <c r="DU93" s="133"/>
      <c r="DV93" s="133"/>
      <c r="DW93" s="133"/>
      <c r="DX93" s="157"/>
      <c r="DY93" s="157"/>
      <c r="DZ93" s="147"/>
      <c r="EA93" s="147"/>
      <c r="EB93" s="157"/>
      <c r="EC93" s="157"/>
      <c r="ED93" s="147"/>
      <c r="EE93" s="147"/>
      <c r="EF93" s="147"/>
      <c r="EG93" s="143"/>
      <c r="EH93" s="147"/>
      <c r="EI93" s="147"/>
      <c r="EJ93" s="501"/>
      <c r="EK93" s="143"/>
      <c r="EL93" s="143"/>
      <c r="EM93" s="147"/>
      <c r="EN93" s="147"/>
      <c r="EO93" s="143"/>
      <c r="EP93" s="143"/>
      <c r="EQ93" s="157"/>
      <c r="ER93" s="157"/>
      <c r="ES93" s="157"/>
      <c r="ET93" s="157"/>
    </row>
    <row r="94" spans="2:368">
      <c r="D94" s="66"/>
      <c r="J94" s="327"/>
      <c r="O94" s="6"/>
      <c r="P94" s="6"/>
      <c r="Q94" s="6"/>
      <c r="R94" s="6"/>
      <c r="S94" s="6"/>
      <c r="T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133"/>
      <c r="AJ94" s="133"/>
      <c r="AK94" s="133"/>
      <c r="AL94" s="133"/>
      <c r="AM94" s="133"/>
      <c r="AN94" s="133"/>
      <c r="AO94" s="133"/>
      <c r="AP94" s="133"/>
      <c r="AQ94" s="133"/>
      <c r="AR94" s="133"/>
      <c r="AU94" s="133"/>
      <c r="AV94" s="133"/>
      <c r="AW94" s="133"/>
      <c r="AX94" s="133"/>
      <c r="AY94" s="133"/>
      <c r="AZ94" s="133"/>
      <c r="BA94" s="133"/>
      <c r="BB94" s="133"/>
      <c r="BC94" s="6"/>
      <c r="BD94" s="8"/>
      <c r="BE94" s="133"/>
      <c r="BF94" s="133"/>
      <c r="BG94" s="133"/>
      <c r="BH94" s="133"/>
      <c r="BI94" s="143"/>
      <c r="BJ94" s="133"/>
      <c r="BK94" s="143"/>
      <c r="BL94" s="133"/>
      <c r="BM94" s="143"/>
      <c r="BN94" s="133"/>
      <c r="BO94" s="147"/>
      <c r="BP94" s="147"/>
      <c r="BR94" s="147"/>
      <c r="BS94" s="147"/>
      <c r="BT94" s="143"/>
      <c r="BU94" s="147"/>
      <c r="BV94" s="476"/>
      <c r="BW94" s="143"/>
      <c r="BX94" s="3"/>
      <c r="BY94" s="3"/>
      <c r="BZ94" s="157"/>
      <c r="CA94" s="157"/>
      <c r="CB94" s="157"/>
      <c r="CC94" s="158"/>
      <c r="CD94" s="157"/>
      <c r="CE94" s="477"/>
      <c r="CF94" s="157"/>
      <c r="CG94" s="157"/>
      <c r="CH94" s="157"/>
      <c r="CI94" s="157"/>
      <c r="CJ94" s="157"/>
      <c r="CK94" s="157"/>
      <c r="CL94" s="157"/>
      <c r="CM94" s="157"/>
      <c r="CN94" s="66"/>
      <c r="CO94" s="66"/>
      <c r="CP94" s="3"/>
      <c r="CQ94" s="60"/>
      <c r="CR94" s="3"/>
      <c r="CS94" s="3"/>
      <c r="CT94" s="6"/>
      <c r="CU94" s="6"/>
      <c r="CV94" s="4"/>
      <c r="CW94" s="4"/>
      <c r="CX94" s="157"/>
      <c r="CY94" s="157"/>
      <c r="CZ94" s="143"/>
      <c r="DA94" s="143"/>
      <c r="DB94" s="159"/>
      <c r="DC94" s="167"/>
      <c r="DD94" s="157"/>
      <c r="DE94" s="157"/>
      <c r="DF94" s="147"/>
      <c r="DG94" s="133"/>
      <c r="DH94" s="159"/>
      <c r="DI94" s="167"/>
      <c r="DJ94" s="157"/>
      <c r="DK94" s="157"/>
      <c r="DL94" s="143"/>
      <c r="DM94" s="143"/>
      <c r="DN94" s="147"/>
      <c r="DO94" s="147"/>
      <c r="DP94" s="133"/>
      <c r="DQ94" s="133"/>
      <c r="DR94" s="133"/>
      <c r="DS94" s="133"/>
      <c r="DT94" s="133"/>
      <c r="DU94" s="133"/>
      <c r="DV94" s="133"/>
      <c r="DW94" s="133"/>
      <c r="DX94" s="157"/>
      <c r="DY94" s="157"/>
      <c r="DZ94" s="147"/>
      <c r="EA94" s="147"/>
      <c r="EB94" s="157"/>
      <c r="EC94" s="157"/>
      <c r="ED94" s="147"/>
      <c r="EE94" s="147"/>
      <c r="EF94" s="147"/>
      <c r="EG94" s="143"/>
      <c r="EH94" s="147"/>
      <c r="EI94" s="147"/>
      <c r="EJ94" s="501"/>
      <c r="EK94" s="143"/>
      <c r="EL94" s="143"/>
      <c r="EM94" s="147"/>
      <c r="EN94" s="147"/>
      <c r="EO94" s="143"/>
      <c r="EP94" s="143"/>
      <c r="EQ94" s="157"/>
      <c r="ER94" s="157"/>
      <c r="ES94" s="157"/>
      <c r="ET94" s="157"/>
    </row>
    <row r="95" spans="2:368">
      <c r="D95" s="66"/>
      <c r="J95" s="327"/>
      <c r="O95" s="6"/>
      <c r="P95" s="6"/>
      <c r="Q95" s="6"/>
      <c r="R95" s="6"/>
      <c r="S95" s="6"/>
      <c r="T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133"/>
      <c r="AJ95" s="133"/>
      <c r="AK95" s="133"/>
      <c r="AL95" s="133"/>
      <c r="AM95" s="133"/>
      <c r="AN95" s="133"/>
      <c r="AO95" s="133"/>
      <c r="AP95" s="133"/>
      <c r="AQ95" s="133"/>
      <c r="AR95" s="133"/>
      <c r="AU95" s="133"/>
      <c r="AV95" s="133"/>
      <c r="AW95" s="133"/>
      <c r="AX95" s="133"/>
      <c r="AY95" s="133"/>
      <c r="AZ95" s="133"/>
      <c r="BA95" s="133"/>
      <c r="BB95" s="133"/>
      <c r="BC95" s="6"/>
      <c r="BD95" s="8"/>
      <c r="BE95" s="133"/>
      <c r="BF95" s="133"/>
      <c r="BG95" s="133"/>
      <c r="BH95" s="133"/>
      <c r="BI95" s="143"/>
      <c r="BJ95" s="133"/>
      <c r="BK95" s="143"/>
      <c r="BL95" s="133"/>
      <c r="BM95" s="143"/>
      <c r="BN95" s="133"/>
      <c r="BO95" s="147"/>
      <c r="BP95" s="147"/>
      <c r="BR95" s="147"/>
      <c r="BS95" s="147"/>
      <c r="BT95" s="143"/>
      <c r="BU95" s="147"/>
      <c r="BV95" s="476"/>
      <c r="BW95" s="143"/>
      <c r="BX95" s="3"/>
      <c r="BY95" s="3"/>
      <c r="BZ95" s="157"/>
      <c r="CA95" s="157"/>
      <c r="CB95" s="157"/>
      <c r="CC95" s="158"/>
      <c r="CD95" s="157"/>
      <c r="CE95" s="477"/>
      <c r="CF95" s="157"/>
      <c r="CG95" s="157"/>
      <c r="CH95" s="157"/>
      <c r="CI95" s="157"/>
      <c r="CJ95" s="157"/>
      <c r="CK95" s="157"/>
      <c r="CL95" s="157"/>
      <c r="CM95" s="157"/>
      <c r="CN95" s="66"/>
      <c r="CO95" s="66"/>
      <c r="CP95" s="3"/>
      <c r="CQ95" s="60"/>
      <c r="CR95" s="3"/>
      <c r="CS95" s="3"/>
      <c r="CT95" s="6"/>
      <c r="CU95" s="6"/>
      <c r="CV95" s="4"/>
      <c r="CW95" s="4"/>
      <c r="CX95" s="157"/>
      <c r="CY95" s="157"/>
      <c r="CZ95" s="143"/>
      <c r="DA95" s="143"/>
      <c r="DB95" s="159"/>
      <c r="DC95" s="167"/>
      <c r="DD95" s="157"/>
      <c r="DE95" s="157"/>
      <c r="DF95" s="147"/>
      <c r="DG95" s="133"/>
      <c r="DH95" s="159"/>
      <c r="DI95" s="167"/>
      <c r="DJ95" s="157"/>
      <c r="DK95" s="157"/>
      <c r="DL95" s="143"/>
      <c r="DM95" s="143"/>
      <c r="DN95" s="147"/>
      <c r="DO95" s="147"/>
      <c r="DP95" s="133"/>
      <c r="DQ95" s="133"/>
      <c r="DR95" s="133"/>
      <c r="DS95" s="133"/>
      <c r="DT95" s="133"/>
      <c r="DU95" s="133"/>
      <c r="DV95" s="133"/>
      <c r="DW95" s="133"/>
      <c r="DX95" s="157"/>
      <c r="DY95" s="157"/>
      <c r="DZ95" s="147"/>
      <c r="EA95" s="147"/>
      <c r="EB95" s="157"/>
      <c r="EC95" s="157"/>
      <c r="ED95" s="147"/>
      <c r="EE95" s="147"/>
      <c r="EF95" s="147"/>
      <c r="EG95" s="143"/>
      <c r="EH95" s="147"/>
      <c r="EI95" s="147"/>
      <c r="EJ95" s="501"/>
      <c r="EK95" s="143"/>
      <c r="EL95" s="143"/>
      <c r="EM95" s="147"/>
      <c r="EN95" s="147"/>
      <c r="EO95" s="143"/>
      <c r="EP95" s="143"/>
      <c r="EQ95" s="157"/>
      <c r="ER95" s="157"/>
      <c r="ES95" s="157"/>
      <c r="ET95" s="157"/>
    </row>
    <row r="96" spans="2:368">
      <c r="D96" s="66"/>
      <c r="J96" s="327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133"/>
      <c r="AJ96" s="133"/>
      <c r="AK96" s="133"/>
      <c r="AL96" s="133"/>
      <c r="AM96" s="133"/>
      <c r="AN96" s="133"/>
      <c r="AO96" s="133"/>
      <c r="AP96" s="133"/>
      <c r="AQ96" s="133"/>
      <c r="AR96" s="133"/>
      <c r="AU96" s="133"/>
      <c r="AV96" s="133"/>
      <c r="AW96" s="133"/>
      <c r="AX96" s="133"/>
      <c r="AY96" s="133"/>
      <c r="AZ96" s="133"/>
      <c r="BA96" s="133"/>
      <c r="BB96" s="133"/>
      <c r="BC96" s="6"/>
      <c r="BD96" s="8"/>
      <c r="BE96" s="133"/>
      <c r="BF96" s="133"/>
      <c r="BG96" s="133"/>
      <c r="BH96" s="133"/>
      <c r="BI96" s="143"/>
      <c r="BJ96" s="133"/>
      <c r="BK96" s="143"/>
      <c r="BL96" s="133"/>
      <c r="BM96" s="143"/>
      <c r="BN96" s="133"/>
      <c r="BO96" s="147"/>
      <c r="BP96" s="147"/>
      <c r="BR96" s="147"/>
      <c r="BS96" s="147"/>
      <c r="BT96" s="143"/>
      <c r="BU96" s="147"/>
      <c r="BV96" s="476"/>
      <c r="BW96" s="143"/>
      <c r="BX96" s="3"/>
      <c r="BY96" s="3"/>
      <c r="BZ96" s="157"/>
      <c r="CA96" s="157"/>
      <c r="CB96" s="157"/>
      <c r="CC96" s="158"/>
      <c r="CD96" s="157"/>
      <c r="CE96" s="477"/>
      <c r="CF96" s="157"/>
      <c r="CG96" s="157"/>
      <c r="CH96" s="157"/>
      <c r="CI96" s="157"/>
      <c r="CJ96" s="157"/>
      <c r="CK96" s="157"/>
      <c r="CL96" s="157"/>
      <c r="CM96" s="157"/>
      <c r="CN96" s="66"/>
      <c r="CO96" s="66"/>
      <c r="CP96" s="3"/>
      <c r="CQ96" s="60"/>
      <c r="CR96" s="3"/>
      <c r="CS96" s="3"/>
      <c r="CT96" s="6"/>
      <c r="CU96" s="6"/>
      <c r="CV96" s="4"/>
      <c r="CW96" s="4"/>
      <c r="CX96" s="157"/>
      <c r="CY96" s="157"/>
      <c r="CZ96" s="143"/>
      <c r="DA96" s="143"/>
      <c r="DB96" s="159"/>
      <c r="DC96" s="167"/>
      <c r="DD96" s="157"/>
      <c r="DE96" s="157"/>
      <c r="DF96" s="147"/>
      <c r="DG96" s="133"/>
      <c r="DH96" s="159"/>
      <c r="DI96" s="167"/>
      <c r="DJ96" s="157"/>
      <c r="DK96" s="157"/>
      <c r="DL96" s="143"/>
      <c r="DM96" s="143"/>
      <c r="DN96" s="147"/>
      <c r="DO96" s="147"/>
      <c r="DP96" s="133"/>
      <c r="DQ96" s="133"/>
      <c r="DR96" s="133"/>
      <c r="DS96" s="133"/>
      <c r="DT96" s="133"/>
      <c r="DU96" s="133"/>
      <c r="DV96" s="133"/>
      <c r="DW96" s="133"/>
      <c r="DX96" s="157"/>
      <c r="DY96" s="157"/>
      <c r="DZ96" s="147"/>
      <c r="EA96" s="147"/>
      <c r="EB96" s="157"/>
      <c r="EC96" s="157"/>
      <c r="ED96" s="147"/>
      <c r="EE96" s="147"/>
      <c r="EF96" s="147"/>
      <c r="EG96" s="143"/>
      <c r="EH96" s="147"/>
      <c r="EI96" s="147"/>
      <c r="EJ96" s="501"/>
      <c r="EK96" s="143"/>
      <c r="EL96" s="143"/>
      <c r="EM96" s="147"/>
      <c r="EN96" s="147"/>
      <c r="EO96" s="143"/>
      <c r="EP96" s="143"/>
      <c r="EQ96" s="157"/>
      <c r="ER96" s="157"/>
      <c r="ES96" s="157"/>
      <c r="ET96" s="157"/>
    </row>
    <row r="97" spans="2:368">
      <c r="D97" s="66"/>
      <c r="J97" s="327"/>
      <c r="O97" s="6"/>
      <c r="P97" s="6"/>
      <c r="Q97" s="6"/>
      <c r="R97" s="6"/>
      <c r="S97" s="6"/>
      <c r="T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133"/>
      <c r="AJ97" s="133"/>
      <c r="AK97" s="133"/>
      <c r="AL97" s="133"/>
      <c r="AM97" s="133"/>
      <c r="AN97" s="133"/>
      <c r="AO97" s="133"/>
      <c r="AP97" s="133"/>
      <c r="AQ97" s="133"/>
      <c r="AR97" s="133"/>
      <c r="AU97" s="133"/>
      <c r="AV97" s="133"/>
      <c r="AW97" s="133"/>
      <c r="AX97" s="133"/>
      <c r="AY97" s="133"/>
      <c r="AZ97" s="133"/>
      <c r="BA97" s="133"/>
      <c r="BB97" s="133"/>
      <c r="BC97" s="6"/>
      <c r="BD97" s="8"/>
      <c r="BE97" s="133"/>
      <c r="BF97" s="133"/>
      <c r="BG97" s="133"/>
      <c r="BH97" s="133"/>
      <c r="BI97" s="143"/>
      <c r="BJ97" s="133"/>
      <c r="BK97" s="143"/>
      <c r="BL97" s="133"/>
      <c r="BM97" s="143"/>
      <c r="BN97" s="133"/>
      <c r="BO97" s="147"/>
      <c r="BP97" s="147"/>
      <c r="BR97" s="147"/>
      <c r="BS97" s="147"/>
      <c r="BT97" s="143"/>
      <c r="BU97" s="147"/>
      <c r="BV97" s="476"/>
      <c r="BW97" s="143"/>
      <c r="BX97" s="3"/>
      <c r="BY97" s="3"/>
      <c r="BZ97" s="157"/>
      <c r="CA97" s="157"/>
      <c r="CB97" s="157"/>
      <c r="CC97" s="158"/>
      <c r="CD97" s="157"/>
      <c r="CE97" s="477"/>
      <c r="CF97" s="157"/>
      <c r="CG97" s="157"/>
      <c r="CH97" s="157"/>
      <c r="CI97" s="157"/>
      <c r="CJ97" s="157"/>
      <c r="CK97" s="157"/>
      <c r="CL97" s="157"/>
      <c r="CM97" s="157"/>
      <c r="CN97" s="66"/>
      <c r="CO97" s="66"/>
      <c r="CP97" s="3"/>
      <c r="CQ97" s="60"/>
      <c r="CR97" s="3"/>
      <c r="CS97" s="3"/>
      <c r="CT97" s="6"/>
      <c r="CU97" s="6"/>
      <c r="CV97" s="4"/>
      <c r="CW97" s="4"/>
      <c r="CX97" s="157"/>
      <c r="CY97" s="157"/>
      <c r="CZ97" s="143"/>
      <c r="DA97" s="143"/>
      <c r="DB97" s="159"/>
      <c r="DC97" s="167"/>
      <c r="DD97" s="157"/>
      <c r="DE97" s="157"/>
      <c r="DF97" s="147"/>
      <c r="DG97" s="133"/>
      <c r="DH97" s="159"/>
      <c r="DI97" s="167"/>
      <c r="DJ97" s="157"/>
      <c r="DK97" s="157"/>
      <c r="DL97" s="143"/>
      <c r="DM97" s="143"/>
      <c r="DN97" s="147"/>
      <c r="DO97" s="147"/>
      <c r="DP97" s="133"/>
      <c r="DQ97" s="133"/>
      <c r="DR97" s="133"/>
      <c r="DS97" s="133"/>
      <c r="DT97" s="133"/>
      <c r="DU97" s="133"/>
      <c r="DV97" s="133"/>
      <c r="DW97" s="133"/>
      <c r="DX97" s="157"/>
      <c r="DY97" s="157"/>
      <c r="DZ97" s="147"/>
      <c r="EA97" s="147"/>
      <c r="EB97" s="157"/>
      <c r="EC97" s="157"/>
      <c r="ED97" s="147"/>
      <c r="EE97" s="147"/>
      <c r="EF97" s="147"/>
      <c r="EG97" s="143"/>
      <c r="EH97" s="147"/>
      <c r="EI97" s="147"/>
      <c r="EJ97" s="501"/>
      <c r="EK97" s="143"/>
      <c r="EL97" s="143"/>
      <c r="EM97" s="147"/>
      <c r="EN97" s="147"/>
      <c r="EO97" s="143"/>
      <c r="EP97" s="143"/>
      <c r="EQ97" s="157"/>
      <c r="ER97" s="157"/>
      <c r="ES97" s="157"/>
      <c r="ET97" s="157"/>
    </row>
    <row r="98" spans="2:368">
      <c r="D98" s="66"/>
      <c r="J98" s="327"/>
      <c r="O98" s="6"/>
      <c r="P98" s="6"/>
      <c r="Q98" s="6"/>
      <c r="R98" s="6"/>
      <c r="S98" s="6"/>
      <c r="T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133"/>
      <c r="AJ98" s="133"/>
      <c r="AK98" s="133"/>
      <c r="AL98" s="133"/>
      <c r="AM98" s="133"/>
      <c r="AN98" s="133"/>
      <c r="AO98" s="133"/>
      <c r="AP98" s="133"/>
      <c r="AQ98" s="133"/>
      <c r="AR98" s="133"/>
      <c r="AU98" s="133"/>
      <c r="AV98" s="133"/>
      <c r="AW98" s="133"/>
      <c r="AX98" s="133"/>
      <c r="AY98" s="133"/>
      <c r="AZ98" s="133"/>
      <c r="BA98" s="133"/>
      <c r="BB98" s="133"/>
      <c r="BC98" s="6"/>
      <c r="BD98" s="8"/>
      <c r="BE98" s="133"/>
      <c r="BF98" s="133"/>
      <c r="BG98" s="133"/>
      <c r="BH98" s="133"/>
      <c r="BI98" s="143"/>
      <c r="BJ98" s="133"/>
      <c r="BK98" s="143"/>
      <c r="BL98" s="133"/>
      <c r="BM98" s="143"/>
      <c r="BN98" s="133"/>
      <c r="BO98" s="147"/>
      <c r="BP98" s="147"/>
      <c r="BR98" s="147"/>
      <c r="BS98" s="147"/>
      <c r="BT98" s="143"/>
      <c r="BU98" s="147"/>
      <c r="BV98" s="476"/>
      <c r="BW98" s="143"/>
      <c r="BX98" s="3"/>
      <c r="BY98" s="3"/>
      <c r="BZ98" s="157"/>
      <c r="CA98" s="157"/>
      <c r="CB98" s="157"/>
      <c r="CC98" s="158"/>
      <c r="CD98" s="157"/>
      <c r="CE98" s="477"/>
      <c r="CF98" s="157"/>
      <c r="CG98" s="157"/>
      <c r="CH98" s="157"/>
      <c r="CI98" s="157"/>
      <c r="CJ98" s="157"/>
      <c r="CK98" s="157"/>
      <c r="CL98" s="157"/>
      <c r="CM98" s="157"/>
      <c r="CN98" s="66"/>
      <c r="CO98" s="66"/>
      <c r="CP98" s="3"/>
      <c r="CQ98" s="60"/>
      <c r="CR98" s="3"/>
      <c r="CS98" s="3"/>
      <c r="CT98" s="6"/>
      <c r="CU98" s="6"/>
      <c r="CV98" s="4"/>
      <c r="CW98" s="4"/>
      <c r="CX98" s="157"/>
      <c r="CY98" s="157"/>
      <c r="CZ98" s="143"/>
      <c r="DA98" s="143"/>
      <c r="DB98" s="159"/>
      <c r="DC98" s="167"/>
      <c r="DD98" s="157"/>
      <c r="DE98" s="157"/>
      <c r="DF98" s="147"/>
      <c r="DG98" s="133"/>
      <c r="DH98" s="159"/>
      <c r="DI98" s="167"/>
      <c r="DJ98" s="157"/>
      <c r="DK98" s="157"/>
      <c r="DL98" s="143"/>
      <c r="DM98" s="143"/>
      <c r="DN98" s="147"/>
      <c r="DO98" s="147"/>
      <c r="DP98" s="133"/>
      <c r="DQ98" s="133"/>
      <c r="DR98" s="133"/>
      <c r="DS98" s="133"/>
      <c r="DT98" s="133"/>
      <c r="DU98" s="133"/>
      <c r="DV98" s="133"/>
      <c r="DW98" s="133"/>
      <c r="DX98" s="157"/>
      <c r="DY98" s="157"/>
      <c r="DZ98" s="147"/>
      <c r="EA98" s="147"/>
      <c r="EB98" s="157"/>
      <c r="EC98" s="157"/>
      <c r="ED98" s="147"/>
      <c r="EE98" s="147"/>
      <c r="EF98" s="147"/>
      <c r="EG98" s="143"/>
      <c r="EH98" s="147"/>
      <c r="EI98" s="147"/>
      <c r="EJ98" s="501"/>
      <c r="EK98" s="143"/>
      <c r="EL98" s="143"/>
      <c r="EM98" s="147"/>
      <c r="EN98" s="147"/>
      <c r="EO98" s="143"/>
      <c r="EP98" s="143"/>
      <c r="EQ98" s="157"/>
      <c r="ER98" s="157"/>
      <c r="ES98" s="157"/>
      <c r="ET98" s="157"/>
    </row>
    <row r="99" spans="2:368" s="484" customFormat="1" ht="17.399999999999999">
      <c r="B99" s="245"/>
      <c r="C99" s="5"/>
      <c r="D99" s="486"/>
      <c r="E99" s="487"/>
      <c r="F99" s="117"/>
      <c r="G99" s="117"/>
      <c r="H99" s="117"/>
      <c r="I99" s="117"/>
      <c r="J99" s="488"/>
      <c r="K99" s="487"/>
      <c r="L99" s="117"/>
      <c r="M99" s="117"/>
      <c r="N99" s="117"/>
      <c r="X99" s="118"/>
      <c r="Y99" s="118"/>
      <c r="Z99" s="118"/>
      <c r="AA99" s="118"/>
      <c r="AB99" s="118"/>
      <c r="AC99" s="118"/>
      <c r="AD99" s="118"/>
      <c r="AE99" s="118"/>
      <c r="AF99" s="118"/>
      <c r="AG99" s="118"/>
      <c r="AH99" s="118"/>
      <c r="AI99" s="489"/>
      <c r="AJ99" s="489"/>
      <c r="AK99" s="489"/>
      <c r="AL99" s="489"/>
      <c r="AM99" s="489"/>
      <c r="AN99" s="489"/>
      <c r="AO99" s="489"/>
      <c r="AP99" s="489"/>
      <c r="AQ99" s="489"/>
      <c r="AR99" s="489"/>
      <c r="AS99" s="117"/>
      <c r="AT99" s="117"/>
      <c r="AU99" s="489"/>
      <c r="AV99" s="489"/>
      <c r="AW99" s="489"/>
      <c r="AX99" s="489"/>
      <c r="AY99" s="489"/>
      <c r="AZ99" s="489"/>
      <c r="BA99" s="489"/>
      <c r="BB99" s="489"/>
      <c r="BC99" s="118"/>
      <c r="BD99" s="490"/>
      <c r="BE99" s="489"/>
      <c r="BF99" s="489"/>
      <c r="BG99" s="489"/>
      <c r="BH99" s="489"/>
      <c r="BI99" s="247"/>
      <c r="BJ99" s="489"/>
      <c r="BK99" s="247"/>
      <c r="BL99" s="489"/>
      <c r="BM99" s="247"/>
      <c r="BN99" s="489"/>
      <c r="BO99" s="168"/>
      <c r="BP99" s="168"/>
      <c r="BQ99" s="117"/>
      <c r="BR99" s="168"/>
      <c r="BS99" s="168"/>
      <c r="BT99" s="247"/>
      <c r="BU99" s="168"/>
      <c r="BV99" s="481"/>
      <c r="BW99" s="247"/>
      <c r="BX99" s="491"/>
      <c r="BY99" s="491"/>
      <c r="BZ99" s="482"/>
      <c r="CA99" s="482"/>
      <c r="CB99" s="482"/>
      <c r="CC99" s="492"/>
      <c r="CD99" s="157"/>
      <c r="CE99" s="477"/>
      <c r="CF99" s="157"/>
      <c r="CG99" s="157"/>
      <c r="CH99" s="482"/>
      <c r="CI99" s="482"/>
      <c r="CJ99" s="482"/>
      <c r="CK99" s="482"/>
      <c r="CL99" s="482"/>
      <c r="CM99" s="482"/>
      <c r="CN99" s="66"/>
      <c r="CO99" s="66"/>
      <c r="CP99" s="491"/>
      <c r="CQ99" s="493"/>
      <c r="CR99" s="491"/>
      <c r="CS99" s="491"/>
      <c r="CT99" s="118"/>
      <c r="CU99" s="118"/>
      <c r="CV99" s="267"/>
      <c r="CW99" s="267"/>
      <c r="CX99" s="482"/>
      <c r="CY99" s="482"/>
      <c r="CZ99" s="247"/>
      <c r="DA99" s="247"/>
      <c r="DB99" s="494"/>
      <c r="DC99" s="495"/>
      <c r="DD99" s="482"/>
      <c r="DE99" s="482"/>
      <c r="DF99" s="489"/>
      <c r="DG99" s="489"/>
      <c r="DH99" s="494"/>
      <c r="DI99" s="495"/>
      <c r="DJ99" s="482"/>
      <c r="DK99" s="482"/>
      <c r="DL99" s="247"/>
      <c r="DM99" s="247"/>
      <c r="DN99" s="168"/>
      <c r="DO99" s="168"/>
      <c r="DP99" s="489"/>
      <c r="DQ99" s="489"/>
      <c r="DR99" s="489"/>
      <c r="DS99" s="489"/>
      <c r="DT99" s="489"/>
      <c r="DU99" s="489"/>
      <c r="DV99" s="489"/>
      <c r="DW99" s="489"/>
      <c r="DX99" s="482"/>
      <c r="DY99" s="482"/>
      <c r="DZ99" s="168"/>
      <c r="EA99" s="168"/>
      <c r="EB99" s="482"/>
      <c r="EC99" s="482"/>
      <c r="ED99" s="168"/>
      <c r="EE99" s="168"/>
      <c r="EF99" s="168"/>
      <c r="EG99" s="247"/>
      <c r="EH99" s="168"/>
      <c r="EI99" s="168"/>
      <c r="EJ99" s="502"/>
      <c r="EK99" s="247"/>
      <c r="EL99" s="247"/>
      <c r="EM99" s="168"/>
      <c r="EN99" s="168"/>
      <c r="EO99" s="247"/>
      <c r="EP99" s="247"/>
      <c r="EQ99" s="482"/>
      <c r="ER99" s="482"/>
      <c r="ES99" s="482"/>
      <c r="ET99" s="482"/>
      <c r="EU99" s="117"/>
      <c r="EV99" s="117"/>
      <c r="EW99" s="117"/>
      <c r="EX99" s="117"/>
      <c r="EY99" s="117"/>
      <c r="EZ99" s="117"/>
      <c r="FA99" s="117"/>
      <c r="FB99" s="117"/>
      <c r="FC99" s="117"/>
      <c r="FD99" s="117"/>
      <c r="FE99" s="117"/>
      <c r="FF99" s="117"/>
      <c r="FG99" s="117"/>
      <c r="FH99" s="117"/>
      <c r="FI99" s="117"/>
      <c r="FJ99" s="117"/>
      <c r="FK99" s="161"/>
      <c r="FL99" s="161"/>
      <c r="FM99" s="161"/>
      <c r="FN99" s="161"/>
      <c r="FO99" s="161"/>
      <c r="FP99" s="161"/>
      <c r="FQ99" s="161"/>
      <c r="FR99" s="161"/>
      <c r="FS99" s="161"/>
      <c r="FT99" s="161"/>
      <c r="FU99" s="161"/>
      <c r="FV99" s="161"/>
      <c r="FW99" s="161"/>
      <c r="FX99" s="161"/>
      <c r="FY99" s="161"/>
      <c r="FZ99" s="161"/>
      <c r="GA99" s="117"/>
      <c r="GB99" s="117"/>
      <c r="GC99" s="117"/>
      <c r="GD99" s="117"/>
      <c r="GE99" s="161"/>
      <c r="GF99" s="161"/>
      <c r="GG99" s="161"/>
      <c r="GH99" s="161"/>
      <c r="GI99" s="161"/>
      <c r="GJ99" s="161"/>
      <c r="GK99" s="161"/>
      <c r="GL99" s="161"/>
      <c r="GM99" s="161"/>
      <c r="GN99" s="161"/>
      <c r="GO99" s="161"/>
      <c r="GP99" s="161"/>
      <c r="GQ99" s="161"/>
      <c r="GR99" s="161"/>
      <c r="GS99" s="161"/>
      <c r="GT99" s="161"/>
      <c r="GU99" s="117"/>
      <c r="GV99" s="117"/>
      <c r="GW99" s="161"/>
      <c r="GX99" s="161"/>
      <c r="GY99" s="161"/>
      <c r="GZ99" s="161"/>
      <c r="HA99" s="161"/>
      <c r="HB99" s="161"/>
      <c r="HC99" s="117"/>
      <c r="HD99" s="117"/>
      <c r="HE99" s="161"/>
      <c r="HF99" s="161"/>
      <c r="HG99" s="161"/>
      <c r="HH99" s="161"/>
      <c r="HI99" s="161"/>
      <c r="HJ99" s="161"/>
      <c r="HK99" s="117"/>
      <c r="HL99" s="117"/>
      <c r="HM99" s="117"/>
      <c r="HN99" s="117"/>
      <c r="HO99" s="117"/>
      <c r="HP99" s="117"/>
      <c r="HQ99" s="117"/>
      <c r="HR99" s="117"/>
      <c r="HS99" s="117"/>
      <c r="HT99" s="117"/>
      <c r="HU99" s="117"/>
      <c r="HV99" s="117"/>
      <c r="HW99" s="117"/>
      <c r="HX99" s="117"/>
      <c r="HY99" s="117"/>
      <c r="HZ99" s="117"/>
      <c r="IA99" s="117"/>
      <c r="IB99" s="117"/>
      <c r="IC99" s="117"/>
      <c r="ID99" s="117"/>
      <c r="IE99" s="117"/>
      <c r="IF99" s="117"/>
      <c r="IG99" s="117"/>
      <c r="IH99" s="117"/>
      <c r="II99" s="117"/>
      <c r="IJ99" s="117"/>
      <c r="IK99" s="117"/>
      <c r="IL99" s="117"/>
      <c r="IM99" s="117"/>
      <c r="IN99" s="117"/>
      <c r="IO99" s="117"/>
      <c r="IP99" s="117"/>
      <c r="IQ99" s="117"/>
      <c r="IR99" s="117"/>
      <c r="IS99" s="117"/>
      <c r="IT99" s="117"/>
      <c r="IU99" s="161"/>
      <c r="IV99" s="161"/>
      <c r="IW99" s="161"/>
      <c r="IX99" s="161"/>
      <c r="IY99" s="161"/>
      <c r="IZ99" s="161"/>
      <c r="JA99" s="161"/>
      <c r="JB99" s="161"/>
      <c r="JC99" s="161"/>
      <c r="JD99" s="161"/>
      <c r="JE99" s="161"/>
      <c r="JF99" s="161"/>
      <c r="JG99" s="161"/>
      <c r="JH99" s="161"/>
      <c r="JI99" s="161"/>
      <c r="JJ99" s="161"/>
      <c r="JK99" s="161"/>
      <c r="JL99" s="161"/>
      <c r="JM99" s="161"/>
      <c r="JN99" s="161"/>
      <c r="JO99" s="161"/>
      <c r="JP99" s="161"/>
      <c r="JQ99" s="161"/>
      <c r="JR99" s="161"/>
      <c r="JS99" s="161"/>
      <c r="JT99" s="161"/>
      <c r="JU99" s="117"/>
      <c r="JV99" s="117"/>
      <c r="JW99" s="117"/>
      <c r="JX99" s="117"/>
      <c r="JY99" s="161"/>
      <c r="JZ99" s="161"/>
      <c r="KA99" s="161"/>
      <c r="KB99" s="161"/>
      <c r="KC99" s="117"/>
      <c r="KD99" s="117"/>
      <c r="KE99" s="161"/>
      <c r="KF99" s="161"/>
      <c r="KG99" s="161"/>
      <c r="KH99" s="161"/>
      <c r="KI99" s="161"/>
      <c r="KJ99" s="161"/>
      <c r="KK99" s="161"/>
      <c r="KL99" s="161"/>
      <c r="KM99" s="161"/>
      <c r="KN99" s="161"/>
      <c r="KO99" s="161"/>
      <c r="KP99" s="161"/>
      <c r="KQ99" s="161"/>
      <c r="KR99" s="161"/>
      <c r="KS99" s="161"/>
      <c r="KT99" s="161"/>
      <c r="KU99" s="117"/>
      <c r="KV99" s="117"/>
      <c r="KW99" s="161"/>
      <c r="KX99" s="161"/>
      <c r="KY99" s="161"/>
      <c r="KZ99" s="161"/>
      <c r="LA99" s="161"/>
      <c r="LB99" s="161"/>
      <c r="LC99" s="161"/>
      <c r="LD99" s="161"/>
      <c r="LE99" s="161"/>
      <c r="LF99" s="161"/>
      <c r="LG99" s="161"/>
      <c r="LH99" s="161"/>
      <c r="LI99" s="161"/>
      <c r="LJ99" s="161"/>
      <c r="LK99" s="161"/>
      <c r="LL99" s="161"/>
      <c r="LM99" s="161"/>
      <c r="LN99" s="161"/>
      <c r="LQ99" s="257"/>
      <c r="LR99" s="257"/>
      <c r="LS99" s="257"/>
      <c r="LT99" s="257"/>
      <c r="LU99" s="257"/>
      <c r="LV99" s="257"/>
      <c r="LW99" s="257"/>
      <c r="LX99" s="257"/>
      <c r="LY99" s="257"/>
      <c r="LZ99" s="257"/>
      <c r="MA99" s="257"/>
      <c r="MB99" s="257"/>
      <c r="MC99" s="257"/>
      <c r="MD99" s="257"/>
      <c r="ME99" s="257"/>
      <c r="MF99" s="257"/>
      <c r="MG99" s="257"/>
      <c r="MH99" s="257"/>
      <c r="MI99" s="257"/>
      <c r="MJ99" s="257"/>
      <c r="MK99" s="257"/>
      <c r="ML99" s="257"/>
      <c r="MM99" s="257"/>
      <c r="MN99" s="257"/>
      <c r="MO99" s="496"/>
      <c r="MP99" s="496"/>
      <c r="MQ99" s="496"/>
      <c r="MR99" s="496"/>
      <c r="MS99" s="496"/>
      <c r="MT99" s="496"/>
      <c r="MU99" s="496"/>
      <c r="MV99" s="496"/>
      <c r="MW99" s="496"/>
      <c r="MX99" s="496"/>
      <c r="MY99" s="496"/>
      <c r="MZ99" s="496"/>
      <c r="NA99" s="496"/>
      <c r="NB99" s="496"/>
      <c r="NC99" s="496"/>
      <c r="ND99" s="496"/>
    </row>
    <row r="101" spans="2:368">
      <c r="AU101" s="505"/>
      <c r="AW101" s="505"/>
      <c r="AY101" s="505"/>
      <c r="BA101" s="505"/>
    </row>
  </sheetData>
  <mergeCells count="59">
    <mergeCell ref="MW5:ND5"/>
    <mergeCell ref="LY5:MB5"/>
    <mergeCell ref="MC5:MF5"/>
    <mergeCell ref="MG5:MH5"/>
    <mergeCell ref="MI5:MJ5"/>
    <mergeCell ref="MK5:MN5"/>
    <mergeCell ref="MO5:MV5"/>
    <mergeCell ref="LG5:LN5"/>
    <mergeCell ref="HS5:IF5"/>
    <mergeCell ref="IG5:IT5"/>
    <mergeCell ref="IU5:JH5"/>
    <mergeCell ref="JI5:JT5"/>
    <mergeCell ref="JU5:JX5"/>
    <mergeCell ref="JY5:KB5"/>
    <mergeCell ref="KC5:KH5"/>
    <mergeCell ref="KI5:KN5"/>
    <mergeCell ref="KO5:KT5"/>
    <mergeCell ref="KU5:KZ5"/>
    <mergeCell ref="LA5:LF5"/>
    <mergeCell ref="EJ5:EL5"/>
    <mergeCell ref="HO5:HR5"/>
    <mergeCell ref="EU5:FB5"/>
    <mergeCell ref="FC5:FJ5"/>
    <mergeCell ref="FK5:FR5"/>
    <mergeCell ref="FS5:FT5"/>
    <mergeCell ref="FU5:FZ5"/>
    <mergeCell ref="GA5:GD5"/>
    <mergeCell ref="GE5:GL5"/>
    <mergeCell ref="GM5:GT5"/>
    <mergeCell ref="GU5:HB5"/>
    <mergeCell ref="HC5:HJ5"/>
    <mergeCell ref="HK5:HN5"/>
    <mergeCell ref="AS5:AT5"/>
    <mergeCell ref="AU5:BB5"/>
    <mergeCell ref="BC5:BD5"/>
    <mergeCell ref="BE5:BH5"/>
    <mergeCell ref="BI5:BP5"/>
    <mergeCell ref="BR5:BS5"/>
    <mergeCell ref="BC4:BH4"/>
    <mergeCell ref="BQ4:BW4"/>
    <mergeCell ref="GU4:GV4"/>
    <mergeCell ref="HC4:HD4"/>
    <mergeCell ref="EM5:ET5"/>
    <mergeCell ref="BT5:BW5"/>
    <mergeCell ref="BX5:BY5"/>
    <mergeCell ref="BZ5:CI5"/>
    <mergeCell ref="CJ5:CM5"/>
    <mergeCell ref="CN5:CW5"/>
    <mergeCell ref="CX5:DC5"/>
    <mergeCell ref="DD5:DI5"/>
    <mergeCell ref="DJ5:DO5"/>
    <mergeCell ref="DP5:DY5"/>
    <mergeCell ref="DZ5:EF5"/>
    <mergeCell ref="AI5:AR5"/>
    <mergeCell ref="B5:F5"/>
    <mergeCell ref="G5:K5"/>
    <mergeCell ref="L5:N5"/>
    <mergeCell ref="O5:X5"/>
    <mergeCell ref="Y5:AH5"/>
  </mergeCells>
  <pageMargins left="0.25" right="0.25" top="0.75" bottom="0.75" header="0.3" footer="0.3"/>
  <pageSetup paperSize="9" orientation="landscape" horizontalDpi="4294967292" vertic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B1:G5"/>
  <sheetViews>
    <sheetView workbookViewId="0">
      <selection activeCell="D16" sqref="D16"/>
    </sheetView>
  </sheetViews>
  <sheetFormatPr defaultColWidth="8.88671875" defaultRowHeight="14.4"/>
  <cols>
    <col min="2" max="2" width="44.33203125" customWidth="1"/>
    <col min="3" max="3" width="12.88671875" customWidth="1"/>
    <col min="4" max="4" width="12.44140625" bestFit="1" customWidth="1"/>
    <col min="5" max="5" width="13.6640625" bestFit="1" customWidth="1"/>
    <col min="6" max="6" width="13" customWidth="1"/>
    <col min="7" max="7" width="134.44140625" customWidth="1"/>
  </cols>
  <sheetData>
    <row r="1" spans="2:7" ht="15" thickBot="1"/>
    <row r="2" spans="2:7" ht="15" thickBot="1">
      <c r="B2" s="260" t="s">
        <v>798</v>
      </c>
      <c r="C2" s="261" t="s">
        <v>799</v>
      </c>
      <c r="D2" s="261" t="s">
        <v>801</v>
      </c>
      <c r="E2" s="261" t="s">
        <v>800</v>
      </c>
      <c r="F2" s="261" t="s">
        <v>804</v>
      </c>
      <c r="G2" s="262" t="s">
        <v>801</v>
      </c>
    </row>
    <row r="3" spans="2:7">
      <c r="B3" t="s">
        <v>805</v>
      </c>
      <c r="C3" s="259">
        <v>41936</v>
      </c>
      <c r="D3" s="259">
        <v>42381</v>
      </c>
      <c r="E3" t="s">
        <v>802</v>
      </c>
      <c r="F3" t="s">
        <v>803</v>
      </c>
      <c r="G3" t="s">
        <v>831</v>
      </c>
    </row>
    <row r="5" spans="2:7">
      <c r="B5" t="s">
        <v>836</v>
      </c>
      <c r="D5" s="259">
        <v>44342</v>
      </c>
      <c r="E5" t="s">
        <v>803</v>
      </c>
      <c r="G5" t="s">
        <v>837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/>
  <dimension ref="A1:AK189"/>
  <sheetViews>
    <sheetView zoomScale="70" zoomScaleNormal="70" zoomScalePageLayoutView="85" workbookViewId="0">
      <selection activeCell="B7" sqref="B7"/>
    </sheetView>
  </sheetViews>
  <sheetFormatPr defaultColWidth="26.33203125" defaultRowHeight="17.399999999999999"/>
  <cols>
    <col min="1" max="1" width="41.44140625" style="15" customWidth="1"/>
    <col min="2" max="2" width="21.6640625" style="16" bestFit="1" customWidth="1"/>
    <col min="3" max="3" width="20.109375" style="16" bestFit="1" customWidth="1"/>
    <col min="4" max="4" width="19.6640625" style="16" bestFit="1" customWidth="1"/>
    <col min="5" max="5" width="56.44140625" style="16" customWidth="1"/>
    <col min="6" max="6" width="65" style="16" customWidth="1"/>
    <col min="7" max="7" width="18.44140625" style="16" customWidth="1"/>
    <col min="8" max="8" width="21.44140625" style="16" bestFit="1" customWidth="1"/>
    <col min="9" max="9" width="11.44140625" style="16" customWidth="1"/>
    <col min="10" max="10" width="19.6640625" style="16" bestFit="1" customWidth="1"/>
    <col min="11" max="11" width="23.88671875" style="16" customWidth="1"/>
    <col min="12" max="12" width="19.6640625" style="16" bestFit="1" customWidth="1"/>
    <col min="13" max="13" width="20.6640625" style="16" bestFit="1" customWidth="1"/>
    <col min="14" max="14" width="19.6640625" style="16" customWidth="1"/>
    <col min="15" max="15" width="9.33203125" style="16" customWidth="1"/>
    <col min="16" max="16" width="31.88671875" style="16" customWidth="1"/>
    <col min="17" max="16384" width="26.33203125" style="16"/>
  </cols>
  <sheetData>
    <row r="1" spans="1:37" ht="18">
      <c r="A1" s="13" t="s">
        <v>597</v>
      </c>
      <c r="B1" s="23"/>
      <c r="C1" s="23"/>
      <c r="D1" s="23"/>
      <c r="E1" s="23"/>
      <c r="F1" s="23" t="s">
        <v>310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</row>
    <row r="2" spans="1:37" ht="18">
      <c r="A2" s="256" t="s">
        <v>774</v>
      </c>
      <c r="B2" s="23"/>
      <c r="C2" s="23"/>
      <c r="D2" s="23"/>
      <c r="E2" s="23"/>
      <c r="F2" s="23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</row>
    <row r="3" spans="1:37" ht="18">
      <c r="A3" s="13"/>
      <c r="B3" s="23"/>
      <c r="C3" s="23"/>
      <c r="D3" s="23"/>
      <c r="E3" s="23"/>
      <c r="F3" s="23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</row>
    <row r="4" spans="1:37" s="25" customFormat="1" ht="18.600000000000001" thickBot="1">
      <c r="A4" s="21" t="s">
        <v>54</v>
      </c>
      <c r="B4" s="22" t="s">
        <v>73</v>
      </c>
      <c r="C4" s="22" t="s">
        <v>2</v>
      </c>
      <c r="D4" s="22" t="s">
        <v>74</v>
      </c>
      <c r="E4" s="22" t="s">
        <v>30</v>
      </c>
      <c r="F4" s="22" t="s">
        <v>130</v>
      </c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</row>
    <row r="5" spans="1:37" ht="18">
      <c r="A5" s="15" t="s">
        <v>57</v>
      </c>
      <c r="B5" s="16">
        <v>18.998403</v>
      </c>
      <c r="D5" s="16" t="s">
        <v>56</v>
      </c>
      <c r="E5" s="16" t="s">
        <v>102</v>
      </c>
      <c r="F5" s="16" t="s">
        <v>131</v>
      </c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</row>
    <row r="6" spans="1:37" ht="18">
      <c r="A6" s="15" t="s">
        <v>24</v>
      </c>
      <c r="B6" s="16">
        <v>35.453000000000003</v>
      </c>
      <c r="C6" s="16">
        <v>2.0000000000000001E-4</v>
      </c>
      <c r="D6" s="16" t="s">
        <v>56</v>
      </c>
      <c r="E6" s="16" t="s">
        <v>100</v>
      </c>
      <c r="F6" s="16" t="s">
        <v>137</v>
      </c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</row>
    <row r="7" spans="1:37" ht="18">
      <c r="A7" s="15" t="s">
        <v>47</v>
      </c>
      <c r="B7" s="16">
        <v>79.903999999999996</v>
      </c>
      <c r="C7" s="16">
        <v>1E-3</v>
      </c>
      <c r="D7" s="16" t="s">
        <v>56</v>
      </c>
      <c r="E7" s="16" t="s">
        <v>100</v>
      </c>
      <c r="F7" s="16" t="s">
        <v>136</v>
      </c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</row>
    <row r="8" spans="1:37" ht="18">
      <c r="A8" s="15" t="s">
        <v>48</v>
      </c>
      <c r="B8" s="16">
        <v>126.9045</v>
      </c>
      <c r="C8" s="16">
        <v>3.0000000000000001E-5</v>
      </c>
      <c r="D8" s="16" t="s">
        <v>56</v>
      </c>
      <c r="E8" s="16" t="s">
        <v>100</v>
      </c>
      <c r="F8" s="16" t="s">
        <v>135</v>
      </c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</row>
    <row r="9" spans="1:37" ht="18">
      <c r="A9" s="15" t="s">
        <v>46</v>
      </c>
      <c r="B9" s="16">
        <v>40.08</v>
      </c>
      <c r="C9" s="16">
        <v>4.0000000000000001E-3</v>
      </c>
      <c r="D9" s="16" t="s">
        <v>56</v>
      </c>
      <c r="E9" s="16" t="s">
        <v>100</v>
      </c>
      <c r="F9" s="16" t="s">
        <v>134</v>
      </c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</row>
    <row r="10" spans="1:37" ht="18">
      <c r="A10" s="15" t="s">
        <v>45</v>
      </c>
      <c r="B10" s="16">
        <v>39.098300000000002</v>
      </c>
      <c r="C10" s="16">
        <v>1.0000000000000001E-5</v>
      </c>
      <c r="D10" s="16" t="s">
        <v>56</v>
      </c>
      <c r="E10" s="16" t="s">
        <v>100</v>
      </c>
      <c r="F10" s="16" t="s">
        <v>133</v>
      </c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</row>
    <row r="11" spans="1:37" ht="18">
      <c r="A11" s="15" t="s">
        <v>55</v>
      </c>
      <c r="B11" s="16">
        <v>137.327</v>
      </c>
      <c r="C11" s="16">
        <v>7.0000000000000001E-3</v>
      </c>
      <c r="D11" s="16" t="s">
        <v>56</v>
      </c>
      <c r="E11" s="16" t="s">
        <v>100</v>
      </c>
      <c r="F11" s="16" t="s">
        <v>132</v>
      </c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</row>
    <row r="12" spans="1:37" ht="18">
      <c r="A12" s="15" t="s">
        <v>361</v>
      </c>
      <c r="B12" s="16">
        <v>238.02891</v>
      </c>
      <c r="C12" s="16">
        <v>3.0000000000000001E-5</v>
      </c>
      <c r="D12" s="16" t="s">
        <v>56</v>
      </c>
      <c r="E12" s="16" t="s">
        <v>100</v>
      </c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</row>
    <row r="13" spans="1:37" ht="18">
      <c r="E13" s="27" t="s">
        <v>101</v>
      </c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</row>
    <row r="14" spans="1:37" ht="18"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</row>
    <row r="15" spans="1:37" s="25" customFormat="1" ht="18.600000000000001" thickBot="1">
      <c r="A15" s="21" t="s">
        <v>195</v>
      </c>
      <c r="B15" s="22" t="s">
        <v>73</v>
      </c>
      <c r="C15" s="22" t="s">
        <v>2</v>
      </c>
      <c r="D15" s="22" t="s">
        <v>74</v>
      </c>
      <c r="E15" s="22" t="s">
        <v>30</v>
      </c>
      <c r="F15" s="22" t="s">
        <v>130</v>
      </c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</row>
    <row r="16" spans="1:37" ht="72" customHeight="1">
      <c r="A16" s="15" t="s">
        <v>77</v>
      </c>
      <c r="B16" s="383">
        <v>4.9737000000000001E-10</v>
      </c>
      <c r="C16" s="383">
        <v>9.3000000000000008E-13</v>
      </c>
      <c r="D16" s="384" t="s">
        <v>282</v>
      </c>
      <c r="E16" s="385" t="s">
        <v>849</v>
      </c>
      <c r="F16" s="28" t="s">
        <v>141</v>
      </c>
      <c r="G16" s="381">
        <v>4.9737000000000001E-10</v>
      </c>
      <c r="H16" s="381">
        <v>9.3000000000000008E-13</v>
      </c>
      <c r="I16" s="16" t="s">
        <v>282</v>
      </c>
      <c r="J16" s="382" t="s">
        <v>849</v>
      </c>
      <c r="L16" s="24"/>
      <c r="M16" s="29">
        <f>0.0000000004955</f>
        <v>4.9549999999999999E-10</v>
      </c>
      <c r="N16" s="40">
        <f>0.00000000000013</f>
        <v>1.3E-13</v>
      </c>
      <c r="O16" s="16" t="s">
        <v>282</v>
      </c>
      <c r="P16" s="16" t="s">
        <v>455</v>
      </c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</row>
    <row r="17" spans="1:37" ht="20.399999999999999">
      <c r="A17" s="15" t="s">
        <v>76</v>
      </c>
      <c r="B17" s="383">
        <v>5.7549999999999998E-11</v>
      </c>
      <c r="C17" s="383">
        <v>1.6E-13</v>
      </c>
      <c r="D17" s="384" t="s">
        <v>282</v>
      </c>
      <c r="E17" s="384" t="s">
        <v>456</v>
      </c>
      <c r="F17" s="16" t="s">
        <v>140</v>
      </c>
      <c r="G17" s="381">
        <v>5.7549999999999998E-11</v>
      </c>
      <c r="H17" s="381">
        <v>1.6E-13</v>
      </c>
      <c r="I17" s="16" t="s">
        <v>282</v>
      </c>
      <c r="J17" s="16" t="s">
        <v>456</v>
      </c>
      <c r="L17" s="24"/>
      <c r="M17" s="29">
        <f>0.0000000000576</f>
        <v>5.76E-11</v>
      </c>
      <c r="N17" s="40">
        <f>0.0000000000002</f>
        <v>2.0000000000000001E-13</v>
      </c>
      <c r="O17" s="16" t="s">
        <v>282</v>
      </c>
      <c r="P17" s="16" t="s">
        <v>456</v>
      </c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</row>
    <row r="18" spans="1:37" ht="19.8">
      <c r="A18" s="15" t="s">
        <v>86</v>
      </c>
      <c r="B18" s="383">
        <v>5.5491999999999998E-10</v>
      </c>
      <c r="C18" s="383">
        <v>9.3000000000000008E-13</v>
      </c>
      <c r="D18" s="384" t="s">
        <v>282</v>
      </c>
      <c r="E18" s="384" t="s">
        <v>456</v>
      </c>
      <c r="F18" s="16" t="s">
        <v>138</v>
      </c>
      <c r="G18" s="381">
        <v>5.5491999999999998E-10</v>
      </c>
      <c r="H18" s="381">
        <v>9.3000000000000008E-13</v>
      </c>
      <c r="I18" s="16" t="s">
        <v>282</v>
      </c>
      <c r="J18" s="16" t="s">
        <v>456</v>
      </c>
      <c r="M18" s="29">
        <v>5.5309999999999998E-10</v>
      </c>
      <c r="N18" s="40">
        <v>1.2999999999999999E-12</v>
      </c>
      <c r="O18" s="16" t="s">
        <v>282</v>
      </c>
      <c r="P18" s="16" t="s">
        <v>456</v>
      </c>
    </row>
    <row r="19" spans="1:37">
      <c r="A19" s="15" t="s">
        <v>84</v>
      </c>
      <c r="B19" s="191">
        <f>LN(2)/B25</f>
        <v>1.9747782921935762E-2</v>
      </c>
      <c r="C19" s="30"/>
      <c r="D19" s="16" t="s">
        <v>82</v>
      </c>
      <c r="E19" s="16" t="s">
        <v>88</v>
      </c>
      <c r="F19" s="16" t="s">
        <v>168</v>
      </c>
    </row>
    <row r="20" spans="1:37">
      <c r="A20" s="15" t="s">
        <v>85</v>
      </c>
      <c r="B20" s="191">
        <f>LN(2)/(B26*365)</f>
        <v>7.0596036111416745E-6</v>
      </c>
      <c r="C20" s="29"/>
      <c r="D20" s="16" t="s">
        <v>82</v>
      </c>
      <c r="E20" s="16" t="s">
        <v>88</v>
      </c>
      <c r="F20" s="16" t="s">
        <v>170</v>
      </c>
    </row>
    <row r="21" spans="1:37">
      <c r="A21" s="15" t="s">
        <v>87</v>
      </c>
      <c r="B21" s="191">
        <f>LN(2)/(B27*365)</f>
        <v>6.1259141012810013E-9</v>
      </c>
      <c r="C21" s="29"/>
      <c r="D21" s="16" t="s">
        <v>82</v>
      </c>
      <c r="E21" s="16" t="s">
        <v>88</v>
      </c>
      <c r="F21" s="16" t="s">
        <v>169</v>
      </c>
    </row>
    <row r="22" spans="1:37">
      <c r="B22" s="124"/>
      <c r="C22" s="29"/>
      <c r="F22" s="29">
        <v>3.8340000000000001E-7</v>
      </c>
      <c r="G22" s="29"/>
    </row>
    <row r="23" spans="1:37" s="25" customFormat="1" ht="18" thickBot="1">
      <c r="A23" s="21" t="s">
        <v>93</v>
      </c>
      <c r="B23" s="22" t="s">
        <v>73</v>
      </c>
      <c r="C23" s="22" t="s">
        <v>2</v>
      </c>
      <c r="D23" s="22" t="s">
        <v>74</v>
      </c>
      <c r="E23" s="22" t="s">
        <v>30</v>
      </c>
    </row>
    <row r="24" spans="1:37" ht="19.8">
      <c r="A24" s="15" t="s">
        <v>83</v>
      </c>
      <c r="B24" s="20">
        <v>1.25</v>
      </c>
      <c r="C24" s="31">
        <v>2E-3</v>
      </c>
      <c r="D24" s="16" t="s">
        <v>283</v>
      </c>
      <c r="F24" s="16" t="s">
        <v>142</v>
      </c>
    </row>
    <row r="25" spans="1:37">
      <c r="A25" s="15" t="s">
        <v>81</v>
      </c>
      <c r="B25" s="16">
        <v>35.1</v>
      </c>
      <c r="C25" s="16">
        <v>0.1</v>
      </c>
      <c r="D25" s="16" t="s">
        <v>78</v>
      </c>
      <c r="E25" s="16" t="s">
        <v>106</v>
      </c>
      <c r="F25" s="16" t="s">
        <v>142</v>
      </c>
    </row>
    <row r="26" spans="1:37">
      <c r="A26" s="15" t="s">
        <v>80</v>
      </c>
      <c r="B26" s="16">
        <v>269</v>
      </c>
      <c r="C26" s="16">
        <v>3</v>
      </c>
      <c r="D26" s="16" t="s">
        <v>79</v>
      </c>
      <c r="E26" s="16" t="s">
        <v>106</v>
      </c>
      <c r="F26" s="16" t="s">
        <v>142</v>
      </c>
    </row>
    <row r="27" spans="1:37">
      <c r="A27" s="15" t="s">
        <v>89</v>
      </c>
      <c r="B27" s="59">
        <v>310000</v>
      </c>
      <c r="C27" s="16">
        <f>4000</f>
        <v>4000</v>
      </c>
      <c r="D27" s="16" t="s">
        <v>79</v>
      </c>
      <c r="E27" s="16" t="s">
        <v>105</v>
      </c>
      <c r="F27" s="16" t="s">
        <v>142</v>
      </c>
    </row>
    <row r="29" spans="1:37" s="25" customFormat="1" ht="18" thickBot="1">
      <c r="A29" s="21" t="s">
        <v>97</v>
      </c>
      <c r="B29" s="22" t="s">
        <v>73</v>
      </c>
      <c r="C29" s="22" t="s">
        <v>2</v>
      </c>
      <c r="D29" s="22" t="s">
        <v>74</v>
      </c>
      <c r="E29" s="22" t="s">
        <v>30</v>
      </c>
    </row>
    <row r="30" spans="1:37" ht="21">
      <c r="A30" s="15" t="s">
        <v>284</v>
      </c>
      <c r="B30" s="16">
        <v>295.5</v>
      </c>
      <c r="C30" s="16">
        <v>0.31</v>
      </c>
      <c r="D30" s="16" t="s">
        <v>142</v>
      </c>
      <c r="E30" s="16" t="s">
        <v>60</v>
      </c>
      <c r="F30" s="16" t="s">
        <v>143</v>
      </c>
    </row>
    <row r="31" spans="1:37" ht="21">
      <c r="A31" s="15" t="s">
        <v>285</v>
      </c>
      <c r="B31" s="16">
        <v>0.188</v>
      </c>
      <c r="D31" s="16" t="s">
        <v>142</v>
      </c>
      <c r="E31" s="16" t="s">
        <v>62</v>
      </c>
      <c r="F31" s="16" t="s">
        <v>144</v>
      </c>
    </row>
    <row r="32" spans="1:37">
      <c r="B32" s="29"/>
      <c r="C32" s="29"/>
    </row>
    <row r="33" spans="1:14" s="25" customFormat="1" ht="18" thickBot="1">
      <c r="A33" s="21" t="s">
        <v>99</v>
      </c>
      <c r="B33" s="22" t="s">
        <v>73</v>
      </c>
      <c r="C33" s="22" t="s">
        <v>2</v>
      </c>
      <c r="D33" s="22" t="s">
        <v>74</v>
      </c>
      <c r="E33" s="22" t="s">
        <v>30</v>
      </c>
      <c r="F33" s="22" t="s">
        <v>130</v>
      </c>
    </row>
    <row r="34" spans="1:14" ht="19.8">
      <c r="A34" s="32" t="s">
        <v>286</v>
      </c>
      <c r="B34" s="16">
        <f>0.000117</f>
        <v>1.17E-4</v>
      </c>
      <c r="C34" s="16">
        <f>0.000001</f>
        <v>9.9999999999999995E-7</v>
      </c>
      <c r="D34" s="16" t="s">
        <v>142</v>
      </c>
      <c r="E34" s="16" t="s">
        <v>103</v>
      </c>
      <c r="F34" s="16" t="s">
        <v>139</v>
      </c>
    </row>
    <row r="35" spans="1:14" ht="19.8">
      <c r="A35" s="32" t="s">
        <v>287</v>
      </c>
      <c r="B35" s="16">
        <v>0.2424</v>
      </c>
      <c r="C35" s="16">
        <v>1E-3</v>
      </c>
      <c r="D35" s="16" t="s">
        <v>142</v>
      </c>
      <c r="E35" s="16" t="s">
        <v>98</v>
      </c>
    </row>
    <row r="36" spans="1:14" ht="19.8">
      <c r="A36" s="32" t="s">
        <v>288</v>
      </c>
      <c r="B36" s="16">
        <v>0.50690000000000002</v>
      </c>
      <c r="C36" s="16">
        <v>6.9999999999999999E-4</v>
      </c>
      <c r="D36" s="16" t="s">
        <v>142</v>
      </c>
      <c r="E36" s="16" t="s">
        <v>98</v>
      </c>
    </row>
    <row r="37" spans="1:14" ht="19.8">
      <c r="A37" s="32" t="s">
        <v>289</v>
      </c>
      <c r="B37" s="16">
        <v>0.49309999999999998</v>
      </c>
      <c r="C37" s="16">
        <v>6.9999999999999999E-4</v>
      </c>
      <c r="D37" s="16" t="s">
        <v>142</v>
      </c>
      <c r="E37" s="16" t="s">
        <v>98</v>
      </c>
    </row>
    <row r="38" spans="1:14" ht="18">
      <c r="E38" s="33" t="s">
        <v>104</v>
      </c>
    </row>
    <row r="39" spans="1:14" s="25" customFormat="1" ht="18" thickBot="1">
      <c r="A39" s="21" t="s">
        <v>59</v>
      </c>
      <c r="B39" s="22" t="s">
        <v>73</v>
      </c>
      <c r="C39" s="22" t="s">
        <v>2</v>
      </c>
      <c r="D39" s="22" t="s">
        <v>74</v>
      </c>
      <c r="E39" s="22" t="s">
        <v>30</v>
      </c>
      <c r="F39" s="22" t="s">
        <v>130</v>
      </c>
    </row>
    <row r="40" spans="1:14" ht="21">
      <c r="A40" s="15" t="s">
        <v>290</v>
      </c>
      <c r="B40" s="453">
        <f>Salts!BX15</f>
        <v>0.13021578356357363</v>
      </c>
      <c r="C40" s="453">
        <f>Salts!BY15</f>
        <v>3.0296035754597554E-3</v>
      </c>
      <c r="D40" s="16" t="s">
        <v>142</v>
      </c>
      <c r="E40" s="16" t="s">
        <v>291</v>
      </c>
      <c r="F40" s="16" t="s">
        <v>196</v>
      </c>
      <c r="G40" s="380">
        <v>6.2864087355062655E-3</v>
      </c>
      <c r="H40" s="380">
        <v>1.6519280693676346E-4</v>
      </c>
    </row>
    <row r="41" spans="1:14" ht="21">
      <c r="A41" s="15" t="s">
        <v>292</v>
      </c>
      <c r="B41" s="453">
        <f>Salts!BZ15</f>
        <v>1.5442098821883693E-2</v>
      </c>
      <c r="C41" s="453">
        <f>Salts!CA15</f>
        <v>3.0747463147223108E-4</v>
      </c>
      <c r="D41" s="16" t="s">
        <v>142</v>
      </c>
      <c r="E41" s="16" t="s">
        <v>293</v>
      </c>
      <c r="F41" s="16" t="s">
        <v>197</v>
      </c>
      <c r="G41" s="380">
        <v>1.2293258980266919E-2</v>
      </c>
      <c r="H41" s="380">
        <v>3.2303943997165547E-4</v>
      </c>
    </row>
    <row r="42" spans="1:14" ht="21">
      <c r="A42" s="15" t="s">
        <v>294</v>
      </c>
      <c r="B42" s="454">
        <f>Salts!CB15</f>
        <v>3.4882914722399443E-4</v>
      </c>
      <c r="C42" s="454">
        <f>Salts!CC15</f>
        <v>9.4669296073301958E-6</v>
      </c>
      <c r="D42" s="16" t="s">
        <v>142</v>
      </c>
      <c r="E42" s="16" t="s">
        <v>295</v>
      </c>
      <c r="F42" s="16" t="s">
        <v>198</v>
      </c>
      <c r="G42" s="380">
        <v>8.202664959126915E-4</v>
      </c>
      <c r="H42" s="380">
        <v>8.2041963085050365E-6</v>
      </c>
    </row>
    <row r="43" spans="1:14" ht="21">
      <c r="A43" s="15" t="s">
        <v>296</v>
      </c>
      <c r="B43" s="454">
        <f>Salts!CD15</f>
        <v>9.1386796330584781E-4</v>
      </c>
      <c r="C43" s="454">
        <f>Salts!CE15</f>
        <v>6.0516737349422718E-4</v>
      </c>
      <c r="D43" s="16" t="s">
        <v>142</v>
      </c>
      <c r="E43" s="16" t="s">
        <v>295</v>
      </c>
      <c r="F43" s="16" t="s">
        <v>199</v>
      </c>
      <c r="G43" s="380">
        <v>2.0736515022093675E-3</v>
      </c>
      <c r="H43" s="380">
        <v>5.3946135684947359E-6</v>
      </c>
    </row>
    <row r="44" spans="1:14">
      <c r="B44" s="9"/>
      <c r="C44" s="9"/>
      <c r="D44" s="9"/>
      <c r="E44" s="9"/>
    </row>
    <row r="45" spans="1:14" ht="52.2">
      <c r="B45" s="16" t="s">
        <v>874</v>
      </c>
      <c r="C45" s="53"/>
      <c r="G45" s="16" t="s">
        <v>848</v>
      </c>
    </row>
    <row r="46" spans="1:14" s="25" customFormat="1" ht="35.4" thickBot="1">
      <c r="A46" s="21" t="s">
        <v>90</v>
      </c>
      <c r="B46" s="22" t="s">
        <v>73</v>
      </c>
      <c r="C46" s="22" t="s">
        <v>2</v>
      </c>
      <c r="D46" s="22" t="s">
        <v>74</v>
      </c>
      <c r="E46" s="22" t="s">
        <v>30</v>
      </c>
      <c r="F46" s="22" t="s">
        <v>130</v>
      </c>
      <c r="L46" s="22"/>
      <c r="M46" s="22"/>
      <c r="N46" s="22"/>
    </row>
    <row r="47" spans="1:14">
      <c r="A47" s="34"/>
      <c r="B47" s="17" t="s">
        <v>45</v>
      </c>
      <c r="C47" s="17" t="s">
        <v>2</v>
      </c>
      <c r="D47" s="17" t="s">
        <v>74</v>
      </c>
      <c r="E47" s="17" t="s">
        <v>30</v>
      </c>
      <c r="F47" s="17"/>
      <c r="L47" s="17"/>
      <c r="M47" s="17"/>
      <c r="N47" s="17"/>
    </row>
    <row r="48" spans="1:14" ht="72">
      <c r="A48" s="15" t="s">
        <v>44</v>
      </c>
      <c r="B48" s="16">
        <v>12470</v>
      </c>
      <c r="C48" s="16">
        <v>80</v>
      </c>
      <c r="D48" s="16" t="s">
        <v>53</v>
      </c>
      <c r="E48" s="16" t="s">
        <v>159</v>
      </c>
      <c r="F48" s="16" t="s">
        <v>171</v>
      </c>
      <c r="G48" s="33" t="s">
        <v>61</v>
      </c>
    </row>
    <row r="49" spans="1:23">
      <c r="A49" s="15" t="s">
        <v>49</v>
      </c>
      <c r="B49" s="16">
        <v>1200</v>
      </c>
      <c r="C49" s="16">
        <v>90</v>
      </c>
      <c r="D49" s="16" t="s">
        <v>53</v>
      </c>
      <c r="E49" s="16" t="s">
        <v>158</v>
      </c>
      <c r="F49" s="16" t="s">
        <v>174</v>
      </c>
    </row>
    <row r="50" spans="1:23">
      <c r="A50" s="15" t="s">
        <v>108</v>
      </c>
      <c r="B50" s="16">
        <v>9900</v>
      </c>
      <c r="C50" s="16">
        <v>170</v>
      </c>
      <c r="D50" s="16" t="s">
        <v>53</v>
      </c>
      <c r="E50" s="16" t="s">
        <v>158</v>
      </c>
      <c r="F50" s="16" t="s">
        <v>175</v>
      </c>
    </row>
    <row r="51" spans="1:23">
      <c r="B51" s="17" t="s">
        <v>46</v>
      </c>
      <c r="C51" s="17" t="s">
        <v>2</v>
      </c>
      <c r="D51" s="17" t="s">
        <v>74</v>
      </c>
      <c r="E51" s="17" t="s">
        <v>30</v>
      </c>
      <c r="F51" s="17" t="s">
        <v>130</v>
      </c>
      <c r="L51" s="35"/>
      <c r="M51" s="35"/>
      <c r="N51" s="35"/>
      <c r="O51" s="36"/>
      <c r="P51" s="37"/>
      <c r="Q51" s="38"/>
      <c r="R51" s="38"/>
      <c r="S51" s="38"/>
      <c r="T51" s="38"/>
    </row>
    <row r="52" spans="1:23">
      <c r="A52" s="15" t="s">
        <v>44</v>
      </c>
      <c r="B52" s="16">
        <v>74500</v>
      </c>
      <c r="C52" s="16">
        <v>900</v>
      </c>
      <c r="D52" s="16" t="s">
        <v>53</v>
      </c>
      <c r="E52" s="16" t="s">
        <v>159</v>
      </c>
      <c r="F52" s="16" t="s">
        <v>173</v>
      </c>
      <c r="L52" s="35"/>
      <c r="M52" s="35"/>
      <c r="N52" s="35"/>
      <c r="O52" s="36"/>
      <c r="P52" s="37"/>
      <c r="Q52" s="38"/>
      <c r="R52" s="38"/>
      <c r="S52" s="38"/>
      <c r="T52" s="38"/>
    </row>
    <row r="53" spans="1:23">
      <c r="A53" s="15" t="s">
        <v>49</v>
      </c>
      <c r="B53" s="16">
        <v>70000</v>
      </c>
      <c r="C53" s="16">
        <v>2000</v>
      </c>
      <c r="D53" s="16" t="s">
        <v>53</v>
      </c>
      <c r="E53" s="16" t="s">
        <v>158</v>
      </c>
      <c r="F53" s="16" t="s">
        <v>182</v>
      </c>
      <c r="L53" s="35"/>
      <c r="M53" s="35"/>
      <c r="N53" s="35"/>
      <c r="O53" s="36"/>
      <c r="P53" s="37"/>
      <c r="Q53" s="38"/>
      <c r="R53" s="38"/>
      <c r="S53" s="38"/>
      <c r="T53" s="38"/>
    </row>
    <row r="54" spans="1:23">
      <c r="A54" s="15" t="s">
        <v>108</v>
      </c>
      <c r="B54" s="16">
        <v>17000</v>
      </c>
      <c r="C54" s="16">
        <v>2000</v>
      </c>
      <c r="D54" s="16" t="s">
        <v>53</v>
      </c>
      <c r="E54" s="16" t="s">
        <v>158</v>
      </c>
      <c r="F54" s="16" t="s">
        <v>183</v>
      </c>
      <c r="L54" s="35"/>
      <c r="M54" s="35"/>
      <c r="N54" s="35"/>
      <c r="O54" s="36"/>
      <c r="P54" s="37"/>
      <c r="Q54" s="38"/>
      <c r="R54" s="38"/>
      <c r="S54" s="38"/>
      <c r="T54" s="38"/>
    </row>
    <row r="55" spans="1:23" ht="18">
      <c r="A55" s="27"/>
      <c r="B55" s="17" t="s">
        <v>24</v>
      </c>
      <c r="C55" s="17" t="s">
        <v>2</v>
      </c>
      <c r="D55" s="17" t="s">
        <v>74</v>
      </c>
      <c r="E55" s="17" t="s">
        <v>30</v>
      </c>
      <c r="F55" s="17" t="s">
        <v>130</v>
      </c>
      <c r="L55" s="35"/>
      <c r="M55" s="35"/>
      <c r="N55" s="35"/>
      <c r="O55" s="36"/>
      <c r="P55" s="37"/>
      <c r="Q55" s="38"/>
      <c r="R55" s="38"/>
      <c r="S55" s="38"/>
      <c r="T55" s="38"/>
    </row>
    <row r="56" spans="1:23">
      <c r="A56" s="15" t="s">
        <v>44</v>
      </c>
      <c r="B56" s="16">
        <v>2379</v>
      </c>
      <c r="C56" s="16">
        <v>32</v>
      </c>
      <c r="D56" s="16" t="s">
        <v>53</v>
      </c>
      <c r="E56" s="16" t="s">
        <v>159</v>
      </c>
      <c r="F56" s="16" t="s">
        <v>172</v>
      </c>
      <c r="L56" s="35"/>
      <c r="M56" s="35"/>
      <c r="N56" s="35"/>
      <c r="O56" s="36"/>
      <c r="P56" s="37"/>
      <c r="Q56" s="38"/>
      <c r="R56" s="38"/>
      <c r="S56" s="38"/>
      <c r="T56" s="38"/>
    </row>
    <row r="57" spans="1:23">
      <c r="A57" s="15" t="s">
        <v>49</v>
      </c>
      <c r="B57" s="16">
        <f>3.08*10000</f>
        <v>30800</v>
      </c>
      <c r="C57" s="16">
        <f>0.13*10000</f>
        <v>1300</v>
      </c>
      <c r="D57" s="16" t="s">
        <v>53</v>
      </c>
      <c r="E57" s="16" t="s">
        <v>158</v>
      </c>
      <c r="F57" s="16" t="s">
        <v>180</v>
      </c>
      <c r="L57" s="35"/>
      <c r="M57" s="35"/>
      <c r="N57" s="35"/>
      <c r="O57" s="36"/>
      <c r="P57" s="37"/>
      <c r="Q57" s="38"/>
      <c r="R57" s="38"/>
      <c r="S57" s="38"/>
      <c r="T57" s="38"/>
    </row>
    <row r="58" spans="1:23">
      <c r="A58" s="15" t="s">
        <v>108</v>
      </c>
      <c r="B58" s="16">
        <v>41000</v>
      </c>
      <c r="C58" s="16">
        <f>0.15*10000</f>
        <v>1500</v>
      </c>
      <c r="D58" s="16" t="s">
        <v>53</v>
      </c>
      <c r="E58" s="16" t="s">
        <v>158</v>
      </c>
      <c r="F58" s="16" t="s">
        <v>181</v>
      </c>
      <c r="O58" s="17"/>
      <c r="P58" s="17"/>
      <c r="Q58" s="17"/>
      <c r="R58" s="17"/>
      <c r="S58" s="17"/>
      <c r="T58" s="17"/>
      <c r="U58" s="17"/>
      <c r="V58" s="17"/>
      <c r="W58" s="17"/>
    </row>
    <row r="59" spans="1:23" ht="18">
      <c r="A59" s="27"/>
      <c r="B59" s="17" t="s">
        <v>47</v>
      </c>
      <c r="C59" s="17" t="s">
        <v>2</v>
      </c>
      <c r="D59" s="17" t="s">
        <v>74</v>
      </c>
      <c r="E59" s="17" t="s">
        <v>30</v>
      </c>
      <c r="F59" s="17" t="s">
        <v>130</v>
      </c>
      <c r="O59" s="39"/>
      <c r="T59" s="20"/>
      <c r="V59" s="33"/>
    </row>
    <row r="60" spans="1:23" ht="18">
      <c r="A60" s="15" t="s">
        <v>49</v>
      </c>
      <c r="B60" s="16">
        <v>430</v>
      </c>
      <c r="C60" s="16">
        <v>30</v>
      </c>
      <c r="D60" s="16" t="s">
        <v>53</v>
      </c>
      <c r="E60" s="16" t="s">
        <v>158</v>
      </c>
      <c r="F60" s="16" t="s">
        <v>178</v>
      </c>
      <c r="L60" s="40"/>
      <c r="M60" s="40"/>
      <c r="N60" s="40"/>
      <c r="O60" s="39"/>
      <c r="P60" s="40"/>
      <c r="Q60" s="40"/>
      <c r="R60" s="40"/>
      <c r="S60" s="40"/>
      <c r="T60" s="40"/>
      <c r="U60" s="40"/>
      <c r="V60" s="33"/>
    </row>
    <row r="61" spans="1:23">
      <c r="A61" s="15" t="s">
        <v>108</v>
      </c>
      <c r="B61" s="16">
        <v>40</v>
      </c>
      <c r="C61" s="16">
        <v>3</v>
      </c>
      <c r="D61" s="16" t="s">
        <v>53</v>
      </c>
      <c r="E61" s="16" t="s">
        <v>158</v>
      </c>
      <c r="F61" s="16" t="s">
        <v>179</v>
      </c>
      <c r="L61" s="35"/>
      <c r="M61" s="35"/>
      <c r="N61" s="35"/>
      <c r="O61" s="36"/>
      <c r="P61" s="37"/>
      <c r="Q61" s="38"/>
      <c r="R61" s="38"/>
      <c r="S61" s="38"/>
      <c r="T61" s="38"/>
    </row>
    <row r="62" spans="1:23" ht="18">
      <c r="A62" s="27"/>
      <c r="B62" s="17" t="s">
        <v>48</v>
      </c>
      <c r="C62" s="17" t="s">
        <v>2</v>
      </c>
      <c r="D62" s="17" t="s">
        <v>74</v>
      </c>
      <c r="E62" s="17" t="s">
        <v>30</v>
      </c>
      <c r="F62" s="17" t="s">
        <v>130</v>
      </c>
      <c r="L62" s="35"/>
      <c r="M62" s="35"/>
      <c r="N62" s="35"/>
      <c r="O62" s="36"/>
      <c r="P62" s="37"/>
      <c r="Q62" s="38"/>
      <c r="R62" s="38"/>
      <c r="S62" s="38"/>
      <c r="T62" s="38"/>
    </row>
    <row r="63" spans="1:23">
      <c r="A63" s="15" t="s">
        <v>49</v>
      </c>
      <c r="B63" s="20">
        <f>BB1_ICl*BB1_Cl</f>
        <v>0.79771999999999998</v>
      </c>
      <c r="C63" s="20">
        <f>BB1_I*SQRT((BB1_Clerr/BB1_Cl)^2+(BB1_IClerr/BB1_ICl)^2)</f>
        <v>3.5853190931910098E-2</v>
      </c>
      <c r="D63" s="16" t="s">
        <v>53</v>
      </c>
      <c r="E63" s="16" t="s">
        <v>830</v>
      </c>
      <c r="F63" s="16" t="s">
        <v>176</v>
      </c>
      <c r="L63" s="35"/>
      <c r="M63" s="35"/>
      <c r="N63" s="35"/>
      <c r="O63" s="36"/>
      <c r="P63" s="37"/>
      <c r="Q63" s="38"/>
      <c r="R63" s="38"/>
      <c r="S63" s="38"/>
      <c r="T63" s="38"/>
    </row>
    <row r="64" spans="1:23">
      <c r="A64" s="15" t="s">
        <v>108</v>
      </c>
      <c r="B64" s="31">
        <f>BB2_SP_ICl*BB2_SP_Cl</f>
        <v>4.879E-2</v>
      </c>
      <c r="C64" s="31">
        <f>BB2_SP_I*SQRT((BB2_SP_Clerr/BB2_SP_Cl)^2+(BB2_SP_IClerr/BB2_SP_ICl)^2)</f>
        <v>1.9643383109841338E-3</v>
      </c>
      <c r="D64" s="16" t="s">
        <v>53</v>
      </c>
      <c r="E64" s="16" t="s">
        <v>830</v>
      </c>
      <c r="F64" s="16" t="s">
        <v>177</v>
      </c>
      <c r="L64" s="35"/>
      <c r="M64" s="35"/>
      <c r="N64" s="35"/>
      <c r="O64" s="36"/>
      <c r="P64" s="37"/>
      <c r="Q64" s="38"/>
      <c r="R64" s="38"/>
      <c r="S64" s="38"/>
      <c r="T64" s="38"/>
    </row>
    <row r="65" spans="1:20" ht="18">
      <c r="A65" s="27"/>
      <c r="B65" s="17" t="s">
        <v>50</v>
      </c>
      <c r="C65" s="17" t="s">
        <v>2</v>
      </c>
      <c r="D65" s="17" t="s">
        <v>74</v>
      </c>
      <c r="E65" s="17" t="s">
        <v>30</v>
      </c>
      <c r="F65" s="17" t="s">
        <v>130</v>
      </c>
      <c r="L65" s="35"/>
      <c r="M65" s="35"/>
      <c r="N65" s="35"/>
      <c r="O65" s="36"/>
      <c r="P65" s="37"/>
      <c r="Q65" s="38"/>
      <c r="R65" s="38"/>
      <c r="S65" s="38"/>
      <c r="T65" s="38"/>
    </row>
    <row r="66" spans="1:20">
      <c r="A66" s="15" t="s">
        <v>49</v>
      </c>
      <c r="B66" s="192">
        <v>1.38E-2</v>
      </c>
      <c r="C66" s="192">
        <f>0.0008</f>
        <v>8.0000000000000004E-4</v>
      </c>
      <c r="D66" s="16" t="s">
        <v>163</v>
      </c>
      <c r="E66" s="16" t="s">
        <v>158</v>
      </c>
      <c r="F66" s="16" t="s">
        <v>184</v>
      </c>
      <c r="L66" s="35"/>
      <c r="M66" s="35"/>
      <c r="N66" s="35"/>
      <c r="O66" s="36"/>
      <c r="P66" s="37"/>
      <c r="Q66" s="38"/>
      <c r="R66" s="38"/>
      <c r="S66" s="38"/>
      <c r="T66" s="38"/>
    </row>
    <row r="67" spans="1:20">
      <c r="A67" s="15" t="s">
        <v>108</v>
      </c>
      <c r="B67" s="192">
        <f>0.00097</f>
        <v>9.7000000000000005E-4</v>
      </c>
      <c r="C67" s="192">
        <v>6.0000000000000002E-5</v>
      </c>
      <c r="D67" s="16" t="s">
        <v>163</v>
      </c>
      <c r="E67" s="16" t="s">
        <v>158</v>
      </c>
      <c r="F67" s="16" t="s">
        <v>201</v>
      </c>
      <c r="L67" s="35"/>
      <c r="M67" s="35"/>
      <c r="N67" s="35"/>
      <c r="O67" s="36"/>
      <c r="P67" s="37"/>
      <c r="Q67" s="38"/>
      <c r="R67" s="38"/>
      <c r="S67" s="38"/>
      <c r="T67" s="38"/>
    </row>
    <row r="68" spans="1:20" ht="18">
      <c r="A68" s="27"/>
      <c r="B68" s="17" t="s">
        <v>51</v>
      </c>
      <c r="C68" s="17" t="s">
        <v>2</v>
      </c>
      <c r="D68" s="17" t="s">
        <v>74</v>
      </c>
      <c r="E68" s="17" t="s">
        <v>30</v>
      </c>
      <c r="F68" s="17" t="s">
        <v>130</v>
      </c>
      <c r="L68" s="35"/>
      <c r="M68" s="35"/>
      <c r="N68" s="35"/>
      <c r="O68" s="36"/>
      <c r="P68" s="37"/>
      <c r="Q68" s="38"/>
      <c r="R68" s="38"/>
      <c r="S68" s="38"/>
      <c r="T68" s="38"/>
    </row>
    <row r="69" spans="1:20">
      <c r="A69" s="15" t="s">
        <v>49</v>
      </c>
      <c r="B69" s="192">
        <v>2.5899999999999999E-5</v>
      </c>
      <c r="C69" s="192">
        <v>3.9999999999999998E-7</v>
      </c>
      <c r="D69" s="16" t="s">
        <v>163</v>
      </c>
      <c r="E69" s="16" t="s">
        <v>830</v>
      </c>
      <c r="F69" s="16" t="s">
        <v>204</v>
      </c>
      <c r="L69" s="35"/>
      <c r="M69" s="35"/>
      <c r="N69" s="35"/>
      <c r="O69" s="36"/>
      <c r="P69" s="37"/>
      <c r="Q69" s="38"/>
      <c r="R69" s="38"/>
      <c r="S69" s="38"/>
      <c r="T69" s="38"/>
    </row>
    <row r="70" spans="1:20">
      <c r="A70" s="15" t="s">
        <v>108</v>
      </c>
      <c r="B70" s="192">
        <v>1.19E-6</v>
      </c>
      <c r="C70" s="40">
        <v>2E-8</v>
      </c>
      <c r="D70" s="16" t="s">
        <v>163</v>
      </c>
      <c r="E70" s="16" t="s">
        <v>830</v>
      </c>
      <c r="F70" s="16" t="s">
        <v>205</v>
      </c>
      <c r="L70" s="35"/>
      <c r="M70" s="35"/>
      <c r="N70" s="35"/>
      <c r="O70" s="36"/>
      <c r="P70" s="37"/>
      <c r="Q70" s="38"/>
      <c r="R70" s="38"/>
      <c r="S70" s="38"/>
      <c r="T70" s="38"/>
    </row>
    <row r="71" spans="1:20" ht="18">
      <c r="A71" s="27"/>
      <c r="B71" s="17" t="s">
        <v>19</v>
      </c>
      <c r="C71" s="17" t="s">
        <v>2</v>
      </c>
      <c r="D71" s="17" t="s">
        <v>74</v>
      </c>
      <c r="E71" s="17" t="s">
        <v>30</v>
      </c>
      <c r="F71" s="17" t="s">
        <v>130</v>
      </c>
      <c r="L71" s="35"/>
      <c r="M71" s="35"/>
      <c r="N71" s="35"/>
      <c r="O71" s="36"/>
      <c r="P71" s="37"/>
      <c r="Q71" s="38"/>
      <c r="R71" s="38"/>
      <c r="S71" s="38"/>
      <c r="T71" s="38"/>
    </row>
    <row r="72" spans="1:20">
      <c r="A72" s="15" t="s">
        <v>44</v>
      </c>
      <c r="B72" s="194">
        <f>B48/B56</f>
        <v>5.2416981925178643</v>
      </c>
      <c r="C72" s="193">
        <f>B72*SQRT((C56/B56)^2+(C48/B48)^2)</f>
        <v>7.811493767030267E-2</v>
      </c>
      <c r="D72" s="16" t="s">
        <v>163</v>
      </c>
      <c r="E72" s="16" t="s">
        <v>159</v>
      </c>
      <c r="F72" s="16" t="s">
        <v>186</v>
      </c>
      <c r="L72" s="35"/>
      <c r="M72" s="35"/>
      <c r="N72" s="35"/>
      <c r="O72" s="36"/>
      <c r="P72" s="37"/>
      <c r="Q72" s="38"/>
      <c r="R72" s="38"/>
      <c r="S72" s="38"/>
      <c r="T72" s="38"/>
    </row>
    <row r="73" spans="1:20">
      <c r="A73" s="15" t="s">
        <v>49</v>
      </c>
      <c r="B73" s="192">
        <v>0.39</v>
      </c>
      <c r="C73" s="192">
        <v>0.03</v>
      </c>
      <c r="D73" s="16" t="s">
        <v>163</v>
      </c>
      <c r="E73" s="16" t="s">
        <v>158</v>
      </c>
      <c r="F73" s="16" t="s">
        <v>185</v>
      </c>
      <c r="L73" s="35"/>
      <c r="M73" s="35"/>
      <c r="N73" s="35"/>
      <c r="O73" s="36"/>
      <c r="P73" s="37"/>
      <c r="Q73" s="38"/>
      <c r="R73" s="38"/>
      <c r="S73" s="38"/>
      <c r="T73" s="38"/>
    </row>
    <row r="74" spans="1:20">
      <c r="A74" s="15" t="s">
        <v>108</v>
      </c>
      <c r="B74" s="192">
        <v>0.24</v>
      </c>
      <c r="C74" s="192">
        <v>0.04</v>
      </c>
      <c r="D74" s="16" t="s">
        <v>163</v>
      </c>
      <c r="E74" s="16" t="s">
        <v>158</v>
      </c>
      <c r="F74" s="16" t="s">
        <v>202</v>
      </c>
      <c r="L74" s="35"/>
      <c r="M74" s="35"/>
      <c r="N74" s="35"/>
      <c r="O74" s="36"/>
      <c r="P74" s="37"/>
      <c r="Q74" s="38"/>
      <c r="R74" s="38"/>
      <c r="S74" s="38"/>
      <c r="T74" s="38"/>
    </row>
    <row r="75" spans="1:20" ht="18">
      <c r="A75" s="27"/>
      <c r="B75" s="17" t="s">
        <v>20</v>
      </c>
      <c r="C75" s="17" t="s">
        <v>2</v>
      </c>
      <c r="D75" s="17" t="s">
        <v>74</v>
      </c>
      <c r="E75" s="17" t="s">
        <v>30</v>
      </c>
      <c r="F75" s="17" t="s">
        <v>130</v>
      </c>
      <c r="L75" s="35"/>
      <c r="M75" s="35"/>
      <c r="N75" s="35"/>
      <c r="O75" s="36"/>
      <c r="P75" s="37"/>
      <c r="Q75" s="38"/>
      <c r="R75" s="38"/>
      <c r="S75" s="38"/>
      <c r="T75" s="38"/>
    </row>
    <row r="76" spans="1:20">
      <c r="A76" s="15" t="s">
        <v>44</v>
      </c>
      <c r="B76" s="195">
        <f>B48/B52</f>
        <v>0.16738255033557048</v>
      </c>
      <c r="C76" s="195">
        <f>B76*SQRT((C48/B48)^2+(C52/B52)^2)</f>
        <v>2.2895136286236405E-3</v>
      </c>
      <c r="D76" s="16" t="s">
        <v>163</v>
      </c>
      <c r="E76" s="16" t="s">
        <v>159</v>
      </c>
      <c r="F76" s="16" t="s">
        <v>200</v>
      </c>
      <c r="L76" s="35"/>
      <c r="M76" s="35"/>
      <c r="N76" s="35"/>
      <c r="O76" s="36"/>
      <c r="P76" s="37"/>
      <c r="Q76" s="38"/>
      <c r="R76" s="38"/>
      <c r="S76" s="38"/>
      <c r="T76" s="38"/>
    </row>
    <row r="77" spans="1:20">
      <c r="A77" s="15" t="s">
        <v>49</v>
      </c>
      <c r="B77" s="195">
        <f>B49/B53</f>
        <v>1.7142857142857144E-2</v>
      </c>
      <c r="C77" s="195">
        <f>B77*SQRT((C49/B49)^2+(C53/B53)^2)</f>
        <v>1.3758492890353611E-3</v>
      </c>
      <c r="D77" s="16" t="s">
        <v>163</v>
      </c>
      <c r="E77" s="16" t="s">
        <v>158</v>
      </c>
      <c r="F77" s="16" t="s">
        <v>187</v>
      </c>
      <c r="L77" s="35"/>
      <c r="M77" s="35"/>
      <c r="N77" s="35"/>
      <c r="O77" s="36"/>
      <c r="P77" s="37"/>
      <c r="Q77" s="38"/>
      <c r="R77" s="38"/>
      <c r="S77" s="38"/>
      <c r="T77" s="38"/>
    </row>
    <row r="78" spans="1:20">
      <c r="A78" s="15" t="s">
        <v>108</v>
      </c>
      <c r="B78" s="195">
        <f>B50/B54</f>
        <v>0.58235294117647063</v>
      </c>
      <c r="C78" s="195">
        <f>B78*SQRT((C50/B50)^2+(C54/B54)^2)</f>
        <v>6.9238062626129804E-2</v>
      </c>
      <c r="D78" s="16" t="s">
        <v>163</v>
      </c>
      <c r="E78" s="16" t="s">
        <v>158</v>
      </c>
      <c r="F78" s="16" t="s">
        <v>203</v>
      </c>
      <c r="L78" s="35"/>
      <c r="M78" s="35"/>
      <c r="N78" s="35"/>
      <c r="O78" s="36"/>
      <c r="P78" s="37"/>
      <c r="Q78" s="38"/>
      <c r="R78" s="38"/>
      <c r="S78" s="38"/>
      <c r="T78" s="38"/>
    </row>
    <row r="79" spans="1:20">
      <c r="L79" s="35"/>
      <c r="M79" s="35"/>
      <c r="N79" s="35"/>
      <c r="O79" s="36"/>
      <c r="P79" s="37"/>
      <c r="Q79" s="38"/>
      <c r="R79" s="38"/>
      <c r="S79" s="38"/>
      <c r="T79" s="38"/>
    </row>
    <row r="80" spans="1:20">
      <c r="B80" s="17" t="s">
        <v>91</v>
      </c>
      <c r="C80" s="17" t="s">
        <v>2</v>
      </c>
      <c r="D80" s="17" t="s">
        <v>74</v>
      </c>
      <c r="E80" s="17" t="s">
        <v>30</v>
      </c>
      <c r="F80" s="17" t="s">
        <v>130</v>
      </c>
      <c r="G80" s="17" t="s">
        <v>91</v>
      </c>
      <c r="H80" s="17" t="s">
        <v>2</v>
      </c>
      <c r="I80" s="17" t="s">
        <v>74</v>
      </c>
      <c r="J80" s="17" t="s">
        <v>30</v>
      </c>
      <c r="O80" s="36"/>
      <c r="P80" s="37"/>
      <c r="Q80" s="38"/>
      <c r="R80" s="38"/>
      <c r="S80" s="38"/>
      <c r="T80" s="38"/>
    </row>
    <row r="81" spans="1:37" ht="34.799999999999997">
      <c r="A81" s="15" t="s">
        <v>96</v>
      </c>
      <c r="B81" s="384">
        <f>1074.9*10^6</f>
        <v>1074900000</v>
      </c>
      <c r="C81" s="384">
        <f>3.5*10^6</f>
        <v>3500000</v>
      </c>
      <c r="D81" s="16" t="s">
        <v>79</v>
      </c>
      <c r="E81" s="16" t="s">
        <v>75</v>
      </c>
      <c r="F81" s="16" t="s">
        <v>145</v>
      </c>
      <c r="G81" s="16">
        <f>1074.9*10^6</f>
        <v>1074900000</v>
      </c>
      <c r="H81" s="16">
        <f>3.5*10^6</f>
        <v>3500000</v>
      </c>
      <c r="I81" s="16" t="s">
        <v>79</v>
      </c>
      <c r="J81" s="16" t="s">
        <v>75</v>
      </c>
      <c r="K81" s="16">
        <f>1080.4*10^6</f>
        <v>1080400000</v>
      </c>
      <c r="L81" s="16">
        <f>1.1*10^6</f>
        <v>1100000</v>
      </c>
      <c r="M81" s="386" t="s">
        <v>849</v>
      </c>
      <c r="O81" s="16">
        <f>1075*10^6</f>
        <v>1075000000</v>
      </c>
      <c r="P81" s="16">
        <f>4*10^6</f>
        <v>4000000</v>
      </c>
      <c r="Q81" s="387" t="s">
        <v>850</v>
      </c>
      <c r="R81" s="16">
        <v>1074900000</v>
      </c>
      <c r="S81" s="15">
        <v>3500000</v>
      </c>
      <c r="T81" s="16" t="s">
        <v>75</v>
      </c>
      <c r="U81" s="16">
        <f>1073.6*10^6</f>
        <v>1073599999.9999999</v>
      </c>
      <c r="V81" s="16">
        <f>4.6*10^6</f>
        <v>4600000</v>
      </c>
      <c r="W81" s="388" t="s">
        <v>851</v>
      </c>
    </row>
    <row r="82" spans="1:37">
      <c r="O82" s="36"/>
      <c r="P82" s="37"/>
      <c r="Q82" s="38"/>
      <c r="R82" s="38"/>
      <c r="S82" s="38"/>
      <c r="T82" s="38"/>
    </row>
    <row r="83" spans="1:37">
      <c r="B83" s="17" t="s">
        <v>92</v>
      </c>
      <c r="C83" s="17" t="s">
        <v>2</v>
      </c>
      <c r="D83" s="17" t="s">
        <v>74</v>
      </c>
      <c r="E83" s="17" t="s">
        <v>30</v>
      </c>
      <c r="O83" s="36"/>
      <c r="P83" s="37"/>
      <c r="Q83" s="38"/>
      <c r="R83" s="38"/>
      <c r="S83" s="38"/>
      <c r="T83" s="38"/>
    </row>
    <row r="84" spans="1:37" ht="21">
      <c r="A84" s="41" t="s">
        <v>297</v>
      </c>
      <c r="B84" s="29">
        <v>1.072E-4</v>
      </c>
      <c r="D84" s="16" t="s">
        <v>142</v>
      </c>
      <c r="E84" s="16" t="s">
        <v>95</v>
      </c>
      <c r="O84" s="36"/>
      <c r="P84" s="37"/>
      <c r="Q84" s="38"/>
      <c r="R84" s="38"/>
      <c r="S84" s="38"/>
      <c r="T84" s="38"/>
    </row>
    <row r="85" spans="1:37" ht="21">
      <c r="A85" s="41" t="s">
        <v>297</v>
      </c>
      <c r="B85" s="29">
        <f>0.0001125</f>
        <v>1.125E-4</v>
      </c>
      <c r="C85" s="29">
        <f>0.0000012</f>
        <v>1.1999999999999999E-6</v>
      </c>
      <c r="D85" s="16" t="s">
        <v>142</v>
      </c>
      <c r="E85" s="16" t="s">
        <v>94</v>
      </c>
      <c r="H85" s="42"/>
      <c r="I85" s="42"/>
      <c r="J85" s="42"/>
      <c r="K85" s="42"/>
      <c r="L85" s="42"/>
      <c r="M85" s="42"/>
      <c r="N85" s="42"/>
      <c r="O85" s="36"/>
      <c r="P85" s="37"/>
      <c r="Q85" s="38"/>
      <c r="R85" s="38"/>
      <c r="S85" s="38"/>
      <c r="T85" s="38"/>
    </row>
    <row r="86" spans="1:37" ht="21">
      <c r="A86" s="196" t="s">
        <v>598</v>
      </c>
      <c r="B86" s="29">
        <v>1.072E-4</v>
      </c>
      <c r="C86" s="29">
        <v>2.9000000000000002E-6</v>
      </c>
      <c r="D86" s="16" t="s">
        <v>142</v>
      </c>
      <c r="E86" s="16" t="s">
        <v>829</v>
      </c>
      <c r="F86" s="16" t="s">
        <v>188</v>
      </c>
      <c r="H86" s="42"/>
      <c r="I86" s="42"/>
      <c r="J86" s="42"/>
      <c r="K86" s="42"/>
      <c r="L86" s="42"/>
      <c r="M86" s="42"/>
      <c r="N86" s="42"/>
      <c r="O86" s="36"/>
      <c r="P86" s="37"/>
      <c r="Q86" s="38"/>
      <c r="R86" s="38"/>
      <c r="S86" s="38"/>
      <c r="T86" s="38"/>
    </row>
    <row r="88" spans="1:37" s="25" customFormat="1" ht="40.799999999999997" thickBot="1">
      <c r="A88" s="21" t="s">
        <v>52</v>
      </c>
      <c r="B88" s="22" t="s">
        <v>33</v>
      </c>
      <c r="C88" s="22" t="s">
        <v>107</v>
      </c>
      <c r="D88" s="22" t="s">
        <v>2</v>
      </c>
      <c r="E88" s="22" t="s">
        <v>298</v>
      </c>
      <c r="F88" s="22" t="s">
        <v>2</v>
      </c>
      <c r="G88" s="22" t="s">
        <v>299</v>
      </c>
      <c r="H88" s="22" t="s">
        <v>2</v>
      </c>
      <c r="I88" s="22" t="s">
        <v>300</v>
      </c>
      <c r="J88" s="22" t="s">
        <v>2</v>
      </c>
      <c r="K88" s="22" t="s">
        <v>301</v>
      </c>
      <c r="L88" s="22" t="s">
        <v>2</v>
      </c>
      <c r="M88" s="22" t="s">
        <v>302</v>
      </c>
      <c r="N88" s="22" t="s">
        <v>2</v>
      </c>
      <c r="O88" s="22" t="s">
        <v>148</v>
      </c>
      <c r="P88" s="22"/>
      <c r="Q88" s="22"/>
    </row>
    <row r="89" spans="1:37" ht="104.4">
      <c r="A89" s="15" t="s">
        <v>157</v>
      </c>
      <c r="B89" s="16">
        <v>1</v>
      </c>
      <c r="C89" s="16">
        <v>0.75770000000000004</v>
      </c>
      <c r="G89" s="17"/>
      <c r="H89" s="17"/>
      <c r="I89" s="20"/>
      <c r="J89" s="20"/>
      <c r="K89" s="43"/>
      <c r="O89" s="15" t="s">
        <v>34</v>
      </c>
    </row>
    <row r="90" spans="1:37" s="17" customFormat="1" ht="121.8">
      <c r="A90" s="34" t="s">
        <v>193</v>
      </c>
      <c r="B90" s="17">
        <v>1</v>
      </c>
      <c r="C90" s="17">
        <v>0.2424</v>
      </c>
      <c r="D90" s="17">
        <v>1E-3</v>
      </c>
      <c r="E90" s="197">
        <f>I90*10^-24</f>
        <v>4.3300000000000006E-25</v>
      </c>
      <c r="F90" s="197">
        <f>J90*10^-24</f>
        <v>6.0000000000000009E-27</v>
      </c>
      <c r="G90" s="197">
        <f>K90*10^-24</f>
        <v>3.0000000000000002E-25</v>
      </c>
      <c r="H90" s="197"/>
      <c r="I90" s="281">
        <v>0.433</v>
      </c>
      <c r="J90" s="281">
        <v>6.0000000000000001E-3</v>
      </c>
      <c r="K90" s="55">
        <v>0.3</v>
      </c>
      <c r="L90" s="51">
        <v>0.04</v>
      </c>
      <c r="M90" s="51"/>
      <c r="N90" s="51"/>
      <c r="O90" s="56" t="s">
        <v>35</v>
      </c>
      <c r="P90" s="51"/>
      <c r="Q90" s="51"/>
      <c r="R90" s="51"/>
      <c r="S90" s="51"/>
      <c r="T90" s="51"/>
      <c r="U90" s="51"/>
      <c r="V90" s="51"/>
      <c r="W90" s="51"/>
      <c r="X90" s="51"/>
      <c r="Y90" s="51"/>
      <c r="Z90" s="51"/>
      <c r="AA90" s="51"/>
      <c r="AB90" s="51"/>
      <c r="AC90" s="51"/>
      <c r="AD90" s="51"/>
      <c r="AE90" s="51"/>
      <c r="AF90" s="51"/>
      <c r="AG90" s="51"/>
      <c r="AH90" s="51"/>
      <c r="AI90" s="51"/>
      <c r="AJ90" s="51"/>
      <c r="AK90" s="51"/>
    </row>
    <row r="91" spans="1:37" s="17" customFormat="1" ht="87">
      <c r="A91" s="34" t="s">
        <v>149</v>
      </c>
      <c r="B91" s="17">
        <v>1</v>
      </c>
      <c r="C91" s="17">
        <v>0.93258099999999999</v>
      </c>
      <c r="D91" s="17">
        <v>4.3999999999999999E-5</v>
      </c>
      <c r="E91" s="197">
        <f t="shared" ref="E91:E96" si="0">I91*10^-24</f>
        <v>2.1000000000000003E-24</v>
      </c>
      <c r="F91" s="197">
        <f t="shared" ref="F91:F96" si="1">J91*10^-24</f>
        <v>1.0000000000000002E-25</v>
      </c>
      <c r="G91" s="197">
        <f t="shared" ref="G91:G96" si="2">K91*10^-24</f>
        <v>1.1000000000000002E-24</v>
      </c>
      <c r="H91" s="197">
        <f t="shared" ref="H91:H96" si="3">L91*10^-24</f>
        <v>1.0000000000000002E-25</v>
      </c>
      <c r="I91" s="283">
        <v>2.1</v>
      </c>
      <c r="J91" s="283">
        <v>0.1</v>
      </c>
      <c r="K91" s="55">
        <v>1.1000000000000001</v>
      </c>
      <c r="L91" s="51">
        <v>0.1</v>
      </c>
      <c r="M91" s="57">
        <f>0.07*10^-24</f>
        <v>7.000000000000002E-26</v>
      </c>
      <c r="N91" s="51"/>
      <c r="O91" s="56" t="s">
        <v>36</v>
      </c>
      <c r="P91" s="51"/>
      <c r="Q91" s="51"/>
      <c r="R91" s="51"/>
      <c r="S91" s="51"/>
      <c r="T91" s="51"/>
      <c r="U91" s="51"/>
      <c r="V91" s="51"/>
      <c r="W91" s="51"/>
      <c r="X91" s="51"/>
      <c r="Y91" s="51"/>
      <c r="Z91" s="51"/>
      <c r="AA91" s="51"/>
      <c r="AB91" s="51"/>
      <c r="AC91" s="51"/>
      <c r="AD91" s="51"/>
      <c r="AE91" s="51"/>
      <c r="AF91" s="51"/>
      <c r="AG91" s="51"/>
      <c r="AH91" s="51"/>
      <c r="AI91" s="51"/>
      <c r="AJ91" s="51"/>
      <c r="AK91" s="51"/>
    </row>
    <row r="92" spans="1:37" ht="87">
      <c r="A92" s="15" t="s">
        <v>150</v>
      </c>
      <c r="B92" s="16">
        <v>1</v>
      </c>
      <c r="C92" s="16">
        <v>0.96940000000000004</v>
      </c>
      <c r="E92" s="198">
        <f t="shared" si="0"/>
        <v>4.3000000000000007E-25</v>
      </c>
      <c r="F92" s="198">
        <f t="shared" si="1"/>
        <v>2.0000000000000004E-26</v>
      </c>
      <c r="G92" s="198">
        <f t="shared" si="2"/>
        <v>2.2000000000000002E-25</v>
      </c>
      <c r="H92" s="198">
        <f t="shared" si="3"/>
        <v>2.0000000000000004E-26</v>
      </c>
      <c r="I92" s="44">
        <v>0.43</v>
      </c>
      <c r="J92" s="44">
        <v>0.02</v>
      </c>
      <c r="K92" s="44">
        <v>0.22</v>
      </c>
      <c r="L92" s="2">
        <v>0.02</v>
      </c>
      <c r="M92" s="2"/>
      <c r="N92" s="2"/>
      <c r="O92" s="45" t="s">
        <v>37</v>
      </c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</row>
    <row r="93" spans="1:37" s="17" customFormat="1" ht="104.4">
      <c r="A93" s="34" t="s">
        <v>151</v>
      </c>
      <c r="B93" s="17">
        <v>0.91700000000000004</v>
      </c>
      <c r="C93" s="17">
        <v>0.50690000000000002</v>
      </c>
      <c r="D93" s="17">
        <v>6.9999999999999999E-4</v>
      </c>
      <c r="E93" s="197">
        <f t="shared" si="0"/>
        <v>1.0890000000000002E-23</v>
      </c>
      <c r="F93" s="197">
        <f t="shared" si="1"/>
        <v>5.0000000000000008E-26</v>
      </c>
      <c r="G93" s="197">
        <f t="shared" si="2"/>
        <v>1.296E-22</v>
      </c>
      <c r="H93" s="197">
        <f t="shared" si="3"/>
        <v>3.0000000000000003E-24</v>
      </c>
      <c r="I93" s="55">
        <v>10.89</v>
      </c>
      <c r="J93" s="55">
        <v>0.05</v>
      </c>
      <c r="K93" s="283">
        <v>129.6</v>
      </c>
      <c r="L93" s="283">
        <v>3</v>
      </c>
      <c r="M93" s="55"/>
      <c r="N93" s="55"/>
      <c r="O93" s="56" t="s">
        <v>38</v>
      </c>
      <c r="P93" s="51"/>
      <c r="Q93" s="51"/>
      <c r="R93" s="51"/>
      <c r="S93" s="51"/>
      <c r="T93" s="51"/>
      <c r="U93" s="51"/>
      <c r="V93" s="51"/>
      <c r="W93" s="51"/>
      <c r="X93" s="51"/>
      <c r="Y93" s="51"/>
      <c r="Z93" s="51"/>
      <c r="AA93" s="51"/>
      <c r="AB93" s="51"/>
      <c r="AC93" s="51"/>
      <c r="AD93" s="51"/>
      <c r="AE93" s="51"/>
      <c r="AF93" s="51"/>
      <c r="AG93" s="51"/>
      <c r="AH93" s="51"/>
      <c r="AI93" s="51"/>
      <c r="AJ93" s="51"/>
      <c r="AK93" s="51"/>
    </row>
    <row r="94" spans="1:37" s="17" customFormat="1" ht="104.4">
      <c r="A94" s="34" t="s">
        <v>152</v>
      </c>
      <c r="B94" s="17">
        <v>1</v>
      </c>
      <c r="C94" s="17">
        <v>0.49309999999999998</v>
      </c>
      <c r="D94" s="17">
        <v>6.9999999999999999E-4</v>
      </c>
      <c r="E94" s="197">
        <f t="shared" si="0"/>
        <v>2.3600000000000003E-24</v>
      </c>
      <c r="F94" s="197">
        <f t="shared" si="1"/>
        <v>3.0000000000000001E-26</v>
      </c>
      <c r="G94" s="197">
        <f t="shared" si="2"/>
        <v>4.6300000000000003E-23</v>
      </c>
      <c r="H94" s="197">
        <f t="shared" si="3"/>
        <v>1.7E-24</v>
      </c>
      <c r="I94" s="282">
        <v>2.36</v>
      </c>
      <c r="J94" s="282">
        <v>0.03</v>
      </c>
      <c r="K94" s="55">
        <v>46.3</v>
      </c>
      <c r="L94" s="55">
        <v>1.7</v>
      </c>
      <c r="M94" s="55"/>
      <c r="N94" s="55"/>
      <c r="O94" s="56" t="s">
        <v>39</v>
      </c>
      <c r="P94" s="51"/>
      <c r="Q94" s="51"/>
      <c r="R94" s="51"/>
      <c r="S94" s="51"/>
      <c r="T94" s="51"/>
      <c r="U94" s="51"/>
      <c r="V94" s="51"/>
      <c r="W94" s="51"/>
      <c r="X94" s="51"/>
      <c r="Y94" s="51"/>
      <c r="Z94" s="51"/>
      <c r="AA94" s="51"/>
      <c r="AB94" s="51"/>
      <c r="AC94" s="51"/>
      <c r="AD94" s="51"/>
      <c r="AE94" s="51"/>
      <c r="AF94" s="51"/>
      <c r="AG94" s="51"/>
      <c r="AH94" s="51"/>
      <c r="AI94" s="51"/>
      <c r="AJ94" s="51"/>
      <c r="AK94" s="51"/>
    </row>
    <row r="95" spans="1:37" s="17" customFormat="1" ht="121.8">
      <c r="A95" s="34" t="s">
        <v>153</v>
      </c>
      <c r="B95" s="17">
        <v>0.94</v>
      </c>
      <c r="C95" s="17">
        <v>1</v>
      </c>
      <c r="E95" s="197">
        <f t="shared" si="0"/>
        <v>6.1600000000000009E-24</v>
      </c>
      <c r="F95" s="197">
        <f t="shared" si="1"/>
        <v>4.0000000000000007E-26</v>
      </c>
      <c r="G95" s="197">
        <f t="shared" si="2"/>
        <v>1.5340000000000002E-22</v>
      </c>
      <c r="H95" s="197">
        <f t="shared" si="3"/>
        <v>3.9E-24</v>
      </c>
      <c r="I95" s="55">
        <v>6.16</v>
      </c>
      <c r="J95" s="55">
        <v>0.04</v>
      </c>
      <c r="K95" s="55">
        <v>153.4</v>
      </c>
      <c r="L95" s="55">
        <v>3.9</v>
      </c>
      <c r="M95" s="55"/>
      <c r="N95" s="55"/>
      <c r="O95" s="56" t="s">
        <v>40</v>
      </c>
      <c r="P95" s="51"/>
      <c r="Q95" s="51"/>
      <c r="R95" s="51"/>
      <c r="S95" s="51"/>
      <c r="T95" s="51"/>
      <c r="U95" s="51"/>
      <c r="V95" s="51"/>
      <c r="W95" s="51"/>
      <c r="X95" s="51"/>
      <c r="Y95" s="51"/>
      <c r="Z95" s="51"/>
      <c r="AA95" s="51"/>
      <c r="AB95" s="51"/>
      <c r="AC95" s="51"/>
      <c r="AD95" s="51"/>
      <c r="AE95" s="51"/>
      <c r="AF95" s="51"/>
      <c r="AG95" s="51"/>
      <c r="AH95" s="51"/>
      <c r="AI95" s="51"/>
      <c r="AJ95" s="51"/>
      <c r="AK95" s="51"/>
    </row>
    <row r="96" spans="1:37" s="17" customFormat="1" ht="174">
      <c r="A96" s="34" t="s">
        <v>154</v>
      </c>
      <c r="B96" s="17">
        <v>1</v>
      </c>
      <c r="C96" s="17">
        <v>1.06E-3</v>
      </c>
      <c r="D96" s="17">
        <v>1.0000000000000001E-5</v>
      </c>
      <c r="E96" s="197">
        <f t="shared" si="0"/>
        <v>7.7460000000000019E-24</v>
      </c>
      <c r="F96" s="197">
        <f t="shared" si="1"/>
        <v>3.4200000000000004E-25</v>
      </c>
      <c r="G96" s="197">
        <f t="shared" si="2"/>
        <v>1.9730000000000003E-22</v>
      </c>
      <c r="H96" s="197">
        <f t="shared" si="3"/>
        <v>1.0000000000000001E-23</v>
      </c>
      <c r="I96" s="55">
        <v>7.7460000000000004</v>
      </c>
      <c r="J96" s="55">
        <v>0.34200000000000003</v>
      </c>
      <c r="K96" s="284">
        <v>197.3</v>
      </c>
      <c r="L96" s="284">
        <v>10</v>
      </c>
      <c r="M96" s="58"/>
      <c r="N96" s="58"/>
      <c r="O96" s="34" t="s">
        <v>41</v>
      </c>
    </row>
    <row r="97" spans="1:15" ht="156.6">
      <c r="A97" s="15" t="s">
        <v>155</v>
      </c>
      <c r="B97" s="16">
        <v>1</v>
      </c>
      <c r="C97" s="16">
        <v>0.33800000000000002</v>
      </c>
      <c r="E97" s="199"/>
      <c r="F97" s="199"/>
      <c r="G97" s="199"/>
      <c r="H97" s="201"/>
      <c r="I97" s="43"/>
      <c r="J97" s="43"/>
      <c r="K97" s="43"/>
      <c r="O97" s="15" t="s">
        <v>42</v>
      </c>
    </row>
    <row r="98" spans="1:15" s="17" customFormat="1" ht="87">
      <c r="A98" s="34" t="s">
        <v>156</v>
      </c>
      <c r="B98" s="17">
        <v>8.0600000000000005E-2</v>
      </c>
      <c r="C98" s="17">
        <v>7.1999999999999998E-3</v>
      </c>
      <c r="E98" s="200">
        <v>5.8300000000000003E-22</v>
      </c>
      <c r="F98" s="34"/>
      <c r="G98" s="34"/>
      <c r="I98" s="121"/>
      <c r="J98" s="61"/>
      <c r="K98" s="61"/>
      <c r="O98" s="34" t="s">
        <v>43</v>
      </c>
    </row>
    <row r="99" spans="1:15" ht="237.6">
      <c r="A99" s="34" t="s">
        <v>130</v>
      </c>
      <c r="B99" s="16" t="s">
        <v>160</v>
      </c>
      <c r="C99" s="16" t="s">
        <v>192</v>
      </c>
      <c r="E99" s="16" t="s">
        <v>161</v>
      </c>
      <c r="G99" s="16" t="s">
        <v>162</v>
      </c>
      <c r="M99" s="16" t="s">
        <v>217</v>
      </c>
      <c r="O99" s="27" t="s">
        <v>303</v>
      </c>
    </row>
    <row r="100" spans="1:15" ht="35.4">
      <c r="A100" s="34" t="s">
        <v>30</v>
      </c>
      <c r="C100" s="16" t="s">
        <v>98</v>
      </c>
      <c r="E100" s="46" t="s">
        <v>830</v>
      </c>
      <c r="G100" s="46" t="s">
        <v>830</v>
      </c>
      <c r="I100" s="16" t="s">
        <v>215</v>
      </c>
      <c r="K100" s="16" t="s">
        <v>216</v>
      </c>
      <c r="M100" s="16" t="s">
        <v>443</v>
      </c>
      <c r="O100" s="27"/>
    </row>
    <row r="102" spans="1:15" ht="35.4" thickBot="1">
      <c r="A102" s="21" t="s">
        <v>327</v>
      </c>
      <c r="B102" s="22" t="s">
        <v>73</v>
      </c>
      <c r="C102" s="22" t="s">
        <v>2</v>
      </c>
      <c r="D102" s="22" t="s">
        <v>74</v>
      </c>
      <c r="E102" s="22" t="s">
        <v>30</v>
      </c>
      <c r="F102" s="22" t="s">
        <v>130</v>
      </c>
    </row>
    <row r="103" spans="1:15" ht="19.8">
      <c r="A103" s="15" t="s">
        <v>328</v>
      </c>
      <c r="B103" s="16">
        <v>316</v>
      </c>
      <c r="D103" s="16" t="s">
        <v>142</v>
      </c>
      <c r="E103" s="16" t="s">
        <v>159</v>
      </c>
      <c r="F103" s="16" t="s">
        <v>326</v>
      </c>
    </row>
    <row r="105" spans="1:15" s="25" customFormat="1" ht="18" thickBot="1">
      <c r="A105" s="21" t="s">
        <v>114</v>
      </c>
      <c r="B105" s="22" t="s">
        <v>73</v>
      </c>
      <c r="C105" s="22" t="s">
        <v>2</v>
      </c>
      <c r="D105" s="22" t="s">
        <v>74</v>
      </c>
      <c r="E105" s="22" t="s">
        <v>30</v>
      </c>
      <c r="F105" s="22" t="s">
        <v>130</v>
      </c>
    </row>
    <row r="106" spans="1:15" ht="19.8">
      <c r="A106" s="15" t="s">
        <v>115</v>
      </c>
      <c r="B106" s="16">
        <v>22413.962</v>
      </c>
      <c r="C106" s="16">
        <v>1.2999999999999999E-2</v>
      </c>
      <c r="D106" s="16" t="s">
        <v>304</v>
      </c>
      <c r="E106" s="16" t="s">
        <v>146</v>
      </c>
      <c r="F106" s="16" t="s">
        <v>147</v>
      </c>
    </row>
    <row r="108" spans="1:15" s="25" customFormat="1" ht="35.4" thickBot="1">
      <c r="A108" s="21" t="s">
        <v>599</v>
      </c>
      <c r="B108" s="22" t="s">
        <v>73</v>
      </c>
      <c r="C108" s="22" t="s">
        <v>2</v>
      </c>
      <c r="D108" s="22" t="s">
        <v>74</v>
      </c>
      <c r="E108" s="22" t="s">
        <v>30</v>
      </c>
      <c r="F108" s="22" t="s">
        <v>130</v>
      </c>
    </row>
    <row r="109" spans="1:15">
      <c r="A109" s="15" t="s">
        <v>212</v>
      </c>
      <c r="B109" s="285">
        <f>((1/K40_Abun)*(lambda/lambda_e)*(1/MV))</f>
        <v>3.676889315326632</v>
      </c>
      <c r="C109" s="285">
        <f>K_constant*SQRT((((K40_Abunerr/K40_Abun)^2+(lambda_eerr/lambda_e)^2+(lambda_err/lambda)^2)))</f>
        <v>3.3616807183130142E-2</v>
      </c>
      <c r="D109" s="16" t="s">
        <v>142</v>
      </c>
      <c r="E109" s="16" t="s">
        <v>194</v>
      </c>
      <c r="F109" s="16" t="s">
        <v>189</v>
      </c>
    </row>
    <row r="110" spans="1:15">
      <c r="A110" s="15" t="s">
        <v>128</v>
      </c>
      <c r="B110" s="285">
        <f>((1/K40_Abun)*(MW_K/MW_Cl)*(lambda/lambda_e)*(1/MV))</f>
        <v>4.0549494123892273</v>
      </c>
      <c r="C110" s="285">
        <f>Cl_Constant*SQRT((((C34/K40_Abun)^2+(C18/lambda)^2+(lambda_eerr/lambda_e)^2+(C6/MW_Cl)^2+(C10/MW_K)^2)))</f>
        <v>3.7073315742025E-2</v>
      </c>
      <c r="D110" s="16" t="s">
        <v>142</v>
      </c>
      <c r="E110" s="16" t="s">
        <v>194</v>
      </c>
      <c r="F110" s="16" t="s">
        <v>190</v>
      </c>
    </row>
    <row r="111" spans="1:15">
      <c r="A111" s="15" t="s">
        <v>129</v>
      </c>
      <c r="B111" s="285">
        <f>((1/K40_Abun)*(MW_K/MW_Ca)*(lambda/lambda_e)*(1/MV))</f>
        <v>3.5868293791775274</v>
      </c>
      <c r="C111" s="285">
        <f>Ca_Constant*SQRT((((C34/K40_Abun)^2+(lambda_err/lambda)^2+(lambda_eerr/lambda_e)^2+(C9/MW_Ca)^2+(C10/MW_K)^2)))</f>
        <v>3.2795367186597167E-2</v>
      </c>
      <c r="D111" s="16" t="s">
        <v>142</v>
      </c>
      <c r="E111" s="16" t="s">
        <v>194</v>
      </c>
      <c r="F111" s="16" t="s">
        <v>191</v>
      </c>
    </row>
    <row r="112" spans="1:15">
      <c r="B112" s="194"/>
      <c r="C112" s="194"/>
    </row>
    <row r="113" spans="1:6">
      <c r="A113" s="15" t="s">
        <v>213</v>
      </c>
      <c r="B113" s="191">
        <f>1/((1/K40_Abun)*(lambda/lambda_e)*(MW_K/MW_Cl)*Cl37_Abun*Therm_CS_37Cl*Y_37Cl)</f>
        <v>1.0482754531915424E+20</v>
      </c>
      <c r="C113" s="191">
        <f>Thermal_Flux_Constant*SQRT((K40_Abunerr/K40_Abun)^2+(lambda_err/lambda)^2+(lambda_eerr/lambda_e)^2+(MW_Kerr/MW_K)^2+(MW_Clerr/MW_Cl)^2+(Cl37_Abunerr/Cl37_Abun)^2+(Therm_CS_37Clerr/Therm_CS_37Cl)^2)</f>
        <v>1.7931941022424189E+18</v>
      </c>
      <c r="D113" s="16" t="s">
        <v>142</v>
      </c>
      <c r="E113" s="16" t="s">
        <v>194</v>
      </c>
      <c r="F113" s="16" t="s">
        <v>218</v>
      </c>
    </row>
    <row r="114" spans="1:6">
      <c r="A114" s="15" t="s">
        <v>214</v>
      </c>
      <c r="B114" s="191">
        <f>1/((1/K40_Abun)*(lambda/lambda_e)*K39_Abun*Fast_CS_39K*Y_39K)</f>
        <v>1.8587295740693833E+20</v>
      </c>
      <c r="C114" s="191">
        <f>Fast_Flux_Constant*SQRT((K40_Abunerr/K40_Abun)^2+(lambda_err/lambda)^2+(lambda_eerr/lambda_e)^2+(K39_Abunerr/K39_Abun)^2+(Fast_CS_39Kerr/Fast_CS_39K)^2)</f>
        <v>1.6994089387085568E+18</v>
      </c>
      <c r="D114" s="16" t="s">
        <v>142</v>
      </c>
      <c r="E114" s="16" t="s">
        <v>194</v>
      </c>
      <c r="F114" s="16" t="s">
        <v>219</v>
      </c>
    </row>
    <row r="115" spans="1:6">
      <c r="B115" s="29"/>
      <c r="C115" s="29"/>
    </row>
    <row r="116" spans="1:6">
      <c r="A116" s="15" t="s">
        <v>331</v>
      </c>
      <c r="B116" s="202">
        <f>1/((Y_79Br*Br79_Abun*Therm_CS_79Br)/(Y_37Cl*Cl37_Abun*Therm_CS_37Cl))*(MW_Br/MW_Cl)</f>
        <v>4.6732233198446188E-2</v>
      </c>
      <c r="C116" s="202">
        <f>B116*SQRT((Br79_Abunerr/Br79_Abun)^2+(Therm_CS_79Brerr/Therm_CS_79Br)^2+(Cl37_Abunerr/Cl37_Abun)^2+(Therm_CS_37Clerr/Therm_CS_37Cl)^2+(MW_Brerr/MW_Br)^2+(MW_Clerr/MW_Cl)^2)</f>
        <v>7.1183200833316849E-4</v>
      </c>
      <c r="D116" s="16" t="s">
        <v>142</v>
      </c>
      <c r="E116" s="16" t="s">
        <v>194</v>
      </c>
      <c r="F116" s="16" t="s">
        <v>334</v>
      </c>
    </row>
    <row r="117" spans="1:6">
      <c r="A117" s="15" t="s">
        <v>332</v>
      </c>
      <c r="B117" s="202">
        <f>1/((Y_81Br*Br81_Abun*Therm_CS_81Br)/(Y_37Cl*Cl37_Abun*Therm_CS_37Cl))*(MW_Br/MW_Cl)</f>
        <v>0.20327737148133976</v>
      </c>
      <c r="C117" s="202">
        <f>B117*SQRT((Br81_Abunerr/Br81_Abun)^2+(Therm_CS_81Brerr/Therm_CS_81Br)^2+(Cl37_Abunerr/Cl37_Abun)^2+(Therm_CS_37Clerr/Therm_CS_37Cl)^2+(MW_Brerr/MW_Br)^2+(MW_Clerr/MW_Cl)^2)</f>
        <v>3.924028465488629E-3</v>
      </c>
      <c r="D117" s="16" t="s">
        <v>142</v>
      </c>
      <c r="E117" s="16" t="s">
        <v>194</v>
      </c>
      <c r="F117" s="16" t="s">
        <v>336</v>
      </c>
    </row>
    <row r="118" spans="1:6">
      <c r="A118" s="15" t="s">
        <v>333</v>
      </c>
      <c r="B118" s="202">
        <f>1/((Y_127I*I127_Abun*Therm_CS_127I)/(Y_37Cl*Cl37_Abun*Therm_CS_37Cl))*(MW_I/MW_Cl)</f>
        <v>6.4883755300392768E-2</v>
      </c>
      <c r="C118" s="202">
        <f>B118*SQRT((Therm_CS_127Ierr/Therm_CS_127I)^2+(Cl37_Abunerr/Cl37_Abun)^2+(Therm_CS_37Clerr/Therm_CS_37Cl)^2+(MW_Ierr/MW_I)^2+(MW_Clerr/MW_Cl)^2)</f>
        <v>1.0283531809691221E-3</v>
      </c>
      <c r="D118" s="16" t="s">
        <v>142</v>
      </c>
      <c r="E118" s="16" t="s">
        <v>194</v>
      </c>
      <c r="F118" s="16" t="s">
        <v>335</v>
      </c>
    </row>
    <row r="119" spans="1:6">
      <c r="B119" s="47"/>
    </row>
    <row r="120" spans="1:6" s="25" customFormat="1" ht="35.4" thickBot="1">
      <c r="A120" s="21" t="s">
        <v>58</v>
      </c>
      <c r="B120" s="22" t="s">
        <v>73</v>
      </c>
      <c r="C120" s="22" t="s">
        <v>2</v>
      </c>
      <c r="D120" s="22" t="s">
        <v>74</v>
      </c>
      <c r="E120" s="22" t="s">
        <v>30</v>
      </c>
      <c r="F120" s="22" t="s">
        <v>130</v>
      </c>
    </row>
    <row r="121" spans="1:6">
      <c r="A121" s="16"/>
    </row>
    <row r="122" spans="1:6" s="25" customFormat="1" ht="18" thickBot="1">
      <c r="A122" s="14" t="s">
        <v>32</v>
      </c>
    </row>
    <row r="123" spans="1:6" ht="19.8">
      <c r="A123" s="48" t="s">
        <v>305</v>
      </c>
      <c r="B123" s="16">
        <v>298.56</v>
      </c>
      <c r="C123" s="16">
        <v>0.31</v>
      </c>
      <c r="D123" s="16" t="s">
        <v>142</v>
      </c>
      <c r="E123" s="16" t="s">
        <v>60</v>
      </c>
    </row>
    <row r="124" spans="1:6" ht="19.8">
      <c r="A124" s="48" t="s">
        <v>306</v>
      </c>
      <c r="B124" s="16">
        <v>0.188</v>
      </c>
      <c r="D124" s="16" t="s">
        <v>142</v>
      </c>
      <c r="E124" s="16" t="s">
        <v>62</v>
      </c>
    </row>
    <row r="125" spans="1:6" ht="19.8">
      <c r="A125" s="15" t="s">
        <v>273</v>
      </c>
      <c r="B125" s="31">
        <v>3.9600000000000003E-2</v>
      </c>
      <c r="D125" s="16" t="s">
        <v>142</v>
      </c>
      <c r="E125" s="16" t="s">
        <v>62</v>
      </c>
      <c r="F125" s="16" t="s">
        <v>231</v>
      </c>
    </row>
    <row r="126" spans="1:6" ht="19.8">
      <c r="A126" s="15" t="s">
        <v>274</v>
      </c>
      <c r="B126" s="31">
        <v>0.20219999999999999</v>
      </c>
      <c r="D126" s="16" t="s">
        <v>142</v>
      </c>
      <c r="E126" s="16" t="s">
        <v>62</v>
      </c>
      <c r="F126" s="16" t="s">
        <v>232</v>
      </c>
    </row>
    <row r="127" spans="1:6" ht="19.8">
      <c r="A127" s="15" t="s">
        <v>275</v>
      </c>
      <c r="B127" s="31">
        <v>0.30520000000000003</v>
      </c>
      <c r="D127" s="16" t="s">
        <v>142</v>
      </c>
      <c r="E127" s="16" t="s">
        <v>62</v>
      </c>
      <c r="F127" s="16" t="s">
        <v>233</v>
      </c>
    </row>
    <row r="128" spans="1:6" ht="19.8">
      <c r="A128" s="15" t="s">
        <v>276</v>
      </c>
      <c r="B128" s="20">
        <v>0.47159841499999999</v>
      </c>
      <c r="D128" s="16" t="s">
        <v>142</v>
      </c>
      <c r="E128" s="16" t="s">
        <v>62</v>
      </c>
      <c r="F128" s="16" t="s">
        <v>234</v>
      </c>
    </row>
    <row r="129" spans="1:6" ht="19.8">
      <c r="A129" s="15" t="s">
        <v>277</v>
      </c>
      <c r="B129" s="20">
        <v>6.492734478</v>
      </c>
      <c r="D129" s="16" t="s">
        <v>142</v>
      </c>
      <c r="E129" s="16" t="s">
        <v>62</v>
      </c>
      <c r="F129" s="16" t="s">
        <v>235</v>
      </c>
    </row>
    <row r="130" spans="1:6" ht="19.8">
      <c r="A130" s="15" t="s">
        <v>278</v>
      </c>
      <c r="B130" s="20">
        <v>5.211360634</v>
      </c>
      <c r="D130" s="16" t="s">
        <v>142</v>
      </c>
      <c r="E130" s="16" t="s">
        <v>62</v>
      </c>
      <c r="F130" s="16" t="s">
        <v>236</v>
      </c>
    </row>
    <row r="131" spans="1:6" ht="19.8">
      <c r="A131" s="15" t="s">
        <v>279</v>
      </c>
      <c r="B131" s="20">
        <v>6.6050198150000003</v>
      </c>
      <c r="D131" s="16" t="s">
        <v>142</v>
      </c>
      <c r="E131" s="16" t="s">
        <v>62</v>
      </c>
      <c r="F131" s="16" t="s">
        <v>237</v>
      </c>
    </row>
    <row r="132" spans="1:6" ht="19.8">
      <c r="A132" s="15" t="s">
        <v>280</v>
      </c>
      <c r="B132" s="20">
        <v>2.5739762220000002</v>
      </c>
      <c r="D132" s="16" t="s">
        <v>142</v>
      </c>
      <c r="E132" s="16" t="s">
        <v>62</v>
      </c>
      <c r="F132" s="16" t="s">
        <v>238</v>
      </c>
    </row>
    <row r="133" spans="1:6" ht="19.8">
      <c r="A133" s="15" t="s">
        <v>281</v>
      </c>
      <c r="B133" s="20">
        <v>2.175693527</v>
      </c>
      <c r="D133" s="16" t="s">
        <v>142</v>
      </c>
      <c r="E133" s="16" t="s">
        <v>62</v>
      </c>
      <c r="F133" s="16" t="s">
        <v>239</v>
      </c>
    </row>
    <row r="134" spans="1:6">
      <c r="A134" s="34"/>
    </row>
    <row r="135" spans="1:6" s="25" customFormat="1" ht="18" thickBot="1">
      <c r="A135" s="21" t="s">
        <v>227</v>
      </c>
      <c r="B135" s="22" t="s">
        <v>73</v>
      </c>
      <c r="C135" s="22" t="s">
        <v>2</v>
      </c>
      <c r="D135" s="22" t="s">
        <v>74</v>
      </c>
      <c r="E135" s="22" t="s">
        <v>30</v>
      </c>
      <c r="F135" s="22" t="s">
        <v>130</v>
      </c>
    </row>
    <row r="136" spans="1:6" ht="19.8">
      <c r="A136" s="15" t="s">
        <v>273</v>
      </c>
      <c r="B136" s="16">
        <v>4.0899999999999999E-2</v>
      </c>
      <c r="C136" s="16">
        <v>1E-4</v>
      </c>
      <c r="D136" s="16" t="s">
        <v>142</v>
      </c>
      <c r="F136" s="16" t="s">
        <v>240</v>
      </c>
    </row>
    <row r="137" spans="1:6" ht="19.8">
      <c r="A137" s="15" t="s">
        <v>274</v>
      </c>
      <c r="B137" s="16">
        <v>0.20480000000000001</v>
      </c>
      <c r="C137" s="16">
        <v>5.0000000000000001E-4</v>
      </c>
      <c r="D137" s="16" t="s">
        <v>142</v>
      </c>
      <c r="F137" s="16" t="s">
        <v>241</v>
      </c>
    </row>
    <row r="138" spans="1:6" ht="19.8">
      <c r="A138" s="15" t="s">
        <v>275</v>
      </c>
      <c r="B138" s="16">
        <v>0.3024</v>
      </c>
      <c r="C138" s="16">
        <v>1E-4</v>
      </c>
      <c r="D138" s="16" t="s">
        <v>142</v>
      </c>
      <c r="F138" s="16" t="s">
        <v>242</v>
      </c>
    </row>
    <row r="139" spans="1:6" ht="19.8">
      <c r="A139" s="15" t="s">
        <v>276</v>
      </c>
      <c r="B139" s="16">
        <v>0.51</v>
      </c>
      <c r="C139" s="16">
        <v>5.0000000000000001E-3</v>
      </c>
      <c r="D139" s="16" t="s">
        <v>142</v>
      </c>
      <c r="E139" s="16" t="s">
        <v>228</v>
      </c>
      <c r="F139" s="16" t="s">
        <v>243</v>
      </c>
    </row>
    <row r="140" spans="1:6" ht="19.8">
      <c r="A140" s="15" t="s">
        <v>277</v>
      </c>
      <c r="B140" s="16">
        <v>6.27</v>
      </c>
      <c r="C140" s="16">
        <v>0.04</v>
      </c>
      <c r="D140" s="16" t="s">
        <v>142</v>
      </c>
      <c r="F140" s="16" t="s">
        <v>244</v>
      </c>
    </row>
    <row r="141" spans="1:6" ht="19.8">
      <c r="A141" s="15" t="s">
        <v>278</v>
      </c>
      <c r="B141" s="16">
        <v>4.9800000000000004</v>
      </c>
      <c r="C141" s="16">
        <v>0.02</v>
      </c>
      <c r="D141" s="16" t="s">
        <v>142</v>
      </c>
      <c r="F141" s="16" t="s">
        <v>245</v>
      </c>
    </row>
    <row r="142" spans="1:6" ht="19.8">
      <c r="A142" s="15" t="s">
        <v>279</v>
      </c>
      <c r="B142" s="16">
        <v>6.02</v>
      </c>
      <c r="C142" s="16">
        <v>0.03</v>
      </c>
      <c r="D142" s="16" t="s">
        <v>142</v>
      </c>
      <c r="F142" s="16" t="s">
        <v>246</v>
      </c>
    </row>
    <row r="143" spans="1:6" ht="19.8">
      <c r="A143" s="15" t="s">
        <v>280</v>
      </c>
      <c r="B143" s="16">
        <v>2.21</v>
      </c>
      <c r="C143" s="16">
        <v>0.01</v>
      </c>
      <c r="D143" s="16" t="s">
        <v>142</v>
      </c>
      <c r="F143" s="16" t="s">
        <v>247</v>
      </c>
    </row>
    <row r="144" spans="1:6" ht="19.8">
      <c r="A144" s="15" t="s">
        <v>281</v>
      </c>
      <c r="B144" s="16">
        <v>1.8</v>
      </c>
      <c r="C144" s="16">
        <v>0.01</v>
      </c>
      <c r="D144" s="16" t="s">
        <v>142</v>
      </c>
      <c r="F144" s="16" t="s">
        <v>248</v>
      </c>
    </row>
    <row r="146" spans="1:24" s="25" customFormat="1" ht="18" thickBot="1">
      <c r="A146" s="21" t="s">
        <v>31</v>
      </c>
      <c r="B146" s="22" t="s">
        <v>73</v>
      </c>
      <c r="C146" s="22" t="s">
        <v>2</v>
      </c>
      <c r="D146" s="22" t="s">
        <v>74</v>
      </c>
      <c r="E146" s="22" t="s">
        <v>30</v>
      </c>
      <c r="F146" s="22" t="s">
        <v>130</v>
      </c>
      <c r="Q146" s="49"/>
      <c r="R146" s="50"/>
      <c r="S146" s="50"/>
      <c r="T146" s="50"/>
      <c r="U146" s="50"/>
    </row>
    <row r="147" spans="1:24" ht="19.8">
      <c r="A147" s="15" t="s">
        <v>273</v>
      </c>
      <c r="B147" s="16">
        <v>3.9399999999999998E-2</v>
      </c>
      <c r="C147" s="16">
        <v>1E-4</v>
      </c>
      <c r="D147" s="16" t="s">
        <v>142</v>
      </c>
      <c r="E147" s="16" t="s">
        <v>229</v>
      </c>
      <c r="F147" s="16" t="s">
        <v>249</v>
      </c>
      <c r="Q147" s="37"/>
      <c r="R147" s="38"/>
      <c r="S147" s="38"/>
      <c r="T147" s="38"/>
      <c r="U147" s="38"/>
    </row>
    <row r="148" spans="1:24" ht="19.8">
      <c r="A148" s="15" t="s">
        <v>274</v>
      </c>
      <c r="B148" s="16">
        <v>0.20180000000000001</v>
      </c>
      <c r="C148" s="16">
        <v>2.0000000000000001E-4</v>
      </c>
      <c r="D148" s="16" t="s">
        <v>142</v>
      </c>
      <c r="F148" s="16" t="s">
        <v>250</v>
      </c>
      <c r="Q148" s="37"/>
      <c r="R148" s="38"/>
      <c r="S148" s="38"/>
      <c r="T148" s="38"/>
      <c r="U148" s="38"/>
    </row>
    <row r="149" spans="1:24" ht="19.8">
      <c r="A149" s="15" t="s">
        <v>275</v>
      </c>
      <c r="B149" s="16">
        <v>0.3095</v>
      </c>
      <c r="C149" s="16">
        <v>5.0000000000000001E-4</v>
      </c>
      <c r="D149" s="16" t="s">
        <v>142</v>
      </c>
      <c r="F149" s="16" t="s">
        <v>251</v>
      </c>
      <c r="Q149" s="37"/>
      <c r="R149" s="38"/>
      <c r="S149" s="38"/>
      <c r="T149" s="38"/>
      <c r="U149" s="38"/>
    </row>
    <row r="150" spans="1:24" s="19" customFormat="1" ht="19.8">
      <c r="A150" s="15" t="s">
        <v>276</v>
      </c>
      <c r="B150" s="18">
        <v>0.50802469100000003</v>
      </c>
      <c r="C150" s="16">
        <v>2E-3</v>
      </c>
      <c r="D150" s="16" t="s">
        <v>142</v>
      </c>
      <c r="F150" s="16" t="s">
        <v>252</v>
      </c>
      <c r="G150" s="16"/>
      <c r="H150" s="17"/>
      <c r="I150" s="17"/>
      <c r="J150" s="2"/>
      <c r="K150" s="51"/>
      <c r="L150" s="2"/>
      <c r="M150" s="2"/>
      <c r="N150" s="2"/>
      <c r="O150" s="51"/>
      <c r="P150" s="51"/>
      <c r="Q150" s="16"/>
      <c r="R150" s="16"/>
      <c r="S150" s="16"/>
      <c r="T150" s="16"/>
      <c r="U150" s="16"/>
      <c r="V150" s="16"/>
      <c r="W150" s="16"/>
      <c r="X150" s="16"/>
    </row>
    <row r="151" spans="1:24" ht="19.8">
      <c r="A151" s="15" t="s">
        <v>277</v>
      </c>
      <c r="B151" s="20">
        <v>6.4259259259999997</v>
      </c>
      <c r="C151" s="16">
        <v>0.02</v>
      </c>
      <c r="D151" s="16" t="s">
        <v>142</v>
      </c>
      <c r="F151" s="16" t="s">
        <v>253</v>
      </c>
    </row>
    <row r="152" spans="1:24" ht="19.8">
      <c r="A152" s="15" t="s">
        <v>278</v>
      </c>
      <c r="B152" s="20">
        <v>5.0530864199999996</v>
      </c>
      <c r="C152" s="16">
        <v>0.01</v>
      </c>
      <c r="D152" s="16" t="s">
        <v>142</v>
      </c>
      <c r="F152" s="16" t="s">
        <v>254</v>
      </c>
      <c r="J152" s="2"/>
      <c r="K152" s="2"/>
      <c r="L152" s="2"/>
      <c r="M152" s="2"/>
      <c r="N152" s="2"/>
      <c r="O152" s="2"/>
      <c r="P152" s="2"/>
    </row>
    <row r="153" spans="1:24" ht="19.8">
      <c r="A153" s="15" t="s">
        <v>279</v>
      </c>
      <c r="B153" s="20">
        <v>6.1728395059999999</v>
      </c>
      <c r="C153" s="16">
        <v>0.01</v>
      </c>
      <c r="D153" s="16" t="s">
        <v>142</v>
      </c>
      <c r="F153" s="16" t="s">
        <v>255</v>
      </c>
      <c r="J153" s="2"/>
      <c r="K153" s="2"/>
      <c r="L153" s="2"/>
      <c r="M153" s="2"/>
      <c r="N153" s="2"/>
      <c r="O153" s="2"/>
      <c r="P153" s="2"/>
    </row>
    <row r="154" spans="1:24" ht="19.8">
      <c r="A154" s="15" t="s">
        <v>280</v>
      </c>
      <c r="B154" s="20">
        <v>2.3339506170000002</v>
      </c>
      <c r="C154" s="16">
        <v>0.01</v>
      </c>
      <c r="D154" s="16" t="s">
        <v>142</v>
      </c>
      <c r="F154" s="16" t="s">
        <v>256</v>
      </c>
      <c r="J154" s="2"/>
      <c r="K154" s="2"/>
      <c r="L154" s="2"/>
      <c r="M154" s="2"/>
      <c r="N154" s="2"/>
      <c r="O154" s="2"/>
      <c r="P154" s="2"/>
    </row>
    <row r="155" spans="1:24" ht="19.8">
      <c r="A155" s="15" t="s">
        <v>281</v>
      </c>
      <c r="B155" s="20">
        <v>1.9549382719999999</v>
      </c>
      <c r="C155" s="16">
        <v>0.01</v>
      </c>
      <c r="D155" s="16" t="s">
        <v>142</v>
      </c>
      <c r="F155" s="16" t="s">
        <v>257</v>
      </c>
      <c r="J155" s="2"/>
      <c r="K155" s="2"/>
      <c r="L155" s="2"/>
      <c r="M155" s="2"/>
      <c r="N155" s="2"/>
      <c r="O155" s="2"/>
      <c r="P155" s="2"/>
    </row>
    <row r="156" spans="1:24">
      <c r="J156" s="2"/>
      <c r="K156" s="2"/>
      <c r="L156" s="2"/>
      <c r="M156" s="2"/>
      <c r="N156" s="2"/>
      <c r="O156" s="2"/>
      <c r="P156" s="2"/>
    </row>
    <row r="157" spans="1:24" s="25" customFormat="1" ht="18" thickBot="1">
      <c r="A157" s="21" t="s">
        <v>230</v>
      </c>
      <c r="B157" s="22" t="s">
        <v>73</v>
      </c>
      <c r="C157" s="22" t="s">
        <v>2</v>
      </c>
      <c r="D157" s="22" t="s">
        <v>74</v>
      </c>
      <c r="E157" s="22" t="s">
        <v>30</v>
      </c>
      <c r="F157" s="22" t="s">
        <v>130</v>
      </c>
      <c r="J157" s="52"/>
      <c r="K157" s="52"/>
      <c r="L157" s="52"/>
      <c r="M157" s="52"/>
      <c r="N157" s="52"/>
      <c r="O157" s="52"/>
      <c r="P157" s="52"/>
    </row>
    <row r="158" spans="1:24" ht="19.8">
      <c r="A158" s="15" t="s">
        <v>273</v>
      </c>
      <c r="B158" s="194">
        <f>AVERAGE(B125,B136,B147)</f>
        <v>3.9966666666666671E-2</v>
      </c>
      <c r="C158" s="194">
        <f>ABS(Kr8084_SW-Kr8084_Q)</f>
        <v>1.5000000000000013E-3</v>
      </c>
      <c r="D158" s="16" t="s">
        <v>142</v>
      </c>
      <c r="E158" s="16" t="s">
        <v>194</v>
      </c>
      <c r="F158" s="16" t="s">
        <v>258</v>
      </c>
      <c r="J158" s="2"/>
      <c r="K158" s="2"/>
      <c r="L158" s="2"/>
      <c r="M158" s="2"/>
      <c r="N158" s="2"/>
      <c r="O158" s="2"/>
      <c r="P158" s="2"/>
    </row>
    <row r="159" spans="1:24" ht="19.8">
      <c r="A159" s="15" t="s">
        <v>274</v>
      </c>
      <c r="B159" s="194">
        <f>AVERAGE(B126,B137,B148)</f>
        <v>0.20293333333333333</v>
      </c>
      <c r="C159" s="194">
        <f>ABS(Kr8284_SW-Kr8284_Q)</f>
        <v>3.0000000000000027E-3</v>
      </c>
      <c r="D159" s="16" t="s">
        <v>142</v>
      </c>
      <c r="E159" s="16" t="s">
        <v>194</v>
      </c>
      <c r="F159" s="16" t="s">
        <v>259</v>
      </c>
      <c r="H159" s="53"/>
      <c r="J159" s="2"/>
      <c r="K159" s="2"/>
      <c r="L159" s="2"/>
      <c r="M159" s="2"/>
      <c r="N159" s="2"/>
      <c r="O159" s="2"/>
      <c r="P159" s="2"/>
    </row>
    <row r="160" spans="1:24" ht="19.8">
      <c r="A160" s="15" t="s">
        <v>275</v>
      </c>
      <c r="B160" s="194">
        <f t="shared" ref="B160:B165" si="4">AVERAGE(B127,B138,B149)</f>
        <v>0.30570000000000003</v>
      </c>
      <c r="C160" s="194">
        <f>ABS(Kr8684_SW-Kr8684_Q)</f>
        <v>7.0999999999999952E-3</v>
      </c>
      <c r="D160" s="16" t="s">
        <v>142</v>
      </c>
      <c r="E160" s="16" t="s">
        <v>194</v>
      </c>
      <c r="F160" s="16" t="s">
        <v>260</v>
      </c>
      <c r="J160" s="2"/>
      <c r="K160" s="2"/>
      <c r="L160" s="2"/>
      <c r="M160" s="2"/>
      <c r="N160" s="2"/>
      <c r="O160" s="2"/>
      <c r="P160" s="2"/>
    </row>
    <row r="161" spans="1:17" ht="19.8">
      <c r="A161" s="15" t="s">
        <v>276</v>
      </c>
      <c r="B161" s="194">
        <f t="shared" si="4"/>
        <v>0.49654103533333332</v>
      </c>
      <c r="C161" s="194">
        <f>ABS(Xe128130_Air-Xe128130_Q)</f>
        <v>3.6426276000000035E-2</v>
      </c>
      <c r="D161" s="16" t="s">
        <v>142</v>
      </c>
      <c r="E161" s="16" t="s">
        <v>194</v>
      </c>
      <c r="F161" s="16" t="s">
        <v>261</v>
      </c>
      <c r="G161" s="17"/>
      <c r="J161" s="2"/>
      <c r="K161" s="2"/>
      <c r="L161" s="2"/>
      <c r="M161" s="2"/>
      <c r="N161" s="2"/>
      <c r="O161" s="2"/>
      <c r="P161" s="2"/>
    </row>
    <row r="162" spans="1:17" ht="19.8">
      <c r="A162" s="15" t="s">
        <v>277</v>
      </c>
      <c r="B162" s="194">
        <f t="shared" si="4"/>
        <v>6.3962201346666658</v>
      </c>
      <c r="C162" s="194">
        <f>ABS(Xe129130_Air-Xe129130_SW)</f>
        <v>0.22273447800000046</v>
      </c>
      <c r="D162" s="16" t="s">
        <v>142</v>
      </c>
      <c r="E162" s="16" t="s">
        <v>194</v>
      </c>
      <c r="F162" s="16" t="s">
        <v>262</v>
      </c>
      <c r="G162" s="53"/>
      <c r="J162" s="2"/>
      <c r="K162" s="2"/>
      <c r="L162" s="2"/>
      <c r="M162" s="2"/>
      <c r="N162" s="2"/>
      <c r="O162" s="2"/>
      <c r="P162" s="2"/>
    </row>
    <row r="163" spans="1:17" ht="19.8">
      <c r="A163" s="15" t="s">
        <v>278</v>
      </c>
      <c r="B163" s="194">
        <f t="shared" si="4"/>
        <v>5.0814823513333334</v>
      </c>
      <c r="C163" s="194">
        <f>ABS(Xe129130_Air-Xe129130_SW)</f>
        <v>0.22273447800000046</v>
      </c>
      <c r="D163" s="16" t="s">
        <v>142</v>
      </c>
      <c r="E163" s="16" t="s">
        <v>194</v>
      </c>
      <c r="F163" s="16" t="s">
        <v>263</v>
      </c>
      <c r="G163" s="53"/>
      <c r="J163" s="51"/>
      <c r="K163" s="2"/>
      <c r="L163" s="51"/>
      <c r="M163" s="51"/>
      <c r="N163" s="51"/>
      <c r="O163" s="51"/>
      <c r="P163" s="2"/>
    </row>
    <row r="164" spans="1:17" ht="19.8">
      <c r="A164" s="15" t="s">
        <v>279</v>
      </c>
      <c r="B164" s="194">
        <f t="shared" si="4"/>
        <v>6.2659531070000005</v>
      </c>
      <c r="C164" s="194">
        <f>ABS(Xe132130_Air-Xe132130_SW)</f>
        <v>0.58501981500000078</v>
      </c>
      <c r="D164" s="16" t="s">
        <v>142</v>
      </c>
      <c r="E164" s="16" t="s">
        <v>194</v>
      </c>
      <c r="F164" s="16" t="s">
        <v>264</v>
      </c>
      <c r="G164" s="53"/>
      <c r="J164" s="2"/>
      <c r="K164" s="2"/>
      <c r="L164" s="2"/>
      <c r="M164" s="2"/>
      <c r="N164" s="2"/>
      <c r="O164" s="2"/>
      <c r="P164" s="2"/>
    </row>
    <row r="165" spans="1:17" ht="19.8">
      <c r="A165" s="15" t="s">
        <v>280</v>
      </c>
      <c r="B165" s="194">
        <f t="shared" si="4"/>
        <v>2.3726422796666666</v>
      </c>
      <c r="C165" s="194">
        <f>ABS(Xe134130_SW-Xe134130_Air)</f>
        <v>0.36397622200000024</v>
      </c>
      <c r="D165" s="16" t="s">
        <v>142</v>
      </c>
      <c r="E165" s="16" t="s">
        <v>194</v>
      </c>
      <c r="F165" s="16" t="s">
        <v>265</v>
      </c>
      <c r="G165" s="53"/>
      <c r="J165" s="2"/>
      <c r="K165" s="2"/>
      <c r="L165" s="2"/>
      <c r="M165" s="2"/>
      <c r="N165" s="2"/>
      <c r="O165" s="2"/>
      <c r="P165" s="2"/>
    </row>
    <row r="166" spans="1:17" ht="19.8">
      <c r="A166" s="15" t="s">
        <v>281</v>
      </c>
      <c r="B166" s="194">
        <f>AVERAGE(B133,B144,B155)</f>
        <v>1.9768772663333332</v>
      </c>
      <c r="C166" s="194">
        <f>ABS(Xe136130_Air-Xe136130_SW)</f>
        <v>0.37569352699999992</v>
      </c>
      <c r="D166" s="16" t="s">
        <v>142</v>
      </c>
      <c r="E166" s="16" t="s">
        <v>194</v>
      </c>
      <c r="F166" s="16" t="s">
        <v>266</v>
      </c>
      <c r="G166" s="53"/>
      <c r="J166" s="2"/>
      <c r="K166" s="2"/>
      <c r="L166" s="2"/>
      <c r="M166" s="2"/>
      <c r="N166" s="2"/>
      <c r="O166" s="2"/>
      <c r="P166" s="2"/>
    </row>
    <row r="167" spans="1:17">
      <c r="F167" s="53"/>
      <c r="G167" s="53"/>
      <c r="J167" s="2"/>
      <c r="K167" s="2"/>
      <c r="L167" s="2"/>
      <c r="M167" s="2"/>
      <c r="N167" s="2"/>
      <c r="O167" s="2"/>
      <c r="P167" s="2"/>
    </row>
    <row r="168" spans="1:17" s="25" customFormat="1" ht="18" thickBot="1">
      <c r="A168" s="21" t="s">
        <v>268</v>
      </c>
      <c r="B168" s="22" t="s">
        <v>73</v>
      </c>
      <c r="C168" s="22" t="s">
        <v>2</v>
      </c>
      <c r="D168" s="22" t="s">
        <v>74</v>
      </c>
      <c r="E168" s="22" t="s">
        <v>30</v>
      </c>
      <c r="F168" s="22" t="s">
        <v>130</v>
      </c>
      <c r="G168" s="54"/>
      <c r="J168" s="52"/>
      <c r="K168" s="52"/>
      <c r="L168" s="52"/>
      <c r="M168" s="52"/>
      <c r="N168" s="52"/>
      <c r="O168" s="52"/>
      <c r="P168" s="52"/>
    </row>
    <row r="169" spans="1:17">
      <c r="F169" s="53"/>
      <c r="G169" s="53"/>
      <c r="J169" s="2"/>
      <c r="K169" s="2"/>
      <c r="L169" s="2"/>
      <c r="M169" s="2"/>
      <c r="N169" s="2"/>
      <c r="O169" s="2"/>
      <c r="P169" s="2"/>
    </row>
    <row r="170" spans="1:17" ht="21">
      <c r="A170" s="15" t="s">
        <v>269</v>
      </c>
      <c r="B170" s="16">
        <v>0.5</v>
      </c>
      <c r="C170" s="16">
        <v>0.02</v>
      </c>
      <c r="D170" s="16" t="s">
        <v>142</v>
      </c>
      <c r="E170" s="16" t="s">
        <v>62</v>
      </c>
      <c r="F170" s="16" t="s">
        <v>307</v>
      </c>
      <c r="G170" s="53"/>
      <c r="J170" s="2"/>
      <c r="K170" s="2"/>
      <c r="L170" s="2"/>
      <c r="M170" s="2"/>
      <c r="N170" s="2"/>
      <c r="O170" s="2"/>
      <c r="P170" s="2"/>
    </row>
    <row r="171" spans="1:17" ht="21">
      <c r="A171" s="15" t="s">
        <v>270</v>
      </c>
      <c r="B171" s="16">
        <v>1.246</v>
      </c>
      <c r="C171" s="16">
        <v>3.5999999999999997E-2</v>
      </c>
      <c r="D171" s="16" t="s">
        <v>142</v>
      </c>
      <c r="E171" s="16" t="s">
        <v>62</v>
      </c>
      <c r="F171" s="16" t="s">
        <v>308</v>
      </c>
      <c r="G171" s="53"/>
      <c r="J171" s="2"/>
      <c r="K171" s="2"/>
      <c r="L171" s="2"/>
      <c r="M171" s="2"/>
      <c r="N171" s="2"/>
      <c r="O171" s="2"/>
      <c r="P171" s="2"/>
      <c r="Q171" s="53"/>
    </row>
    <row r="172" spans="1:17" ht="21">
      <c r="A172" s="15" t="s">
        <v>362</v>
      </c>
      <c r="B172" s="16">
        <v>0.45300000000000001</v>
      </c>
      <c r="C172" s="16">
        <v>1.2999999999999999E-2</v>
      </c>
      <c r="E172" s="16" t="s">
        <v>62</v>
      </c>
      <c r="F172" s="16" t="s">
        <v>363</v>
      </c>
      <c r="G172" s="53"/>
      <c r="J172" s="2"/>
      <c r="K172" s="2"/>
      <c r="L172" s="2"/>
      <c r="M172" s="2"/>
      <c r="N172" s="2"/>
      <c r="O172" s="2"/>
      <c r="P172" s="2"/>
      <c r="Q172" s="53"/>
    </row>
    <row r="173" spans="1:17" ht="19.8">
      <c r="A173" s="15" t="s">
        <v>271</v>
      </c>
      <c r="B173" s="16">
        <v>2.04</v>
      </c>
      <c r="C173" s="16">
        <v>0.02</v>
      </c>
      <c r="D173" s="17" t="s">
        <v>25</v>
      </c>
      <c r="E173" s="16" t="s">
        <v>62</v>
      </c>
      <c r="F173" s="16" t="s">
        <v>267</v>
      </c>
      <c r="G173" s="17"/>
      <c r="H173" s="17"/>
      <c r="I173" s="17"/>
    </row>
    <row r="174" spans="1:17" ht="19.8">
      <c r="A174" s="15" t="s">
        <v>272</v>
      </c>
      <c r="B174" s="16">
        <v>6.47</v>
      </c>
      <c r="C174" s="16">
        <v>0.47</v>
      </c>
      <c r="D174" s="16" t="s">
        <v>25</v>
      </c>
      <c r="E174" s="16" t="s">
        <v>62</v>
      </c>
      <c r="F174" s="16" t="s">
        <v>309</v>
      </c>
    </row>
    <row r="182" spans="1:11">
      <c r="A182" s="34"/>
      <c r="B182" s="17"/>
      <c r="C182" s="17"/>
      <c r="D182" s="17"/>
      <c r="E182" s="17"/>
      <c r="F182" s="17"/>
      <c r="G182" s="17"/>
      <c r="H182" s="17"/>
      <c r="I182" s="17"/>
      <c r="J182" s="17"/>
      <c r="K182" s="17"/>
    </row>
    <row r="183" spans="1:11" ht="18">
      <c r="A183" s="27"/>
    </row>
    <row r="185" spans="1:11">
      <c r="A185" s="41"/>
      <c r="B185" s="42"/>
      <c r="C185" s="42"/>
      <c r="D185" s="42"/>
      <c r="E185" s="42"/>
    </row>
    <row r="186" spans="1:11">
      <c r="A186" s="41"/>
      <c r="B186" s="42"/>
      <c r="C186" s="42"/>
      <c r="D186" s="42"/>
      <c r="E186" s="42"/>
    </row>
    <row r="187" spans="1:11">
      <c r="A187" s="41"/>
      <c r="B187" s="42"/>
      <c r="C187" s="42"/>
      <c r="D187" s="42"/>
      <c r="E187" s="42"/>
    </row>
    <row r="188" spans="1:11">
      <c r="A188" s="41"/>
      <c r="B188" s="42"/>
      <c r="C188" s="42"/>
      <c r="D188" s="42"/>
      <c r="E188" s="42"/>
    </row>
    <row r="189" spans="1:11">
      <c r="A189" s="41"/>
      <c r="B189" s="42"/>
      <c r="C189" s="42"/>
      <c r="D189" s="42"/>
      <c r="E189" s="42"/>
    </row>
  </sheetData>
  <hyperlinks>
    <hyperlink ref="W81" r:id="rId1" location="bib20" display="http://www.sciencedirect.com/science/article/pii/S0009254107001490 - bib20" xr:uid="{00000000-0004-0000-0200-000000000000}"/>
  </hyperlinks>
  <pageMargins left="0.7" right="0.7" top="0.75" bottom="0.75" header="0.3" footer="0.3"/>
  <pageSetup orientation="portrait" verticalDpi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2"/>
  <dimension ref="A2:CF65"/>
  <sheetViews>
    <sheetView topLeftCell="BR1" zoomScale="80" zoomScaleNormal="80" zoomScalePageLayoutView="70" workbookViewId="0">
      <pane ySplit="7" topLeftCell="A8" activePane="bottomLeft" state="frozenSplit"/>
      <selection pane="bottomLeft" activeCell="CA21" sqref="CA21"/>
    </sheetView>
  </sheetViews>
  <sheetFormatPr defaultColWidth="17.6640625" defaultRowHeight="18"/>
  <cols>
    <col min="1" max="1" width="17.6640625" style="1"/>
    <col min="2" max="2" width="31.109375" style="245" customWidth="1"/>
    <col min="3" max="3" width="30.88671875" style="5" customWidth="1"/>
    <col min="4" max="4" width="27.44140625" style="5" customWidth="1"/>
    <col min="5" max="5" width="20.6640625" style="67" customWidth="1"/>
    <col min="6" max="6" width="20.6640625" style="5" customWidth="1"/>
    <col min="7" max="9" width="17.6640625" style="5"/>
    <col min="10" max="10" width="17.6640625" style="67"/>
    <col min="11" max="11" width="42.44140625" style="67" bestFit="1" customWidth="1"/>
    <col min="12" max="13" width="17.6640625" style="5"/>
    <col min="14" max="14" width="19.6640625" style="5" customWidth="1"/>
    <col min="15" max="16" width="17.88671875" style="5" bestFit="1" customWidth="1"/>
    <col min="17" max="17" width="18" style="5" bestFit="1" customWidth="1"/>
    <col min="18" max="20" width="17.88671875" style="5" bestFit="1" customWidth="1"/>
    <col min="21" max="21" width="17.88671875" style="6" bestFit="1" customWidth="1"/>
    <col min="22" max="24" width="17.88671875" style="5" bestFit="1" customWidth="1"/>
    <col min="25" max="34" width="17.6640625" style="5"/>
    <col min="35" max="44" width="17.6640625" style="134"/>
    <col min="45" max="46" width="17.6640625" style="5"/>
    <col min="47" max="54" width="17.6640625" style="134"/>
    <col min="55" max="56" width="17.6640625" style="5"/>
    <col min="57" max="68" width="17.6640625" style="134"/>
    <col min="69" max="69" width="23.109375" style="5" customWidth="1"/>
    <col min="70" max="75" width="17.6640625" style="134"/>
    <col min="76" max="76" width="16.44140625" style="263" customWidth="1"/>
    <col min="77" max="77" width="16.88671875" style="263" customWidth="1"/>
    <col min="78" max="78" width="18" style="263" customWidth="1"/>
    <col min="79" max="79" width="18.109375" style="263" customWidth="1"/>
    <col min="80" max="80" width="18.6640625" style="263" customWidth="1"/>
    <col min="81" max="81" width="19" style="263" customWidth="1"/>
    <col min="82" max="82" width="15.6640625" style="263" bestFit="1" customWidth="1"/>
    <col min="83" max="83" width="19.109375" style="263" bestFit="1" customWidth="1"/>
    <col min="84" max="16384" width="17.6640625" style="1"/>
  </cols>
  <sheetData>
    <row r="2" spans="1:84" ht="24.9" customHeight="1">
      <c r="B2" s="242" t="s">
        <v>379</v>
      </c>
    </row>
    <row r="3" spans="1:84" ht="24.9" customHeight="1">
      <c r="B3" s="243" t="s">
        <v>380</v>
      </c>
    </row>
    <row r="4" spans="1:84" ht="24.9" customHeight="1" thickBot="1">
      <c r="B4" s="244" t="s">
        <v>499</v>
      </c>
      <c r="BC4" s="105" t="s">
        <v>403</v>
      </c>
      <c r="BQ4" s="105" t="s">
        <v>403</v>
      </c>
    </row>
    <row r="5" spans="1:84" ht="24.9" customHeight="1" thickBot="1">
      <c r="K5" s="102" t="s">
        <v>378</v>
      </c>
      <c r="BC5" s="767" t="s">
        <v>330</v>
      </c>
      <c r="BD5" s="768"/>
      <c r="BE5" s="768"/>
      <c r="BF5" s="768"/>
      <c r="BG5" s="768"/>
      <c r="BH5" s="769"/>
      <c r="BQ5" s="773" t="s">
        <v>330</v>
      </c>
      <c r="BR5" s="774"/>
      <c r="BS5" s="774"/>
      <c r="BT5" s="774"/>
      <c r="BU5" s="774"/>
      <c r="BV5" s="774"/>
      <c r="BW5" s="775"/>
      <c r="BX5" s="767" t="s">
        <v>820</v>
      </c>
      <c r="BY5" s="768"/>
      <c r="BZ5" s="768"/>
      <c r="CA5" s="768"/>
      <c r="CB5" s="768"/>
      <c r="CC5" s="768"/>
      <c r="CD5" s="768"/>
      <c r="CE5" s="769"/>
    </row>
    <row r="6" spans="1:84" s="12" customFormat="1" ht="24.9" customHeight="1" thickBot="1">
      <c r="B6" s="745" t="s">
        <v>339</v>
      </c>
      <c r="C6" s="746"/>
      <c r="D6" s="746"/>
      <c r="E6" s="746"/>
      <c r="F6" s="747"/>
      <c r="G6" s="745" t="s">
        <v>323</v>
      </c>
      <c r="H6" s="746"/>
      <c r="I6" s="746"/>
      <c r="J6" s="746"/>
      <c r="K6" s="747"/>
      <c r="L6" s="745" t="s">
        <v>325</v>
      </c>
      <c r="M6" s="746"/>
      <c r="N6" s="747"/>
      <c r="O6" s="745" t="s">
        <v>819</v>
      </c>
      <c r="P6" s="746"/>
      <c r="Q6" s="746"/>
      <c r="R6" s="746"/>
      <c r="S6" s="746"/>
      <c r="T6" s="746"/>
      <c r="U6" s="746"/>
      <c r="V6" s="746"/>
      <c r="W6" s="746"/>
      <c r="X6" s="747"/>
      <c r="Y6" s="745" t="s">
        <v>818</v>
      </c>
      <c r="Z6" s="746"/>
      <c r="AA6" s="746"/>
      <c r="AB6" s="746"/>
      <c r="AC6" s="746"/>
      <c r="AD6" s="746"/>
      <c r="AE6" s="746"/>
      <c r="AF6" s="746"/>
      <c r="AG6" s="746"/>
      <c r="AH6" s="747"/>
      <c r="AI6" s="742" t="s">
        <v>817</v>
      </c>
      <c r="AJ6" s="743"/>
      <c r="AK6" s="743"/>
      <c r="AL6" s="743"/>
      <c r="AM6" s="743"/>
      <c r="AN6" s="743"/>
      <c r="AO6" s="743"/>
      <c r="AP6" s="743"/>
      <c r="AQ6" s="743"/>
      <c r="AR6" s="744"/>
      <c r="AS6" s="758"/>
      <c r="AT6" s="758"/>
      <c r="AU6" s="748" t="s">
        <v>27</v>
      </c>
      <c r="AV6" s="756"/>
      <c r="AW6" s="756"/>
      <c r="AX6" s="756"/>
      <c r="AY6" s="756"/>
      <c r="AZ6" s="756"/>
      <c r="BA6" s="756"/>
      <c r="BB6" s="135"/>
      <c r="BC6" s="757" t="s">
        <v>402</v>
      </c>
      <c r="BD6" s="759"/>
      <c r="BE6" s="748" t="s">
        <v>26</v>
      </c>
      <c r="BF6" s="756"/>
      <c r="BG6" s="756"/>
      <c r="BH6" s="749"/>
      <c r="BI6" s="748" t="s">
        <v>116</v>
      </c>
      <c r="BJ6" s="756"/>
      <c r="BK6" s="756"/>
      <c r="BL6" s="756"/>
      <c r="BM6" s="756"/>
      <c r="BN6" s="756"/>
      <c r="BO6" s="756"/>
      <c r="BP6" s="749"/>
      <c r="BQ6" s="88" t="s">
        <v>411</v>
      </c>
      <c r="BR6" s="748" t="s">
        <v>467</v>
      </c>
      <c r="BS6" s="756"/>
      <c r="BT6" s="756" t="s">
        <v>468</v>
      </c>
      <c r="BU6" s="756"/>
      <c r="BV6" s="756"/>
      <c r="BW6" s="749"/>
      <c r="BX6" s="770" t="s">
        <v>816</v>
      </c>
      <c r="BY6" s="771"/>
      <c r="BZ6" s="771"/>
      <c r="CA6" s="772"/>
      <c r="CB6" s="771" t="s">
        <v>815</v>
      </c>
      <c r="CC6" s="771"/>
      <c r="CD6" s="771"/>
      <c r="CE6" s="772"/>
    </row>
    <row r="7" spans="1:84" ht="24.9" customHeight="1" thickBot="1">
      <c r="B7" s="246" t="s">
        <v>339</v>
      </c>
      <c r="C7" s="92" t="s">
        <v>814</v>
      </c>
      <c r="D7" s="92" t="s">
        <v>441</v>
      </c>
      <c r="E7" s="99" t="s">
        <v>109</v>
      </c>
      <c r="F7" s="435" t="s">
        <v>113</v>
      </c>
      <c r="G7" s="82" t="s">
        <v>29</v>
      </c>
      <c r="H7" s="82" t="s">
        <v>0</v>
      </c>
      <c r="I7" s="82" t="s">
        <v>110</v>
      </c>
      <c r="J7" s="94" t="s">
        <v>321</v>
      </c>
      <c r="K7" s="94" t="s">
        <v>329</v>
      </c>
      <c r="L7" s="82" t="s">
        <v>111</v>
      </c>
      <c r="M7" s="82" t="s">
        <v>324</v>
      </c>
      <c r="N7" s="95" t="s">
        <v>112</v>
      </c>
      <c r="O7" s="96" t="s">
        <v>404</v>
      </c>
      <c r="P7" s="75" t="s">
        <v>405</v>
      </c>
      <c r="Q7" s="97" t="s">
        <v>400</v>
      </c>
      <c r="R7" s="75" t="s">
        <v>406</v>
      </c>
      <c r="S7" s="98" t="s">
        <v>407</v>
      </c>
      <c r="T7" s="83" t="s">
        <v>408</v>
      </c>
      <c r="U7" s="74" t="s">
        <v>399</v>
      </c>
      <c r="V7" s="73" t="s">
        <v>409</v>
      </c>
      <c r="W7" s="74" t="s">
        <v>398</v>
      </c>
      <c r="X7" s="76" t="s">
        <v>410</v>
      </c>
      <c r="Y7" s="414" t="s">
        <v>404</v>
      </c>
      <c r="Z7" s="267" t="s">
        <v>405</v>
      </c>
      <c r="AA7" s="415" t="s">
        <v>400</v>
      </c>
      <c r="AB7" s="267" t="s">
        <v>406</v>
      </c>
      <c r="AC7" s="416" t="s">
        <v>407</v>
      </c>
      <c r="AD7" s="118" t="s">
        <v>408</v>
      </c>
      <c r="AE7" s="417" t="s">
        <v>399</v>
      </c>
      <c r="AF7" s="418" t="s">
        <v>409</v>
      </c>
      <c r="AG7" s="417" t="s">
        <v>398</v>
      </c>
      <c r="AH7" s="422" t="s">
        <v>410</v>
      </c>
      <c r="AI7" s="436" t="s">
        <v>457</v>
      </c>
      <c r="AJ7" s="126" t="s">
        <v>458</v>
      </c>
      <c r="AK7" s="127" t="s">
        <v>459</v>
      </c>
      <c r="AL7" s="126" t="s">
        <v>460</v>
      </c>
      <c r="AM7" s="128" t="s">
        <v>461</v>
      </c>
      <c r="AN7" s="129" t="s">
        <v>462</v>
      </c>
      <c r="AO7" s="130" t="s">
        <v>463</v>
      </c>
      <c r="AP7" s="131" t="s">
        <v>464</v>
      </c>
      <c r="AQ7" s="130" t="s">
        <v>465</v>
      </c>
      <c r="AR7" s="437" t="s">
        <v>466</v>
      </c>
      <c r="AS7" s="438" t="s">
        <v>401</v>
      </c>
      <c r="AT7" s="439" t="s">
        <v>2</v>
      </c>
      <c r="AU7" s="136" t="s">
        <v>459</v>
      </c>
      <c r="AV7" s="137" t="s">
        <v>460</v>
      </c>
      <c r="AW7" s="136" t="s">
        <v>461</v>
      </c>
      <c r="AX7" s="137" t="s">
        <v>462</v>
      </c>
      <c r="AY7" s="136" t="s">
        <v>463</v>
      </c>
      <c r="AZ7" s="137" t="s">
        <v>464</v>
      </c>
      <c r="BA7" s="136" t="s">
        <v>465</v>
      </c>
      <c r="BB7" s="440" t="s">
        <v>466</v>
      </c>
      <c r="BC7" s="441" t="s">
        <v>399</v>
      </c>
      <c r="BD7" s="442" t="s">
        <v>400</v>
      </c>
      <c r="BE7" s="140" t="s">
        <v>463</v>
      </c>
      <c r="BF7" s="141" t="s">
        <v>464</v>
      </c>
      <c r="BG7" s="142" t="s">
        <v>459</v>
      </c>
      <c r="BH7" s="411" t="s">
        <v>460</v>
      </c>
      <c r="BI7" s="142" t="s">
        <v>457</v>
      </c>
      <c r="BJ7" s="141" t="s">
        <v>458</v>
      </c>
      <c r="BK7" s="142" t="s">
        <v>459</v>
      </c>
      <c r="BL7" s="141" t="s">
        <v>460</v>
      </c>
      <c r="BM7" s="142" t="s">
        <v>461</v>
      </c>
      <c r="BN7" s="141" t="s">
        <v>462</v>
      </c>
      <c r="BO7" s="142" t="s">
        <v>465</v>
      </c>
      <c r="BP7" s="410" t="s">
        <v>466</v>
      </c>
      <c r="BQ7" s="443" t="s">
        <v>398</v>
      </c>
      <c r="BR7" s="144" t="s">
        <v>469</v>
      </c>
      <c r="BS7" s="145" t="s">
        <v>470</v>
      </c>
      <c r="BT7" s="142" t="s">
        <v>471</v>
      </c>
      <c r="BU7" s="141" t="s">
        <v>472</v>
      </c>
      <c r="BV7" s="145" t="s">
        <v>473</v>
      </c>
      <c r="BW7" s="444" t="s">
        <v>474</v>
      </c>
      <c r="BX7" s="154" t="s">
        <v>813</v>
      </c>
      <c r="BY7" s="137" t="s">
        <v>812</v>
      </c>
      <c r="BZ7" s="137" t="s">
        <v>811</v>
      </c>
      <c r="CA7" s="135" t="s">
        <v>810</v>
      </c>
      <c r="CB7" s="137" t="s">
        <v>809</v>
      </c>
      <c r="CC7" s="137" t="s">
        <v>808</v>
      </c>
      <c r="CD7" s="137" t="s">
        <v>807</v>
      </c>
      <c r="CE7" s="138" t="s">
        <v>806</v>
      </c>
    </row>
    <row r="8" spans="1:84" s="271" customFormat="1" ht="24.9" customHeight="1">
      <c r="A8" s="405"/>
      <c r="B8" s="272" t="s">
        <v>894</v>
      </c>
      <c r="C8" s="66">
        <v>3.8000000000000002E-4</v>
      </c>
      <c r="D8" s="66">
        <f>C8*2%</f>
        <v>7.6000000000000009E-6</v>
      </c>
      <c r="E8" s="67">
        <v>44706</v>
      </c>
      <c r="F8" s="398" t="s">
        <v>210</v>
      </c>
      <c r="G8" s="5" t="s">
        <v>893</v>
      </c>
      <c r="H8" s="5">
        <v>1</v>
      </c>
      <c r="I8" s="5">
        <v>1</v>
      </c>
      <c r="J8" s="67">
        <v>44644</v>
      </c>
      <c r="K8" s="67" t="s">
        <v>823</v>
      </c>
      <c r="L8" s="5" t="s">
        <v>862</v>
      </c>
      <c r="M8" s="5" t="s">
        <v>870</v>
      </c>
      <c r="N8" s="5">
        <v>110</v>
      </c>
      <c r="O8" s="306">
        <v>150.023788</v>
      </c>
      <c r="P8" s="6">
        <v>9.3005000000000004E-2</v>
      </c>
      <c r="Q8" s="6">
        <v>1021.263013</v>
      </c>
      <c r="R8" s="6">
        <v>0.64990300000000001</v>
      </c>
      <c r="S8" s="419">
        <v>15.870469999999999</v>
      </c>
      <c r="T8" s="6">
        <v>4.5703000000000001E-2</v>
      </c>
      <c r="U8" s="6">
        <v>0.146679</v>
      </c>
      <c r="V8" s="6">
        <v>5.3733000000000003E-2</v>
      </c>
      <c r="W8" s="419">
        <v>8.9190000000000005E-2</v>
      </c>
      <c r="X8" s="421">
        <v>2.4260000000000002E-3</v>
      </c>
      <c r="Y8" s="6">
        <v>11.241906</v>
      </c>
      <c r="Z8" s="6">
        <v>0.213175</v>
      </c>
      <c r="AA8" s="6">
        <v>0.33156099999999999</v>
      </c>
      <c r="AB8" s="6">
        <v>7.0001999999999995E-2</v>
      </c>
      <c r="AC8" s="6">
        <v>0.15865299999999999</v>
      </c>
      <c r="AD8" s="6">
        <v>2.8667000000000002E-2</v>
      </c>
      <c r="AE8" s="6">
        <v>0.237175</v>
      </c>
      <c r="AF8" s="6">
        <v>1.6846E-2</v>
      </c>
      <c r="AG8" s="6">
        <v>6.8984000000000004E-2</v>
      </c>
      <c r="AH8" s="421">
        <v>2.2109999999999999E-3</v>
      </c>
      <c r="AI8" s="393">
        <f>Ar40Raw-Ar40Blank</f>
        <v>138.781882</v>
      </c>
      <c r="AJ8" s="393">
        <f>SQRT(Ar40Blankerr^2+Ar40Rawerr^2)</f>
        <v>0.23258011662650788</v>
      </c>
      <c r="AK8" s="393">
        <f>Ar39Raw-Ar39Blank</f>
        <v>1020.931452</v>
      </c>
      <c r="AL8" s="393">
        <f>SQRT(Ar39Blankerr^2+Ar39Rawerr^2)</f>
        <v>0.65366213705017362</v>
      </c>
      <c r="AM8" s="393">
        <f>Ar38Raw-Ar38Blank</f>
        <v>15.711817</v>
      </c>
      <c r="AN8" s="393">
        <f>SQRT(Ar38Blankerr^2+Ar38Rawerr^2)</f>
        <v>5.394961629149924E-2</v>
      </c>
      <c r="AO8" s="393">
        <f>Ar37Raw-Ar37Blank</f>
        <v>-9.0495999999999993E-2</v>
      </c>
      <c r="AP8" s="393">
        <f>SQRT(Ar37Blankerr^2+Ar37Rawerr^2)</f>
        <v>5.6311837165910331E-2</v>
      </c>
      <c r="AQ8" s="393">
        <f>Ar36Raw-Ar36Blank</f>
        <v>2.0206000000000002E-2</v>
      </c>
      <c r="AR8" s="402">
        <f>SQRT(Ar36Blankerr^2+Ar36Rawerr^2)</f>
        <v>3.282376730358659E-3</v>
      </c>
      <c r="AS8" s="4">
        <v>315.25</v>
      </c>
      <c r="AT8" s="447">
        <v>0.08</v>
      </c>
      <c r="AU8" s="394">
        <f>Ar39BC*(1+(Ar4036_Aircal/Ar4036_Air-1)/4)</f>
        <v>1037.9901628096447</v>
      </c>
      <c r="AV8" s="394">
        <f>SQRT(Ar39BCerr^2+(Ar39BC*(Ar4036_Aircal/Ar4036_Air-1)/4)^2*((Ar4036_Aircalerr/Ar4036_Aircal)^2+(Ar39BCerr/Ar39BC)^2+(Ar4036_airerr/Ar4036_Air)^2))</f>
        <v>0.65401259791320965</v>
      </c>
      <c r="AW8" s="394">
        <f>Ar38BC*(1+2*(Ar4036_Aircal/Ar4036_Air-1)/4)</f>
        <v>16.236873490270728</v>
      </c>
      <c r="AX8" s="394">
        <f>SQRT(Ar38BCerr^2+(Ar38BC*(Ar4036_Aircal/Ar4036_Air-1)/4)^2*((Ar4036_Aircalerr/Ar4036_Aircal)^2+(Ar38BCerr/Ar38BC)^2+(Ar4036_airerr/Ar4036_Air)^2))</f>
        <v>5.3957890855903322E-2</v>
      </c>
      <c r="AY8" s="394">
        <f>Ar37BC*(1+3*(Ar4036_Aircal/Ar4036_Air-1)/4)</f>
        <v>-9.5032284263959377E-2</v>
      </c>
      <c r="AZ8" s="394">
        <f>SQRT(Ar37BCerr^2+(Ar37BC*(Ar4036_Aircal/Ar4036_Air-1)/3)^2*((Ar4036_Aircalerr/Ar4036_Aircal)^2+(Ar37BCerr/Ar37BC)^2+(Ar4036_airerr/Ar4036_Air)^2))</f>
        <v>5.6325810300690241E-2</v>
      </c>
      <c r="BA8" s="394">
        <f>Ar36BC*(1+4*(Ar4036_Aircal/Ar4036_Air-1)/4)</f>
        <v>2.1556485617597293E-2</v>
      </c>
      <c r="BB8" s="404">
        <f>SQRT(Ar36BCerr^2+(Ar36BC*(Ar4036_Aircal/Ar4036_Air-1)/4)^2*((Ar4036_Aircalerr/Ar4036_Aircal)^2+(Ar36BCerr/Ar36BC)^2+(Ar4036_airerr/Ar4036_Air)^2))</f>
        <v>3.2828349213407568E-3</v>
      </c>
      <c r="BC8" s="392"/>
      <c r="BD8" s="434"/>
      <c r="BE8" s="394">
        <f>IF(Rad_Type="Continuous", Ar37_DC*EXP(lambda_37Ar*(Run_Date-Rad_Date)),Ar37_DC*Ar37_DecayFactor)</f>
        <v>-0.32329952302164355</v>
      </c>
      <c r="BF8" s="394">
        <f>IF(Rad_Type="Continuous", (Ar37_DCerr*EXP(lambda_37Ar*(Run_Date-Rad_Date))), Ar37_DCerr*Ar37_DecayFactor)</f>
        <v>0.19162022406449558</v>
      </c>
      <c r="BG8" s="395">
        <f>IF(Rad_Type="Continuous", Ar39_DC*EXP(lambda_39Ar*(Run_Date-Rad_Date)), Ar39_DC*Ar39_DecayFactor)</f>
        <v>1038.4445857961264</v>
      </c>
      <c r="BH8" s="426">
        <f>IF(Rad_Type="Continuous", (Ar39_DCerr*EXP(lambda_39Ar*(Run_Date-Rad_Date))), Ar39_DCerr*Ar39_DecayFactor)</f>
        <v>0.65429891889060299</v>
      </c>
      <c r="BI8" s="395">
        <f>Ar40BC</f>
        <v>138.781882</v>
      </c>
      <c r="BJ8" s="393">
        <f>Ar40BCerr</f>
        <v>0.23258011662650788</v>
      </c>
      <c r="BK8" s="395">
        <f>Ar39_DecayCor</f>
        <v>1038.4445857961264</v>
      </c>
      <c r="BL8" s="393">
        <f>Ar39_DecayCorerr</f>
        <v>0.65429891889060299</v>
      </c>
      <c r="BM8" s="395">
        <f>Ar38_DC</f>
        <v>16.236873490270728</v>
      </c>
      <c r="BN8" s="393">
        <f>Ar38_DCerr</f>
        <v>5.3957890855903322E-2</v>
      </c>
      <c r="BO8" s="393">
        <f>Ar36_DC</f>
        <v>2.1556485617597293E-2</v>
      </c>
      <c r="BP8" s="402">
        <f>Ar36_DCerr</f>
        <v>3.2828349213407568E-3</v>
      </c>
      <c r="BQ8" s="429"/>
      <c r="BR8" s="392">
        <f>IF(Rad_Type="Continuous", BO8-((EXP(lambda_36Ar*(Run_Date-Rad_Date))-1)*Cl3638_PR*BT8),BO8*Ar36_DecayFactor)</f>
        <v>1.960823979523264E-2</v>
      </c>
      <c r="BS8" s="392">
        <f>IF(K:K="Continuous", SQRT(BP8^2+(((EXP(lambda_36Ar*(Run_Date-Rad_Date))-1)*Cl3638_PR)*BU8^2)), Ar36_ICerr*Ar36_DecayFactor)</f>
        <v>3.2828353870715341E-3</v>
      </c>
      <c r="BT8" s="392">
        <f>IF(Rad_Type="Continuous", BM8-(Ar3836_Air*BO8)/(1-lambda_36Ar*(Run_Date-Rad_Date)),Ar38_IC-(Ar3836_Air*Ar36_IC)/Ar36_DecayFactor)</f>
        <v>16.232820869435407</v>
      </c>
      <c r="BU8" s="392">
        <f>IF(Rad_Type ="Continuous", SQRT(BN8^2*(((EXP(lambda_36Ar*(Run_Date-Rad_Date))-1*0.188)*BP8^2))),SQRT(Ar38_ICerr^2*(((EXP(lambda_36Ar*(Ar36_DecayFactor))-1*0.188)*Ar36_ICerr^2))))</f>
        <v>1.596180960316389E-4</v>
      </c>
      <c r="BV8" s="392">
        <f>Ar40_IC-(Ar36_ClCor*Ar4036_Air)</f>
        <v>132.98764714050876</v>
      </c>
      <c r="BW8" s="426">
        <f>SQRT(Ar40_ICerr^2+(Ar36_ClCorerr*Ar4036_Air)^2)</f>
        <v>0.99756932543968702</v>
      </c>
      <c r="BX8" s="390">
        <f>Ar40BC/Ar39_DC</f>
        <v>0.13370250217433993</v>
      </c>
      <c r="BY8" s="390">
        <f>Ar4039_K*SQRT((Ar40BCerr/Ar40BC)^2+(Ar39_DCerr/Ar39_DC)^2)</f>
        <v>2.3938085110026657E-4</v>
      </c>
      <c r="BZ8" s="390">
        <f>Ar38_DC/Ar39_DC</f>
        <v>1.5642608255863E-2</v>
      </c>
      <c r="CA8" s="432">
        <f>Ar3839_K*SQRT((Ar40BCerr/Ar40BC)^2+(Ar39_DCerr/Ar39_DC)^2)</f>
        <v>2.8006513093030136E-5</v>
      </c>
      <c r="CB8" s="396"/>
      <c r="CC8" s="396"/>
      <c r="CD8" s="396"/>
      <c r="CE8" s="396"/>
      <c r="CF8" s="122"/>
    </row>
    <row r="9" spans="1:84" s="13" customFormat="1" ht="24.9" customHeight="1">
      <c r="A9" s="399"/>
      <c r="B9" s="245" t="s">
        <v>895</v>
      </c>
      <c r="C9" s="5">
        <f>0.43/1000</f>
        <v>4.2999999999999999E-4</v>
      </c>
      <c r="D9" s="66">
        <f>C9*2%</f>
        <v>8.6000000000000007E-6</v>
      </c>
      <c r="E9" s="67">
        <v>44706</v>
      </c>
      <c r="F9" s="398" t="s">
        <v>210</v>
      </c>
      <c r="G9" s="5" t="s">
        <v>893</v>
      </c>
      <c r="H9" s="5">
        <v>2</v>
      </c>
      <c r="I9" s="5">
        <v>1</v>
      </c>
      <c r="J9" s="67">
        <v>44644</v>
      </c>
      <c r="K9" s="67" t="s">
        <v>823</v>
      </c>
      <c r="L9" s="5" t="s">
        <v>862</v>
      </c>
      <c r="M9" s="5" t="s">
        <v>870</v>
      </c>
      <c r="N9" s="5">
        <v>110</v>
      </c>
      <c r="O9" s="306">
        <v>168.01410899999999</v>
      </c>
      <c r="P9" s="6">
        <v>8.0307000000000003E-2</v>
      </c>
      <c r="Q9" s="6">
        <v>1202.8601329999999</v>
      </c>
      <c r="R9" s="6">
        <v>0.82203300000000001</v>
      </c>
      <c r="S9" s="419">
        <v>18.609567999999999</v>
      </c>
      <c r="T9" s="6">
        <v>3.875E-2</v>
      </c>
      <c r="U9" s="6">
        <v>0.45048100000000002</v>
      </c>
      <c r="V9" s="6">
        <v>4.2117000000000002E-2</v>
      </c>
      <c r="W9" s="419">
        <v>8.9391999999999999E-2</v>
      </c>
      <c r="X9" s="421">
        <v>2.0430000000000001E-3</v>
      </c>
      <c r="Y9" s="6">
        <v>11.241906</v>
      </c>
      <c r="Z9" s="6">
        <v>0.213175</v>
      </c>
      <c r="AA9" s="6">
        <v>0.33156099999999999</v>
      </c>
      <c r="AB9" s="6">
        <v>7.0001999999999995E-2</v>
      </c>
      <c r="AC9" s="6">
        <v>0.15865299999999999</v>
      </c>
      <c r="AD9" s="6">
        <v>2.8667000000000002E-2</v>
      </c>
      <c r="AE9" s="6">
        <v>0.237175</v>
      </c>
      <c r="AF9" s="6">
        <v>1.6846E-2</v>
      </c>
      <c r="AG9" s="6">
        <v>6.8984000000000004E-2</v>
      </c>
      <c r="AH9" s="421">
        <v>2.2109999999999999E-3</v>
      </c>
      <c r="AI9" s="393">
        <f>Ar40Raw-Ar40Blank</f>
        <v>156.77220299999999</v>
      </c>
      <c r="AJ9" s="393">
        <f>SQRT(Ar40Blankerr^2+Ar40Rawerr^2)</f>
        <v>0.22779990095256847</v>
      </c>
      <c r="AK9" s="393">
        <f>Ar39Raw-Ar39Blank</f>
        <v>1202.5285719999999</v>
      </c>
      <c r="AL9" s="393">
        <f>SQRT(Ar39Blankerr^2+Ar39Rawerr^2)</f>
        <v>0.82500820183377577</v>
      </c>
      <c r="AM9" s="393">
        <f>Ar38Raw-Ar38Blank</f>
        <v>18.450914999999998</v>
      </c>
      <c r="AN9" s="393">
        <f>SQRT(Ar38Blankerr^2+Ar38Rawerr^2)</f>
        <v>4.8201238459193142E-2</v>
      </c>
      <c r="AO9" s="393">
        <f>Ar37Raw-Ar37Blank</f>
        <v>0.21330600000000002</v>
      </c>
      <c r="AP9" s="393">
        <f>SQRT(Ar37Blankerr^2+Ar37Rawerr^2)</f>
        <v>4.5361100129957165E-2</v>
      </c>
      <c r="AQ9" s="393">
        <f>Ar36Raw-Ar36Blank</f>
        <v>2.0407999999999996E-2</v>
      </c>
      <c r="AR9" s="402">
        <f>SQRT(Ar36Blankerr^2+Ar36Rawerr^2)</f>
        <v>3.0103770527958786E-3</v>
      </c>
      <c r="AS9" s="4">
        <v>315.25</v>
      </c>
      <c r="AT9" s="447">
        <v>0.08</v>
      </c>
      <c r="AU9" s="394">
        <f>Ar39BC*(1+(Ar4036_Aircal/Ar4036_Air-1)/4)</f>
        <v>1222.621583249577</v>
      </c>
      <c r="AV9" s="394">
        <f>SQRT(Ar39BCerr^2+(Ar39BC*(Ar4036_Aircal/Ar4036_Air-1)/4)^2*((Ar4036_Aircalerr/Ar4036_Aircal)^2+(Ar39BCerr/Ar39BC)^2+(Ar4036_airerr/Ar4036_Air)^2))</f>
        <v>0.8254083123875211</v>
      </c>
      <c r="AW9" s="394">
        <f>Ar38BC*(1+2*(Ar4036_Aircal/Ar4036_Air-1)/4)</f>
        <v>19.067506491116752</v>
      </c>
      <c r="AX9" s="394">
        <f>SQRT(Ar38BCerr^2+(Ar38BC*(Ar4036_Aircal/Ar4036_Air-1)/4)^2*((Ar4036_Aircalerr/Ar4036_Aircal)^2+(Ar38BCerr/Ar38BC)^2+(Ar4036_airerr/Ar4036_Air)^2))</f>
        <v>4.8209115013531222E-2</v>
      </c>
      <c r="AY9" s="394">
        <f>Ar37BC*(1+3*(Ar4036_Aircal/Ar4036_Air-1)/4)</f>
        <v>0.22399836928934011</v>
      </c>
      <c r="AZ9" s="394">
        <f>SQRT(Ar37BCerr^2+(Ar37BC*(Ar4036_Aircal/Ar4036_Air-1)/3)^2*((Ar4036_Aircalerr/Ar4036_Aircal)^2+(Ar37BCerr/Ar37BC)^2+(Ar4036_airerr/Ar4036_Air)^2))</f>
        <v>4.5372356221332559E-2</v>
      </c>
      <c r="BA9" s="394">
        <f>Ar36BC*(1+4*(Ar4036_Aircal/Ar4036_Air-1)/4)</f>
        <v>2.1771986463620975E-2</v>
      </c>
      <c r="BB9" s="404">
        <f>SQRT(Ar36BCerr^2+(Ar36BC*(Ar4036_Aircal/Ar4036_Air-1)/4)^2*((Ar4036_Aircalerr/Ar4036_Aircal)^2+(Ar36BCerr/Ar36BC)^2+(Ar4036_airerr/Ar4036_Air)^2))</f>
        <v>3.0107972789568203E-3</v>
      </c>
      <c r="BC9" s="392"/>
      <c r="BD9" s="434"/>
      <c r="BE9" s="394">
        <f>IF(Rad_Type="Continuous", Ar37_DC*EXP(lambda_37Ar*(Run_Date-Rad_Date)),Ar37_DC*Ar37_DecayFactor)</f>
        <v>0.76204172623822841</v>
      </c>
      <c r="BF9" s="394">
        <f>IF(Rad_Type="Continuous", (Ar37_DCerr*EXP(lambda_37Ar*(Run_Date-Rad_Date))), Ar37_DCerr*Ar37_DecayFactor)</f>
        <v>0.15435660879181903</v>
      </c>
      <c r="BG9" s="395">
        <f>IF(Rad_Type="Continuous", Ar39_DC*EXP(lambda_39Ar*(Run_Date-Rad_Date)), Ar39_DC*Ar39_DecayFactor)</f>
        <v>1223.1568362520654</v>
      </c>
      <c r="BH9" s="426">
        <f>IF(Rad_Type="Continuous", (Ar39_DCerr*EXP(lambda_39Ar*(Run_Date-Rad_Date))), Ar39_DCerr*Ar39_DecayFactor)</f>
        <v>0.82576966890497272</v>
      </c>
      <c r="BI9" s="395">
        <f>Ar40BC</f>
        <v>156.77220299999999</v>
      </c>
      <c r="BJ9" s="393">
        <f>Ar40BCerr</f>
        <v>0.22779990095256847</v>
      </c>
      <c r="BK9" s="395">
        <f>Ar39_DecayCor</f>
        <v>1223.1568362520654</v>
      </c>
      <c r="BL9" s="393">
        <f>Ar39_DecayCorerr</f>
        <v>0.82576966890497272</v>
      </c>
      <c r="BM9" s="395">
        <f>Ar38_DC</f>
        <v>19.067506491116752</v>
      </c>
      <c r="BN9" s="393">
        <f>Ar38_DCerr</f>
        <v>4.8209115013531222E-2</v>
      </c>
      <c r="BO9" s="393">
        <f>Ar36_DC</f>
        <v>2.1771986463620975E-2</v>
      </c>
      <c r="BP9" s="402">
        <f>Ar36_DCerr</f>
        <v>3.0107972789568203E-3</v>
      </c>
      <c r="BQ9" s="429"/>
      <c r="BR9" s="392">
        <f>IF(Rad_Type="Continuous", BO9-((EXP(lambda_36Ar*(Run_Date-Rad_Date))-1)*Cl3638_PR*BT9),BO9*Ar36_DecayFactor)</f>
        <v>1.9484015954380846E-2</v>
      </c>
      <c r="BS9" s="392">
        <f>IF(K:K="Continuous", SQRT(BP9^2+(((EXP(lambda_36Ar*(Run_Date-Rad_Date))-1)*Cl3638_PR)*BU9^2)), Ar36_ICerr*Ar36_DecayFactor)</f>
        <v>3.0107976199265324E-3</v>
      </c>
      <c r="BT9" s="392">
        <f>IF(Rad_Type="Continuous", BM9-(Ar3836_Air*BO9)/(1-lambda_36Ar*(Run_Date-Rad_Date)),Ar38_IC-(Ar3836_Air*Ar36_IC)/Ar36_DecayFactor)</f>
        <v>19.063413356106992</v>
      </c>
      <c r="BU9" s="392">
        <f>IF(Rad_Type ="Continuous", SQRT(BN9^2*(((EXP(lambda_36Ar*(Run_Date-Rad_Date))-1*0.188)*BP9^2))),SQRT(Ar38_ICerr^2*(((EXP(lambda_36Ar*(Ar36_DecayFactor))-1*0.188)*Ar36_ICerr^2))))</f>
        <v>1.3079429164595266E-4</v>
      </c>
      <c r="BV9" s="392">
        <f>Ar40_IC-(Ar36_ClCor*Ar4036_Air)</f>
        <v>151.01467628548045</v>
      </c>
      <c r="BW9" s="426">
        <f>SQRT(Ar40_ICerr^2+(Ar36_ClCorerr*Ar4036_Air)^2)</f>
        <v>0.91839116429095469</v>
      </c>
      <c r="BX9" s="390">
        <f>Ar40BC/Ar39_DC</f>
        <v>0.12822626816657273</v>
      </c>
      <c r="BY9" s="390">
        <f>Ar4039_K*SQRT((Ar40BCerr/Ar40BC)^2+(Ar39_DCerr/Ar39_DC)^2)</f>
        <v>2.0544915680206088E-4</v>
      </c>
      <c r="BZ9" s="390">
        <f>Ar38_DC/Ar39_DC</f>
        <v>1.5595591270716551E-2</v>
      </c>
      <c r="CA9" s="432">
        <f>Ar3839_K*SQRT((Ar40BCerr/Ar40BC)^2+(Ar39_DCerr/Ar39_DC)^2)</f>
        <v>2.4987868103873999E-5</v>
      </c>
      <c r="CB9" s="265"/>
      <c r="CC9" s="265"/>
    </row>
    <row r="10" spans="1:84" s="13" customFormat="1" ht="24.9" customHeight="1">
      <c r="A10" s="399"/>
      <c r="B10" s="245" t="s">
        <v>838</v>
      </c>
      <c r="C10" s="5">
        <v>3.5E-4</v>
      </c>
      <c r="D10" s="66">
        <f>C10*2%</f>
        <v>6.9999999999999999E-6</v>
      </c>
      <c r="E10" s="67">
        <v>44711</v>
      </c>
      <c r="F10" s="398" t="s">
        <v>210</v>
      </c>
      <c r="G10" s="5" t="s">
        <v>893</v>
      </c>
      <c r="H10" s="5">
        <v>3</v>
      </c>
      <c r="I10" s="5">
        <v>1</v>
      </c>
      <c r="J10" s="67">
        <v>44644</v>
      </c>
      <c r="K10" s="67" t="s">
        <v>823</v>
      </c>
      <c r="L10" s="5" t="s">
        <v>862</v>
      </c>
      <c r="M10" s="5" t="s">
        <v>863</v>
      </c>
      <c r="N10" s="5">
        <v>111</v>
      </c>
      <c r="O10" s="306">
        <v>149.459338</v>
      </c>
      <c r="P10" s="6">
        <v>0.25062200000000001</v>
      </c>
      <c r="Q10" s="6">
        <v>976.79080199999999</v>
      </c>
      <c r="R10" s="6">
        <v>0.71655599999999997</v>
      </c>
      <c r="S10" s="419">
        <v>14.826902</v>
      </c>
      <c r="T10" s="6">
        <v>4.1091000000000003E-2</v>
      </c>
      <c r="U10" s="6">
        <v>0.102073</v>
      </c>
      <c r="V10" s="6">
        <v>4.6641000000000002E-2</v>
      </c>
      <c r="W10" s="419">
        <v>0.148479</v>
      </c>
      <c r="X10" s="421">
        <v>3.5539999999999999E-3</v>
      </c>
      <c r="Y10" s="6">
        <v>21.695218000000001</v>
      </c>
      <c r="Z10" s="6">
        <v>0.43120000000000003</v>
      </c>
      <c r="AA10" s="6">
        <v>0.51839999999999997</v>
      </c>
      <c r="AB10" s="6">
        <v>6.1920999999999997E-2</v>
      </c>
      <c r="AC10" s="6">
        <v>0.33497500000000002</v>
      </c>
      <c r="AD10" s="6">
        <v>3.1125E-2</v>
      </c>
      <c r="AE10" s="6">
        <v>0.385021</v>
      </c>
      <c r="AF10" s="6">
        <v>6.2815999999999997E-2</v>
      </c>
      <c r="AG10" s="6">
        <v>0.12927</v>
      </c>
      <c r="AH10" s="421">
        <v>3.0460000000000001E-3</v>
      </c>
      <c r="AI10" s="393">
        <f>Ar40Raw-Ar40Blank</f>
        <v>127.76412000000001</v>
      </c>
      <c r="AJ10" s="393">
        <f>SQRT(Ar40Blankerr^2+Ar40Rawerr^2)</f>
        <v>0.49874324745704585</v>
      </c>
      <c r="AK10" s="393">
        <f>Ar39Raw-Ar39Blank</f>
        <v>976.27240199999994</v>
      </c>
      <c r="AL10" s="393">
        <f>SQRT(Ar39Blankerr^2+Ar39Rawerr^2)</f>
        <v>0.71922646737797402</v>
      </c>
      <c r="AM10" s="393">
        <f>Ar38Raw-Ar38Blank</f>
        <v>14.491927</v>
      </c>
      <c r="AN10" s="393">
        <f>SQRT(Ar38Blankerr^2+Ar38Rawerr^2)</f>
        <v>5.1548384125984011E-2</v>
      </c>
      <c r="AO10" s="393">
        <f>Ar37Raw-Ar37Blank</f>
        <v>-0.28294799999999998</v>
      </c>
      <c r="AP10" s="393">
        <f>SQRT(Ar37Blankerr^2+Ar37Rawerr^2)</f>
        <v>7.823830735004432E-2</v>
      </c>
      <c r="AQ10" s="393">
        <f>Ar36Raw-Ar36Blank</f>
        <v>1.9209000000000004E-2</v>
      </c>
      <c r="AR10" s="402">
        <f>SQRT(Ar36Blankerr^2+Ar36Rawerr^2)</f>
        <v>4.6807084933800352E-3</v>
      </c>
      <c r="AS10" s="4">
        <v>315.25</v>
      </c>
      <c r="AT10" s="447">
        <v>0.08</v>
      </c>
      <c r="AU10" s="394">
        <f>Ar39BC*(1+(Ar4036_Aircal/Ar4036_Air-1)/4)</f>
        <v>992.58490617893403</v>
      </c>
      <c r="AV10" s="394">
        <f>SQRT(Ar39BCerr^2+(Ar39BC*(Ar4036_Aircal/Ar4036_Air-1)/4)^2*((Ar4036_Aircalerr/Ar4036_Aircal)^2+(Ar39BCerr/Ar39BC)^2+(Ar4036_airerr/Ar4036_Air)^2))</f>
        <v>0.71954230002247443</v>
      </c>
      <c r="AW10" s="394">
        <f>Ar38BC*(1+2*(Ar4036_Aircal/Ar4036_Air-1)/4)</f>
        <v>14.976217284686973</v>
      </c>
      <c r="AX10" s="394">
        <f>SQRT(Ar38BCerr^2+(Ar38BC*(Ar4036_Aircal/Ar4036_Air-1)/4)^2*((Ar4036_Aircalerr/Ar4036_Aircal)^2+(Ar38BCerr/Ar38BC)^2+(Ar4036_airerr/Ar4036_Air)^2))</f>
        <v>5.1556241952823809E-2</v>
      </c>
      <c r="AY10" s="394">
        <f>Ar37BC*(1+3*(Ar4036_Aircal/Ar4036_Air-1)/4)</f>
        <v>-0.29713130710659896</v>
      </c>
      <c r="AZ10" s="394">
        <f>SQRT(Ar37BCerr^2+(Ar37BC*(Ar4036_Aircal/Ar4036_Air-1)/3)^2*((Ar4036_Aircalerr/Ar4036_Aircal)^2+(Ar37BCerr/Ar37BC)^2+(Ar4036_airerr/Ar4036_Air)^2))</f>
        <v>7.8257721523593213E-2</v>
      </c>
      <c r="BA10" s="394">
        <f>Ar36BC*(1+4*(Ar4036_Aircal/Ar4036_Air-1)/4)</f>
        <v>2.0492850253807111E-2</v>
      </c>
      <c r="BB10" s="404">
        <f>SQRT(Ar36BCerr^2+(Ar36BC*(Ar4036_Aircal/Ar4036_Air-1)/4)^2*((Ar4036_Aircalerr/Ar4036_Aircal)^2+(Ar36BCerr/Ar36BC)^2+(Ar4036_airerr/Ar4036_Air)^2))</f>
        <v>4.6813618631798967E-3</v>
      </c>
      <c r="BC10" s="392"/>
      <c r="BD10" s="434"/>
      <c r="BE10" s="394">
        <f>IF(Rad_Type="Continuous", Ar37_DC*EXP(lambda_37Ar*(Run_Date-Rad_Date)),Ar37_DC*Ar37_DecayFactor)</f>
        <v>-1.1157427530382398</v>
      </c>
      <c r="BF10" s="394">
        <f>IF(Rad_Type="Continuous", (Ar37_DCerr*EXP(lambda_37Ar*(Run_Date-Rad_Date))), Ar37_DCerr*Ar37_DecayFactor)</f>
        <v>0.29386161461575117</v>
      </c>
      <c r="BG10" s="395">
        <f>IF(Rad_Type="Continuous", Ar39_DC*EXP(lambda_39Ar*(Run_Date-Rad_Date)), Ar39_DC*Ar39_DecayFactor)</f>
        <v>993.05450337957495</v>
      </c>
      <c r="BH10" s="426">
        <f>IF(Rad_Type="Continuous", (Ar39_DCerr*EXP(lambda_39Ar*(Run_Date-Rad_Date))), Ar39_DCerr*Ar39_DecayFactor)</f>
        <v>0.71988271931328762</v>
      </c>
      <c r="BI10" s="395">
        <f>Ar40BC</f>
        <v>127.76412000000001</v>
      </c>
      <c r="BJ10" s="393">
        <f>Ar40BCerr</f>
        <v>0.49874324745704585</v>
      </c>
      <c r="BK10" s="395">
        <f>Ar39_DecayCor</f>
        <v>993.05450337957495</v>
      </c>
      <c r="BL10" s="393">
        <f>Ar39_DecayCorerr</f>
        <v>0.71988271931328762</v>
      </c>
      <c r="BM10" s="395">
        <f>Ar38_DC</f>
        <v>14.976217284686973</v>
      </c>
      <c r="BN10" s="393">
        <f>Ar38_DCerr</f>
        <v>5.1556241952823809E-2</v>
      </c>
      <c r="BO10" s="393">
        <f>Ar36_DC</f>
        <v>2.0492850253807111E-2</v>
      </c>
      <c r="BP10" s="402">
        <f>Ar36_DCerr</f>
        <v>4.6813618631798967E-3</v>
      </c>
      <c r="BQ10" s="429"/>
      <c r="BR10" s="392">
        <f>IF(Rad_Type="Continuous", BO10-((EXP(lambda_36Ar*(Run_Date-Rad_Date))-1)*Cl3638_PR*BT10),BO10*Ar36_DecayFactor)</f>
        <v>1.8550966303964855E-2</v>
      </c>
      <c r="BS10" s="392">
        <f>IF(K:K="Continuous", SQRT(BP10^2+(((EXP(lambda_36Ar*(Run_Date-Rad_Date))-1)*Cl3638_PR)*BU10^2)), Ar36_ICerr*Ar36_DecayFactor)</f>
        <v>4.6813625184099657E-3</v>
      </c>
      <c r="BT10" s="392">
        <f>IF(Rad_Type="Continuous", BM10-(Ar3836_Air*BO10)/(1-lambda_36Ar*(Run_Date-Rad_Date)),Ar38_IC-(Ar3836_Air*Ar36_IC)/Ar36_DecayFactor)</f>
        <v>14.972364627257987</v>
      </c>
      <c r="BU10" s="392">
        <f>IF(Rad_Type ="Continuous", SQRT(BN10^2*(((EXP(lambda_36Ar*(Run_Date-Rad_Date))-1*0.188)*BP10^2))),SQRT(Ar38_ICerr^2*(((EXP(lambda_36Ar*(Ar36_DecayFactor))-1*0.188)*Ar36_ICerr^2))))</f>
        <v>2.1748614250259073E-4</v>
      </c>
      <c r="BV10" s="392">
        <f>Ar40_IC-(Ar36_ClCor*Ar4036_Air)</f>
        <v>122.28230945717839</v>
      </c>
      <c r="BW10" s="426">
        <f>SQRT(Ar40_ICerr^2+(Ar36_ClCorerr*Ar4036_Air)^2)</f>
        <v>1.4705038737743181</v>
      </c>
      <c r="BX10" s="390">
        <f>Ar40BC/Ar39_DC</f>
        <v>0.12871858034980826</v>
      </c>
      <c r="BY10" s="390">
        <f>Ar4039_K*SQRT((Ar40BCerr/Ar40BC)^2+(Ar39_DCerr/Ar39_DC)^2)</f>
        <v>5.11059707213062E-4</v>
      </c>
      <c r="BZ10" s="390">
        <f>Ar38_DC/Ar39_DC</f>
        <v>1.5088096939071526E-2</v>
      </c>
      <c r="CA10" s="432">
        <f>Ar3839_K*SQRT((Ar40BCerr/Ar40BC)^2+(Ar39_DCerr/Ar39_DC)^2)</f>
        <v>5.9905247425265568E-5</v>
      </c>
      <c r="CB10" s="265"/>
      <c r="CC10" s="265"/>
    </row>
    <row r="11" spans="1:84" s="13" customFormat="1" ht="24.9" customHeight="1">
      <c r="A11" s="399"/>
      <c r="B11" s="272"/>
      <c r="C11" s="66"/>
      <c r="D11" s="66"/>
      <c r="E11" s="274"/>
      <c r="F11" s="398"/>
      <c r="G11" s="5"/>
      <c r="H11" s="5"/>
      <c r="I11" s="5"/>
      <c r="J11" s="67"/>
      <c r="K11" s="67"/>
      <c r="L11" s="5"/>
      <c r="M11" s="5"/>
      <c r="N11" s="5"/>
      <c r="O11" s="306"/>
      <c r="X11" s="421"/>
      <c r="AH11" s="421"/>
      <c r="AI11" s="270"/>
      <c r="AJ11" s="270"/>
      <c r="AK11" s="270"/>
      <c r="AL11" s="270"/>
      <c r="AM11" s="270"/>
      <c r="AN11" s="270"/>
      <c r="AO11" s="270"/>
      <c r="AP11" s="270"/>
      <c r="AQ11" s="270"/>
      <c r="AR11" s="401"/>
      <c r="AS11" s="4"/>
      <c r="AT11" s="447"/>
      <c r="AU11" s="159"/>
      <c r="AV11" s="159"/>
      <c r="AW11" s="159"/>
      <c r="AX11" s="159"/>
      <c r="AY11" s="159"/>
      <c r="AZ11" s="159"/>
      <c r="BA11" s="159"/>
      <c r="BB11" s="403"/>
      <c r="BC11" s="268"/>
      <c r="BD11" s="423"/>
      <c r="BE11" s="143"/>
      <c r="BF11" s="143"/>
      <c r="BG11" s="143"/>
      <c r="BH11" s="425"/>
      <c r="BI11" s="143"/>
      <c r="BJ11" s="133"/>
      <c r="BK11" s="143"/>
      <c r="BL11" s="133"/>
      <c r="BM11" s="143"/>
      <c r="BN11" s="133"/>
      <c r="BO11" s="133"/>
      <c r="BP11" s="427"/>
      <c r="BQ11" s="428"/>
      <c r="BR11" s="147"/>
      <c r="BS11" s="147"/>
      <c r="BT11" s="143"/>
      <c r="BU11" s="147"/>
      <c r="BV11" s="143"/>
      <c r="BW11" s="430"/>
      <c r="BX11" s="167"/>
      <c r="BY11" s="167"/>
      <c r="BZ11" s="159"/>
      <c r="CA11" s="433"/>
      <c r="CB11" s="159"/>
      <c r="CC11" s="157"/>
      <c r="CD11" s="159"/>
      <c r="CE11" s="157"/>
    </row>
    <row r="12" spans="1:84" s="297" customFormat="1" ht="24.9" customHeight="1">
      <c r="A12" s="400"/>
      <c r="B12" s="272" t="s">
        <v>896</v>
      </c>
      <c r="C12" s="66">
        <f>2.85/1000</f>
        <v>2.8500000000000001E-3</v>
      </c>
      <c r="D12" s="66">
        <f>C12*2%</f>
        <v>5.7000000000000003E-5</v>
      </c>
      <c r="E12" s="67">
        <v>44706</v>
      </c>
      <c r="F12" s="398" t="s">
        <v>210</v>
      </c>
      <c r="G12" s="5" t="s">
        <v>893</v>
      </c>
      <c r="H12" s="5">
        <v>1</v>
      </c>
      <c r="I12" s="5">
        <v>1</v>
      </c>
      <c r="J12" s="67">
        <v>44644</v>
      </c>
      <c r="K12" s="67" t="s">
        <v>823</v>
      </c>
      <c r="L12" s="5" t="s">
        <v>862</v>
      </c>
      <c r="M12" s="5" t="s">
        <v>870</v>
      </c>
      <c r="N12" s="5">
        <v>110</v>
      </c>
      <c r="O12" s="306">
        <v>31.804137999999998</v>
      </c>
      <c r="P12" s="6">
        <v>0.14175499999999999</v>
      </c>
      <c r="Q12" s="6">
        <v>4.5122960000000001</v>
      </c>
      <c r="R12" s="6">
        <v>7.8545000000000004E-2</v>
      </c>
      <c r="S12" s="419">
        <v>41.555737999999998</v>
      </c>
      <c r="T12" s="6">
        <v>5.1039000000000001E-2</v>
      </c>
      <c r="U12" s="6">
        <v>1605.001401</v>
      </c>
      <c r="V12" s="6">
        <v>1.0029840000000001</v>
      </c>
      <c r="W12" s="419">
        <v>1.924215</v>
      </c>
      <c r="X12" s="421">
        <v>7.8969999999999995E-3</v>
      </c>
      <c r="Y12" s="6">
        <v>10.360085</v>
      </c>
      <c r="Z12" s="6">
        <v>9.7734000000000001E-2</v>
      </c>
      <c r="AA12" s="6">
        <v>0.34790100000000002</v>
      </c>
      <c r="AB12" s="6">
        <v>4.5053999999999997E-2</v>
      </c>
      <c r="AC12" s="6">
        <v>0.168209</v>
      </c>
      <c r="AD12" s="6">
        <v>2.4565E-2</v>
      </c>
      <c r="AE12" s="6">
        <v>0.387264</v>
      </c>
      <c r="AF12" s="6">
        <v>4.3062999999999997E-2</v>
      </c>
      <c r="AG12" s="6">
        <v>6.6493999999999998E-2</v>
      </c>
      <c r="AH12" s="421">
        <v>1.2310000000000001E-3</v>
      </c>
      <c r="AI12" s="393">
        <f>Ar40Raw-Ar40Blank</f>
        <v>21.444052999999997</v>
      </c>
      <c r="AJ12" s="393">
        <f>SQRT(Ar40Blankerr^2+Ar40Rawerr^2)</f>
        <v>0.17218134272040045</v>
      </c>
      <c r="AK12" s="393">
        <f>Ar39Raw-Ar39Blank</f>
        <v>4.1643949999999998</v>
      </c>
      <c r="AL12" s="393">
        <f>SQRT(Ar39Blankerr^2+Ar39Rawerr^2)</f>
        <v>9.0549323249817834E-2</v>
      </c>
      <c r="AM12" s="393">
        <f>Ar38Raw-Ar38Blank</f>
        <v>41.387529000000001</v>
      </c>
      <c r="AN12" s="393">
        <f>SQRT(Ar38Blankerr^2+Ar38Rawerr^2)</f>
        <v>5.6642905522227581E-2</v>
      </c>
      <c r="AO12" s="393">
        <f>Ar37Raw-Ar37Blank</f>
        <v>1604.614137</v>
      </c>
      <c r="AP12" s="393">
        <f>SQRT(Ar37Blankerr^2+Ar37Rawerr^2)</f>
        <v>1.0039080267758598</v>
      </c>
      <c r="AQ12" s="393">
        <f>Ar36Raw-Ar36Blank</f>
        <v>1.857721</v>
      </c>
      <c r="AR12" s="402">
        <f>SQRT(Ar36Blankerr^2+Ar36Rawerr^2)</f>
        <v>7.9923694859534607E-3</v>
      </c>
      <c r="AS12" s="4">
        <v>315.25</v>
      </c>
      <c r="AT12" s="447">
        <v>0.08</v>
      </c>
      <c r="AU12" s="394">
        <f>Ar39BC*(1+(Ar4036_Aircal/Ar4036_Air-1)/4)</f>
        <v>4.2339777421742806</v>
      </c>
      <c r="AV12" s="394">
        <f>SQRT(Ar39BCerr^2+(Ar39BC*(Ar4036_Aircal/Ar4036_Air-1)/4)^2*((Ar4036_Aircalerr/Ar4036_Aircal)^2+(Ar39BCerr/Ar39BC)^2+(Ar4036_airerr/Ar4036_Air)^2))</f>
        <v>9.0561993723638406E-2</v>
      </c>
      <c r="AW12" s="394">
        <f>Ar38BC*(1+2*(Ar4036_Aircal/Ar4036_Air-1)/4)</f>
        <v>42.770614782994926</v>
      </c>
      <c r="AX12" s="394">
        <f>SQRT(Ar38BCerr^2+(Ar38BC*(Ar4036_Aircal/Ar4036_Air-1)/4)^2*((Ar4036_Aircalerr/Ar4036_Aircal)^2+(Ar38BCerr/Ar38BC)^2+(Ar4036_airerr/Ar4036_Air)^2))</f>
        <v>5.6655728891668276E-2</v>
      </c>
      <c r="AY12" s="394">
        <f>Ar37BC*(1+3*(Ar4036_Aircal/Ar4036_Air-1)/4)</f>
        <v>1685.0484750856599</v>
      </c>
      <c r="AZ12" s="394">
        <f>SQRT(Ar37BCerr^2+(Ar37BC*(Ar4036_Aircal/Ar4036_Air-1)/3)^2*((Ar4036_Aircalerr/Ar4036_Aircal)^2+(Ar37BCerr/Ar37BC)^2+(Ar4036_airerr/Ar4036_Air)^2))</f>
        <v>1.0048981563745774</v>
      </c>
      <c r="BA12" s="394">
        <f>Ar36BC*(1+4*(Ar4036_Aircal/Ar4036_Air-1)/4)</f>
        <v>1.9818834018612519</v>
      </c>
      <c r="BB12" s="404">
        <f>SQRT(Ar36BCerr^2+(Ar36BC*(Ar4036_Aircal/Ar4036_Air-1)/4)^2*((Ar4036_Aircalerr/Ar4036_Aircal)^2+(Ar36BCerr/Ar36BC)^2+(Ar4036_airerr/Ar4036_Air)^2))</f>
        <v>7.9935553110623472E-3</v>
      </c>
      <c r="BC12" s="397"/>
      <c r="BD12" s="424"/>
      <c r="BE12" s="395">
        <f>IF(Rad_Type="Continuous", Ar37_DC*EXP(lambda_37Ar*(Run_Date-Rad_Date)),Ar37_DC*Ar37_DecayFactor)</f>
        <v>5732.529450206488</v>
      </c>
      <c r="BF12" s="395">
        <f>IF(Rad_Type="Continuous", (Ar37_DCerr*EXP(lambda_37Ar*(Run_Date-Rad_Date))), Ar37_DCerr*Ar37_DecayFactor)</f>
        <v>3.41866027063858</v>
      </c>
      <c r="BG12" s="395">
        <f>IF(Rad_Type="Continuous", Ar39_DC*EXP(lambda_39Ar*(Run_Date-Rad_Date)), Ar39_DC*Ar39_DecayFactor)</f>
        <v>4.2358313404830428</v>
      </c>
      <c r="BH12" s="431">
        <f>IF(Rad_Type="Continuous", (Ar39_DCerr*EXP(lambda_39Ar*(Run_Date-Rad_Date))), Ar39_DCerr*Ar39_DecayFactor)</f>
        <v>9.0601640969945857E-2</v>
      </c>
      <c r="BI12" s="395">
        <f>Ar40BC</f>
        <v>21.444052999999997</v>
      </c>
      <c r="BJ12" s="393">
        <f>Ar40BCerr</f>
        <v>0.17218134272040045</v>
      </c>
      <c r="BK12" s="395">
        <f>Ar39_DecayCor</f>
        <v>4.2358313404830428</v>
      </c>
      <c r="BL12" s="393">
        <f>Ar39_DecayCorerr</f>
        <v>9.0601640969945857E-2</v>
      </c>
      <c r="BM12" s="395">
        <f>Ar38_DC</f>
        <v>42.770614782994926</v>
      </c>
      <c r="BN12" s="393">
        <f>Ar38_DCerr</f>
        <v>5.6655728891668276E-2</v>
      </c>
      <c r="BO12" s="393">
        <f>Ar36_DC</f>
        <v>1.9818834018612519</v>
      </c>
      <c r="BP12" s="402">
        <f>Ar36_DCerr</f>
        <v>7.9935553110623472E-3</v>
      </c>
      <c r="BQ12" s="429"/>
      <c r="BR12" s="392">
        <f>IF(Rad_Type="Continuous", BO12-((EXP(lambda_36Ar*(Run_Date-Rad_Date))-1)*Cl3638_PR*BT12),BO12*Ar36_DecayFactor)</f>
        <v>1.9767948367190193</v>
      </c>
      <c r="BS12" s="392">
        <f>IF(K:K="Continuous", SQRT(BP12^2+(((EXP(lambda_36Ar*(Run_Date-Rad_Date))-1)*Cl3638_PR)*BU12^2)), Ar36_ICerr*Ar36_DecayFactor)</f>
        <v>7.9935565613317612E-3</v>
      </c>
      <c r="BT12" s="395">
        <f>IF(Rad_Type="Continuous", BM12-(Ar3836_Air*BO12)/(1-lambda_36Ar*(Run_Date-Rad_Date)),Ar38_IC-(Ar3836_Air*Ar36_IC)/Ar36_DecayFactor)</f>
        <v>42.39802056193124</v>
      </c>
      <c r="BU12" s="392">
        <f>IF(Rad_Type ="Continuous", SQRT(BN12^2*(((EXP(lambda_36Ar*(Run_Date-Rad_Date))-1*0.188)*BP12^2))),SQRT(Ar38_ICerr^2*(((EXP(lambda_36Ar*(Ar36_DecayFactor))-1*0.188)*Ar36_ICerr^2))))</f>
        <v>4.08095618313222E-4</v>
      </c>
      <c r="BV12" s="395">
        <f>Ar40_IC-(Ar36_ClCor*Ar4036_Air)</f>
        <v>-562.69882125047025</v>
      </c>
      <c r="BW12" s="431">
        <f>SQRT(Ar40_ICerr^2+(Ar36_ClCorerr*Ar4036_Air)^2)</f>
        <v>2.3683630965982911</v>
      </c>
      <c r="BX12" s="394"/>
      <c r="BY12" s="394"/>
      <c r="BZ12" s="394"/>
      <c r="CA12" s="404"/>
      <c r="CB12" s="396">
        <f>Ar36_ClCor/Ar37_DecayCor</f>
        <v>3.4483814760826294E-4</v>
      </c>
      <c r="CC12" s="396">
        <f>Ar3637_Ca*SQRT((Ar36_ClCorerr/Ar36_ClCor)^2+(Ar37_DCerr/Ar37_DC)^2)</f>
        <v>1.409503356103484E-6</v>
      </c>
      <c r="CD12" s="396">
        <f>Ar39_DecayCor/Ar37_DecayCor</f>
        <v>7.3891139631746092E-4</v>
      </c>
      <c r="CE12" s="396">
        <f>Ar3937_Ca*SQRT((Ar39_DecayCorerr/Ar39_DecayCor)^2+(Ar37_DCerr/Ar37_DC)^2)</f>
        <v>1.5810969686004625E-5</v>
      </c>
      <c r="CF12" s="391"/>
    </row>
    <row r="13" spans="1:84" s="13" customFormat="1" ht="24.9" customHeight="1">
      <c r="A13" s="399"/>
      <c r="B13" s="272" t="s">
        <v>897</v>
      </c>
      <c r="C13" s="5">
        <f>2.71/1000</f>
        <v>2.7100000000000002E-3</v>
      </c>
      <c r="D13" s="66">
        <f>C13*2%</f>
        <v>5.4200000000000003E-5</v>
      </c>
      <c r="E13" s="67">
        <v>44706</v>
      </c>
      <c r="F13" s="398" t="s">
        <v>210</v>
      </c>
      <c r="G13" s="5" t="s">
        <v>893</v>
      </c>
      <c r="H13" s="5">
        <v>2</v>
      </c>
      <c r="I13" s="5">
        <v>1</v>
      </c>
      <c r="J13" s="67">
        <v>44644</v>
      </c>
      <c r="K13" s="67" t="s">
        <v>823</v>
      </c>
      <c r="L13" s="5" t="s">
        <v>862</v>
      </c>
      <c r="M13" s="5" t="s">
        <v>870</v>
      </c>
      <c r="N13" s="5">
        <v>110</v>
      </c>
      <c r="O13" s="306">
        <v>33.244036000000001</v>
      </c>
      <c r="P13" s="6">
        <v>0.16548499999999999</v>
      </c>
      <c r="Q13" s="6">
        <v>5.3448370000000001</v>
      </c>
      <c r="R13" s="6">
        <v>4.6991999999999999E-2</v>
      </c>
      <c r="S13" s="419">
        <v>48.108761000000001</v>
      </c>
      <c r="T13" s="6">
        <v>6.7486000000000004E-2</v>
      </c>
      <c r="U13" s="6">
        <v>1924.440699</v>
      </c>
      <c r="V13" s="6">
        <v>1.2366520000000001</v>
      </c>
      <c r="W13" s="419">
        <v>2.3115790000000001</v>
      </c>
      <c r="X13" s="421">
        <v>1.0689000000000001E-2</v>
      </c>
      <c r="Y13" s="6">
        <v>10.360085</v>
      </c>
      <c r="Z13" s="6">
        <v>9.7734000000000001E-2</v>
      </c>
      <c r="AA13" s="6">
        <v>0.34790100000000002</v>
      </c>
      <c r="AB13" s="6">
        <v>4.5053999999999997E-2</v>
      </c>
      <c r="AC13" s="6">
        <v>0.168209</v>
      </c>
      <c r="AD13" s="6">
        <v>2.4565E-2</v>
      </c>
      <c r="AE13" s="6">
        <v>0.387264</v>
      </c>
      <c r="AF13" s="6">
        <v>4.3062999999999997E-2</v>
      </c>
      <c r="AG13" s="6">
        <v>6.6493999999999998E-2</v>
      </c>
      <c r="AH13" s="421">
        <v>1.2310000000000001E-3</v>
      </c>
      <c r="AI13" s="393">
        <f>Ar40Raw-Ar40Blank</f>
        <v>22.883951000000003</v>
      </c>
      <c r="AJ13" s="393">
        <f>SQRT(Ar40Blankerr^2+Ar40Rawerr^2)</f>
        <v>0.19219058244617501</v>
      </c>
      <c r="AK13" s="393">
        <f>Ar39Raw-Ar39Blank</f>
        <v>4.9969359999999998</v>
      </c>
      <c r="AL13" s="393">
        <f>SQRT(Ar39Blankerr^2+Ar39Rawerr^2)</f>
        <v>6.5100775571416955E-2</v>
      </c>
      <c r="AM13" s="393">
        <f>Ar38Raw-Ar38Blank</f>
        <v>47.940552000000004</v>
      </c>
      <c r="AN13" s="393">
        <f>SQRT(Ar38Blankerr^2+Ar38Rawerr^2)</f>
        <v>7.1817821054387332E-2</v>
      </c>
      <c r="AO13" s="393">
        <f>Ar37Raw-Ar37Blank</f>
        <v>1924.053435</v>
      </c>
      <c r="AP13" s="393">
        <f>SQRT(Ar37Blankerr^2+Ar37Rawerr^2)</f>
        <v>1.2374015480324083</v>
      </c>
      <c r="AQ13" s="393">
        <f>Ar36Raw-Ar36Blank</f>
        <v>2.245085</v>
      </c>
      <c r="AR13" s="402">
        <f>SQRT(Ar36Blankerr^2+Ar36Rawerr^2)</f>
        <v>1.0759650644886199E-2</v>
      </c>
      <c r="AS13" s="4">
        <v>315.25</v>
      </c>
      <c r="AT13" s="447">
        <v>0.08</v>
      </c>
      <c r="AU13" s="394">
        <f>Ar39BC*(1+(Ar4036_Aircal/Ar4036_Air-1)/4)</f>
        <v>5.0804296429780038</v>
      </c>
      <c r="AV13" s="394">
        <f>SQRT(Ar39BCerr^2+(Ar39BC*(Ar4036_Aircal/Ar4036_Air-1)/4)^2*((Ar4036_Aircalerr/Ar4036_Aircal)^2+(Ar39BCerr/Ar39BC)^2+(Ar4036_airerr/Ar4036_Air)^2))</f>
        <v>6.5109925031309315E-2</v>
      </c>
      <c r="AW13" s="394">
        <f>Ar38BC*(1+2*(Ar4036_Aircal/Ar4036_Air-1)/4)</f>
        <v>49.542626284263967</v>
      </c>
      <c r="AX13" s="394">
        <f>SQRT(Ar38BCerr^2+(Ar38BC*(Ar4036_Aircal/Ar4036_Air-1)/4)^2*((Ar4036_Aircalerr/Ar4036_Aircal)^2+(Ar38BCerr/Ar38BC)^2+(Ar4036_airerr/Ar4036_Air)^2))</f>
        <v>7.183304896530128E-2</v>
      </c>
      <c r="AY13" s="394">
        <f>Ar37BC*(1+3*(Ar4036_Aircal/Ar4036_Air-1)/4)</f>
        <v>2020.5002759676395</v>
      </c>
      <c r="AZ13" s="394">
        <f>SQRT(Ar37BCerr^2+(Ar37BC*(Ar4036_Aircal/Ar4036_Air-1)/3)^2*((Ar4036_Aircalerr/Ar4036_Aircal)^2+(Ar37BCerr/Ar37BC)^2+(Ar4036_airerr/Ar4036_Air)^2))</f>
        <v>1.2385729966636734</v>
      </c>
      <c r="BA13" s="394">
        <f>Ar36BC*(1+4*(Ar4036_Aircal/Ar4036_Air-1)/4)</f>
        <v>2.3951372123519459</v>
      </c>
      <c r="BB13" s="404">
        <f>SQRT(Ar36BCerr^2+(Ar36BC*(Ar4036_Aircal/Ar4036_Air-1)/4)^2*((Ar4036_Aircalerr/Ar4036_Aircal)^2+(Ar36BCerr/Ar36BC)^2+(Ar4036_airerr/Ar4036_Air)^2))</f>
        <v>1.0761228700619956E-2</v>
      </c>
      <c r="BC13" s="397"/>
      <c r="BD13" s="424"/>
      <c r="BE13" s="395">
        <f>IF(Rad_Type="Continuous", Ar37_DC*EXP(lambda_37Ar*(Run_Date-Rad_Date)),Ar37_DC*Ar37_DecayFactor)</f>
        <v>6873.7353894498647</v>
      </c>
      <c r="BF13" s="395">
        <f>IF(Rad_Type="Continuous", (Ar37_DCerr*EXP(lambda_37Ar*(Run_Date-Rad_Date))), Ar37_DCerr*Ar37_DecayFactor)</f>
        <v>4.213621319851983</v>
      </c>
      <c r="BG13" s="395">
        <f>IF(Rad_Type="Continuous", Ar39_DC*EXP(lambda_39Ar*(Run_Date-Rad_Date)), Ar39_DC*Ar39_DecayFactor)</f>
        <v>5.0826538105026007</v>
      </c>
      <c r="BH13" s="431">
        <f>IF(Rad_Type="Continuous", (Ar39_DCerr*EXP(lambda_39Ar*(Run_Date-Rad_Date))), Ar39_DCerr*Ar39_DecayFactor)</f>
        <v>6.5138429585246738E-2</v>
      </c>
      <c r="BI13" s="395">
        <f>Ar40BC</f>
        <v>22.883951000000003</v>
      </c>
      <c r="BJ13" s="393">
        <f>Ar40BCerr</f>
        <v>0.19219058244617501</v>
      </c>
      <c r="BK13" s="395">
        <f>Ar39_DecayCor</f>
        <v>5.0826538105026007</v>
      </c>
      <c r="BL13" s="393">
        <f>Ar39_DecayCorerr</f>
        <v>6.5138429585246738E-2</v>
      </c>
      <c r="BM13" s="395">
        <f>Ar38_DC</f>
        <v>49.542626284263967</v>
      </c>
      <c r="BN13" s="393">
        <f>Ar38_DCerr</f>
        <v>7.183304896530128E-2</v>
      </c>
      <c r="BO13" s="393">
        <f>Ar36_DC</f>
        <v>2.3951372123519459</v>
      </c>
      <c r="BP13" s="402">
        <f>Ar36_DCerr</f>
        <v>1.0761228700619956E-2</v>
      </c>
      <c r="BQ13" s="429"/>
      <c r="BR13" s="392">
        <f>IF(Rad_Type="Continuous", BO13-((EXP(lambda_36Ar*(Run_Date-Rad_Date))-1)*Cl3638_PR*BT13),BO13*Ar36_DecayFactor)</f>
        <v>2.3892452021029196</v>
      </c>
      <c r="BS13" s="392">
        <f>IF(K:K="Continuous", SQRT(BP13^2+(((EXP(lambda_36Ar*(Run_Date-Rad_Date))-1)*Cl3638_PR)*BU13^2)), Ar36_ICerr*Ar36_DecayFactor)</f>
        <v>1.0761231406362074E-2</v>
      </c>
      <c r="BT13" s="395">
        <f>IF(Rad_Type="Continuous", BM13-(Ar3836_Air*BO13)/(1-lambda_36Ar*(Run_Date-Rad_Date)),Ar38_IC-(Ar3836_Air*Ar36_IC)/Ar36_DecayFactor)</f>
        <v>49.092340317320186</v>
      </c>
      <c r="BU13" s="392">
        <f>IF(Rad_Type ="Continuous", SQRT(BN13^2*(((EXP(lambda_36Ar*(Run_Date-Rad_Date))-1*0.188)*BP13^2))),SQRT(Ar38_ICerr^2*(((EXP(lambda_36Ar*(Ar36_DecayFactor))-1*0.188)*Ar36_ICerr^2))))</f>
        <v>6.9656921681081124E-4</v>
      </c>
      <c r="BV13" s="395">
        <f>Ar40_IC-(Ar36_ClCor*Ar4036_Air)</f>
        <v>-683.13800622141275</v>
      </c>
      <c r="BW13" s="431">
        <f>SQRT(Ar40_ICerr^2+(Ar36_ClCorerr*Ar4036_Air)^2)</f>
        <v>3.1857464280163832</v>
      </c>
      <c r="BX13" s="394"/>
      <c r="BY13" s="394"/>
      <c r="BZ13" s="394"/>
      <c r="CA13" s="404"/>
      <c r="CB13" s="396">
        <f>Ar36_ClCor/Ar37_DecayCor</f>
        <v>3.4759051181546013E-4</v>
      </c>
      <c r="CC13" s="396">
        <f>Ar3637_Ca*SQRT((Ar36_ClCorerr/Ar36_ClCor)^2+(Ar37_DCerr/Ar37_DC)^2)</f>
        <v>1.5799912662423052E-6</v>
      </c>
      <c r="CD13" s="396">
        <f>Ar39_DecayCor/Ar37_DecayCor</f>
        <v>7.3943111314754692E-4</v>
      </c>
      <c r="CE13" s="396">
        <f>Ar3937_Ca*SQRT((Ar39_DecayCorerr/Ar39_DecayCor)^2+(Ar37_DCerr/Ar37_DC)^2)</f>
        <v>9.4872580250160897E-6</v>
      </c>
    </row>
    <row r="14" spans="1:84" s="13" customFormat="1" ht="24.9" customHeight="1" thickBot="1">
      <c r="A14" s="399"/>
      <c r="B14" s="272" t="s">
        <v>905</v>
      </c>
      <c r="C14" s="5">
        <v>2.8700000000000002E-3</v>
      </c>
      <c r="D14" s="66">
        <f>C14*2%</f>
        <v>5.7400000000000006E-5</v>
      </c>
      <c r="E14" s="67">
        <v>44711</v>
      </c>
      <c r="F14" s="398" t="s">
        <v>210</v>
      </c>
      <c r="G14" s="5" t="s">
        <v>893</v>
      </c>
      <c r="H14" s="5">
        <v>3</v>
      </c>
      <c r="I14" s="5">
        <v>1</v>
      </c>
      <c r="J14" s="67">
        <v>44644</v>
      </c>
      <c r="K14" s="67" t="s">
        <v>823</v>
      </c>
      <c r="L14" s="5" t="s">
        <v>862</v>
      </c>
      <c r="M14" s="5" t="s">
        <v>863</v>
      </c>
      <c r="N14" s="5">
        <v>111</v>
      </c>
      <c r="O14" s="306">
        <v>51.856605999999999</v>
      </c>
      <c r="P14" s="6">
        <v>0.24856900000000001</v>
      </c>
      <c r="Q14" s="6">
        <v>9.2369509999999995</v>
      </c>
      <c r="R14" s="6">
        <v>5.6765000000000003E-2</v>
      </c>
      <c r="S14" s="419">
        <v>3.6306660000000002</v>
      </c>
      <c r="T14" s="6">
        <v>2.4209000000000001E-2</v>
      </c>
      <c r="U14" s="6">
        <v>1801.104822</v>
      </c>
      <c r="V14" s="6">
        <v>1.075663</v>
      </c>
      <c r="W14" s="419">
        <v>2.4715609999999999</v>
      </c>
      <c r="X14" s="421">
        <v>7.2020000000000001E-3</v>
      </c>
      <c r="Y14" s="6">
        <v>14.041858</v>
      </c>
      <c r="Z14" s="6">
        <v>0.17674899999999999</v>
      </c>
      <c r="AA14" s="6">
        <v>0.41741400000000001</v>
      </c>
      <c r="AB14" s="6">
        <v>3.8306E-2</v>
      </c>
      <c r="AC14" s="6">
        <v>0.29568800000000001</v>
      </c>
      <c r="AD14" s="6">
        <v>2.5170000000000001E-2</v>
      </c>
      <c r="AE14" s="6">
        <v>0.17332500000000001</v>
      </c>
      <c r="AF14" s="6">
        <v>3.8114000000000002E-2</v>
      </c>
      <c r="AG14" s="6">
        <v>0.114347</v>
      </c>
      <c r="AH14" s="421">
        <v>2.4979999999999998E-3</v>
      </c>
      <c r="AI14" s="393">
        <f>Ar40Raw-Ar40Blank</f>
        <v>37.814748000000002</v>
      </c>
      <c r="AJ14" s="393">
        <f>SQRT(Ar40Blankerr^2+Ar40Rawerr^2)</f>
        <v>0.30500287992410829</v>
      </c>
      <c r="AK14" s="393">
        <f>Ar39Raw-Ar39Blank</f>
        <v>8.8195369999999986</v>
      </c>
      <c r="AL14" s="393">
        <f>SQRT(Ar39Blankerr^2+Ar39Rawerr^2)</f>
        <v>6.8480762707493259E-2</v>
      </c>
      <c r="AM14" s="393">
        <f>Ar38Raw-Ar38Blank</f>
        <v>3.334978</v>
      </c>
      <c r="AN14" s="393">
        <f>SQRT(Ar38Blankerr^2+Ar38Rawerr^2)</f>
        <v>3.4922837527898563E-2</v>
      </c>
      <c r="AO14" s="393">
        <f>Ar37Raw-Ar37Blank</f>
        <v>1800.931497</v>
      </c>
      <c r="AP14" s="393">
        <f>SQRT(Ar37Blankerr^2+Ar37Rawerr^2)</f>
        <v>1.0763380354540111</v>
      </c>
      <c r="AQ14" s="393">
        <f>Ar36Raw-Ar36Blank</f>
        <v>2.3572139999999999</v>
      </c>
      <c r="AR14" s="402">
        <f>SQRT(Ar36Blankerr^2+Ar36Rawerr^2)</f>
        <v>7.6229133538300168E-3</v>
      </c>
      <c r="AS14" s="4">
        <v>315.25</v>
      </c>
      <c r="AT14" s="447">
        <v>0.08</v>
      </c>
      <c r="AU14" s="394">
        <f>Ar39BC*(1+(Ar4036_Aircal/Ar4036_Air-1)/4)</f>
        <v>8.9669023601945845</v>
      </c>
      <c r="AV14" s="394">
        <f>SQRT(Ar39BCerr^2+(Ar39BC*(Ar4036_Aircal/Ar4036_Air-1)/4)^2*((Ar4036_Aircalerr/Ar4036_Aircal)^2+(Ar39BCerr/Ar39BC)^2+(Ar4036_airerr/Ar4036_Air)^2))</f>
        <v>6.8490506285878036E-2</v>
      </c>
      <c r="AW14" s="394">
        <f>Ar38BC*(1+2*(Ar4036_Aircal/Ar4036_Air-1)/4)</f>
        <v>3.4464260803722508</v>
      </c>
      <c r="AX14" s="394">
        <f>SQRT(Ar38BCerr^2+(Ar38BC*(Ar4036_Aircal/Ar4036_Air-1)/4)^2*((Ar4036_Aircalerr/Ar4036_Aircal)^2+(Ar38BCerr/Ar38BC)^2+(Ar4036_airerr/Ar4036_Air)^2))</f>
        <v>3.4927764017631403E-2</v>
      </c>
      <c r="AY14" s="394">
        <f>Ar37BC*(1+3*(Ar4036_Aircal/Ar4036_Air-1)/4)</f>
        <v>1891.2066164562182</v>
      </c>
      <c r="AZ14" s="394">
        <f>SQRT(Ar37BCerr^2+(Ar37BC*(Ar4036_Aircal/Ar4036_Air-1)/3)^2*((Ar4036_Aircalerr/Ar4036_Aircal)^2+(Ar37BCerr/Ar37BC)^2+(Ar4036_airerr/Ar4036_Air)^2))</f>
        <v>1.0774757066576011</v>
      </c>
      <c r="BA14" s="394">
        <f>Ar36BC*(1+4*(Ar4036_Aircal/Ar4036_Air-1)/4)</f>
        <v>2.5147604517766498</v>
      </c>
      <c r="BB14" s="404">
        <f>SQRT(Ar36BCerr^2+(Ar36BC*(Ar4036_Aircal/Ar4036_Air-1)/4)^2*((Ar4036_Aircalerr/Ar4036_Aircal)^2+(Ar36BCerr/Ar36BC)^2+(Ar4036_airerr/Ar4036_Air)^2))</f>
        <v>7.6240959175028515E-3</v>
      </c>
      <c r="BC14" s="397"/>
      <c r="BD14" s="424"/>
      <c r="BE14" s="395">
        <f>IF(Rad_Type="Continuous", Ar37_DC*EXP(lambda_37Ar*(Run_Date-Rad_Date)),Ar37_DC*Ar37_DecayFactor)</f>
        <v>7101.5743758431172</v>
      </c>
      <c r="BF14" s="395">
        <f>IF(Rad_Type="Continuous", (Ar37_DCerr*EXP(lambda_37Ar*(Run_Date-Rad_Date))), Ar37_DCerr*Ar37_DecayFactor)</f>
        <v>4.0459745658732551</v>
      </c>
      <c r="BG14" s="395">
        <f>IF(Rad_Type="Continuous", Ar39_DC*EXP(lambda_39Ar*(Run_Date-Rad_Date)), Ar39_DC*Ar39_DecayFactor)</f>
        <v>8.9711446494139295</v>
      </c>
      <c r="BH14" s="431">
        <f>IF(Rad_Type="Continuous", (Ar39_DCerr*EXP(lambda_39Ar*(Run_Date-Rad_Date))), Ar39_DCerr*Ar39_DecayFactor)</f>
        <v>6.8522909508838714E-2</v>
      </c>
      <c r="BI14" s="395">
        <f>Ar40BC</f>
        <v>37.814748000000002</v>
      </c>
      <c r="BJ14" s="393">
        <f>Ar40BCerr</f>
        <v>0.30500287992410829</v>
      </c>
      <c r="BK14" s="395">
        <f>Ar39_DecayCor</f>
        <v>8.9711446494139295</v>
      </c>
      <c r="BL14" s="393">
        <f>Ar39_DecayCorerr</f>
        <v>6.8522909508838714E-2</v>
      </c>
      <c r="BM14" s="395">
        <f>Ar38_DC</f>
        <v>3.4464260803722508</v>
      </c>
      <c r="BN14" s="393">
        <f>Ar38_DCerr</f>
        <v>3.4927764017631403E-2</v>
      </c>
      <c r="BO14" s="393">
        <f>Ar36_DC</f>
        <v>2.5147604517766498</v>
      </c>
      <c r="BP14" s="402">
        <f>Ar36_DCerr</f>
        <v>7.6240959175028515E-3</v>
      </c>
      <c r="BQ14" s="429"/>
      <c r="BR14" s="392">
        <f>IF(Rad_Type="Continuous", BO14-((EXP(lambda_36Ar*(Run_Date-Rad_Date))-1)*Cl3638_PR*BT14),BO14*Ar36_DecayFactor)</f>
        <v>2.5143747755564636</v>
      </c>
      <c r="BS14" s="392">
        <f>IF(K:K="Continuous", SQRT(BP14^2+(((EXP(lambda_36Ar*(Run_Date-Rad_Date))-1)*Cl3638_PR)*BU14^2)), Ar36_ICerr*Ar36_DecayFactor)</f>
        <v>7.6240964072693063E-3</v>
      </c>
      <c r="BT14" s="395">
        <f>IF(Rad_Type="Continuous", BM14-(Ar3836_Air*BO14)/(1-lambda_36Ar*(Run_Date-Rad_Date)),Ar38_IC-(Ar3836_Air*Ar36_IC)/Ar36_DecayFactor)</f>
        <v>2.9736509213941797</v>
      </c>
      <c r="BU14" s="392">
        <f>IF(Rad_Type ="Continuous", SQRT(BN14^2*(((EXP(lambda_36Ar*(Run_Date-Rad_Date))-1*0.188)*BP14^2))),SQRT(Ar38_ICerr^2*(((EXP(lambda_36Ar*(Ar36_DecayFactor))-1*0.188)*Ar36_ICerr^2))))</f>
        <v>2.3995911966917131E-4</v>
      </c>
      <c r="BV14" s="395">
        <f>Ar40_IC-(Ar36_ClCor*Ar4036_Air)</f>
        <v>-705.18299817693503</v>
      </c>
      <c r="BW14" s="431">
        <f>SQRT(Ar40_ICerr^2+(Ar36_ClCorerr*Ar4036_Air)^2)</f>
        <v>2.2734725605514909</v>
      </c>
      <c r="BX14" s="394"/>
      <c r="BY14" s="394"/>
      <c r="BZ14" s="394"/>
      <c r="CA14" s="404"/>
      <c r="CB14" s="396">
        <f>Ar36_ClCor/Ar37_DecayCor</f>
        <v>3.5405878224826034E-4</v>
      </c>
      <c r="CC14" s="396">
        <f>Ar3637_Ca*SQRT((Ar36_ClCorerr/Ar36_ClCor)^2+(Ar37_DCerr/Ar37_DC)^2)</f>
        <v>1.0923646148800633E-6</v>
      </c>
      <c r="CD14" s="396">
        <f>Ar39_DecayCor/Ar37_DecayCor</f>
        <v>1.2632613804525355E-3</v>
      </c>
      <c r="CE14" s="396">
        <f>Ar3937_Ca*SQRT((Ar39_DecayCorerr/Ar39_DecayCor)^2+(Ar37_DCerr/Ar37_DC)^2)</f>
        <v>9.6757790321292309E-6</v>
      </c>
    </row>
    <row r="15" spans="1:84" s="13" customFormat="1" ht="24.9" customHeight="1" thickBot="1">
      <c r="A15" s="399"/>
      <c r="B15" s="245"/>
      <c r="C15" s="5"/>
      <c r="D15" s="85"/>
      <c r="E15" s="85"/>
      <c r="F15" s="85"/>
      <c r="G15" s="85"/>
      <c r="H15" s="5"/>
      <c r="I15" s="5"/>
      <c r="J15" s="85"/>
      <c r="K15" s="85"/>
      <c r="L15" s="5"/>
      <c r="M15" s="5"/>
      <c r="N15" s="5"/>
      <c r="AI15" s="139"/>
      <c r="AJ15" s="139"/>
      <c r="AK15" s="139"/>
      <c r="AL15" s="139"/>
      <c r="AM15" s="139"/>
      <c r="AN15" s="139"/>
      <c r="AO15" s="139"/>
      <c r="AP15" s="139"/>
      <c r="AQ15" s="139"/>
      <c r="AR15" s="139"/>
      <c r="AS15" s="85"/>
      <c r="AT15" s="85"/>
      <c r="AU15" s="139"/>
      <c r="AV15" s="139"/>
      <c r="AW15" s="139"/>
      <c r="AX15" s="139"/>
      <c r="AY15" s="139"/>
      <c r="AZ15" s="139"/>
      <c r="BA15" s="139"/>
      <c r="BB15" s="139"/>
      <c r="BC15" s="85"/>
      <c r="BD15" s="85"/>
      <c r="BE15" s="139"/>
      <c r="BF15" s="139"/>
      <c r="BG15" s="139"/>
      <c r="BH15" s="139"/>
      <c r="BI15" s="139"/>
      <c r="BJ15" s="139"/>
      <c r="BK15" s="139"/>
      <c r="BL15" s="139"/>
      <c r="BM15" s="139"/>
      <c r="BN15" s="139"/>
      <c r="BO15" s="139"/>
      <c r="BP15" s="139"/>
      <c r="BQ15" s="85"/>
      <c r="BR15" s="139"/>
      <c r="BS15" s="139"/>
      <c r="BT15" s="139"/>
      <c r="BU15" s="139"/>
      <c r="BV15" s="139"/>
      <c r="BW15" s="139"/>
      <c r="BX15" s="451">
        <f>AVERAGE(BX8:BX10)</f>
        <v>0.13021578356357363</v>
      </c>
      <c r="BY15" s="448">
        <f>STDEV(BX8:BX10)</f>
        <v>3.0296035754597554E-3</v>
      </c>
      <c r="BZ15" s="465">
        <f>AVERAGE(BZ8:BZ10)</f>
        <v>1.5442098821883693E-2</v>
      </c>
      <c r="CA15" s="464">
        <f>STDEV(BZ8:BZ10)</f>
        <v>3.0747463147223108E-4</v>
      </c>
      <c r="CB15" s="452">
        <f>AVERAGE(CB12:CB14)</f>
        <v>3.4882914722399443E-4</v>
      </c>
      <c r="CC15" s="449">
        <f>2*STDEV(CB12:CB14)</f>
        <v>9.4669296073301958E-6</v>
      </c>
      <c r="CD15" s="452">
        <f>AVERAGE(CD12:CD14)</f>
        <v>9.1386796330584781E-4</v>
      </c>
      <c r="CE15" s="450">
        <f>2*STDEV(CD12:CD14)</f>
        <v>6.0516737349422718E-4</v>
      </c>
    </row>
    <row r="16" spans="1:84" s="13" customFormat="1" ht="24.9" customHeight="1">
      <c r="B16" s="245"/>
      <c r="C16" s="5"/>
      <c r="D16" s="85"/>
      <c r="E16" s="85"/>
      <c r="F16" s="85"/>
      <c r="G16" s="85"/>
      <c r="H16" s="5"/>
      <c r="I16" s="5"/>
      <c r="J16" s="85"/>
      <c r="K16" s="85"/>
      <c r="L16" s="5"/>
      <c r="M16" s="5"/>
      <c r="N16" s="5"/>
      <c r="AI16" s="139"/>
      <c r="AJ16" s="139"/>
      <c r="AK16" s="139"/>
      <c r="AL16" s="139"/>
      <c r="AM16" s="139"/>
      <c r="AN16" s="139"/>
      <c r="AO16" s="139"/>
      <c r="AP16" s="139"/>
      <c r="AQ16" s="139"/>
      <c r="AR16" s="139"/>
      <c r="AS16" s="85"/>
      <c r="AT16" s="85"/>
      <c r="AU16" s="139"/>
      <c r="AV16" s="139"/>
      <c r="AW16" s="139"/>
      <c r="AX16" s="139"/>
      <c r="AY16" s="139"/>
      <c r="AZ16" s="139"/>
      <c r="BA16" s="139"/>
      <c r="BB16" s="139"/>
      <c r="BC16" s="85"/>
      <c r="BD16" s="85"/>
      <c r="BE16" s="139"/>
      <c r="BF16" s="139"/>
      <c r="BG16" s="139"/>
      <c r="BH16" s="139"/>
      <c r="BI16" s="139"/>
      <c r="BJ16" s="139"/>
      <c r="BK16" s="139"/>
      <c r="BL16" s="139"/>
      <c r="BM16" s="139"/>
      <c r="BN16" s="139"/>
      <c r="BO16" s="139"/>
      <c r="BP16" s="139"/>
      <c r="BQ16" s="85"/>
      <c r="BR16" s="139"/>
      <c r="BS16" s="139"/>
      <c r="BT16" s="139"/>
      <c r="BU16" s="379"/>
      <c r="BV16" s="379"/>
      <c r="BW16" s="139"/>
      <c r="BX16" s="264"/>
      <c r="CE16" s="265"/>
    </row>
    <row r="17" spans="2:83" s="13" customFormat="1" ht="24.9" customHeight="1">
      <c r="B17" s="245"/>
      <c r="C17" s="5"/>
      <c r="D17" s="85"/>
      <c r="E17" s="85"/>
      <c r="F17" s="85"/>
      <c r="G17" s="85"/>
      <c r="H17" s="5"/>
      <c r="I17" s="5"/>
      <c r="J17" s="85"/>
      <c r="K17" s="85"/>
      <c r="L17" s="5"/>
      <c r="M17" s="5"/>
      <c r="N17" s="5"/>
      <c r="AI17" s="139"/>
      <c r="AJ17" s="139"/>
      <c r="AK17" s="139"/>
      <c r="AL17" s="139"/>
      <c r="AM17" s="139"/>
      <c r="AN17" s="139"/>
      <c r="AO17" s="139"/>
      <c r="AP17" s="139"/>
      <c r="AQ17" s="139"/>
      <c r="AR17" s="139"/>
      <c r="AS17" s="85"/>
      <c r="AT17" s="85"/>
      <c r="AU17" s="139"/>
      <c r="AV17" s="139"/>
      <c r="AW17" s="139"/>
      <c r="AX17" s="139"/>
      <c r="AY17" s="139"/>
      <c r="AZ17" s="139"/>
      <c r="BA17" s="139"/>
      <c r="BB17" s="139"/>
      <c r="BC17" s="85"/>
      <c r="BD17" s="85"/>
      <c r="BE17" s="139"/>
      <c r="BF17" s="139"/>
      <c r="BG17" s="139"/>
      <c r="BH17" s="139"/>
      <c r="BI17" s="139"/>
      <c r="BJ17" s="139"/>
      <c r="BK17" s="139"/>
      <c r="BL17" s="139"/>
      <c r="BM17" s="139"/>
      <c r="BN17" s="139"/>
      <c r="BO17" s="139"/>
      <c r="BP17" s="139"/>
      <c r="BQ17" s="85"/>
      <c r="BR17" s="139"/>
      <c r="BS17" s="139"/>
      <c r="BT17" s="139"/>
      <c r="BU17" s="379"/>
      <c r="BV17" s="379"/>
      <c r="BW17" s="139"/>
      <c r="BX17" s="264"/>
      <c r="BY17" s="264"/>
      <c r="BZ17" s="264"/>
      <c r="CB17" s="265"/>
      <c r="CC17" s="264"/>
      <c r="CD17" s="264"/>
      <c r="CE17" s="264"/>
    </row>
    <row r="18" spans="2:83" s="13" customFormat="1" ht="24.9" customHeight="1">
      <c r="B18" s="245"/>
      <c r="C18" s="5"/>
      <c r="D18" s="85"/>
      <c r="E18" s="85"/>
      <c r="F18" s="85"/>
      <c r="G18" s="85"/>
      <c r="H18" s="5"/>
      <c r="I18" s="5"/>
      <c r="J18" s="85"/>
      <c r="K18" s="85"/>
      <c r="L18" s="5"/>
      <c r="M18" s="5"/>
      <c r="N18" s="5"/>
      <c r="X18" s="6"/>
      <c r="AH18" s="421"/>
      <c r="AI18" s="139"/>
      <c r="AJ18" s="139"/>
      <c r="AK18" s="139"/>
      <c r="AL18" s="139"/>
      <c r="AM18" s="139"/>
      <c r="AN18" s="139"/>
      <c r="AO18" s="139"/>
      <c r="AP18" s="139"/>
      <c r="AQ18" s="139"/>
      <c r="AR18" s="139"/>
      <c r="AS18" s="85"/>
      <c r="AT18" s="85"/>
      <c r="AU18" s="139"/>
      <c r="AV18" s="139"/>
      <c r="AW18" s="139"/>
      <c r="AX18" s="139"/>
      <c r="AY18" s="139"/>
      <c r="AZ18" s="139"/>
      <c r="BA18" s="139"/>
      <c r="BB18" s="139"/>
      <c r="BC18" s="85"/>
      <c r="BD18" s="85"/>
      <c r="BE18" s="139"/>
      <c r="BF18" s="139"/>
      <c r="BG18" s="139"/>
      <c r="BH18" s="139"/>
      <c r="BI18" s="139"/>
      <c r="BJ18" s="139"/>
      <c r="BK18" s="139"/>
      <c r="BL18" s="139"/>
      <c r="BM18" s="139"/>
      <c r="BN18" s="139"/>
      <c r="BO18" s="139"/>
      <c r="BP18" s="139"/>
      <c r="BQ18" s="85"/>
      <c r="BR18" s="139"/>
      <c r="BS18" s="139"/>
      <c r="BT18" s="139"/>
      <c r="BU18" s="139"/>
      <c r="BV18" s="139"/>
      <c r="BW18" s="139"/>
      <c r="BX18" s="264"/>
      <c r="BY18" s="264"/>
      <c r="BZ18" s="264"/>
      <c r="CA18" s="264"/>
      <c r="CB18" s="264"/>
      <c r="CC18" s="264"/>
      <c r="CD18" s="264"/>
      <c r="CE18" s="264"/>
    </row>
    <row r="19" spans="2:83" s="13" customFormat="1" ht="24.9" customHeight="1">
      <c r="B19" s="245"/>
      <c r="C19" s="5"/>
      <c r="D19" s="85"/>
      <c r="E19" s="85"/>
      <c r="F19" s="85"/>
      <c r="G19" s="85"/>
      <c r="H19" s="5"/>
      <c r="I19" s="5"/>
      <c r="J19" s="85"/>
      <c r="K19" s="85"/>
      <c r="L19" s="5"/>
      <c r="M19" s="5"/>
      <c r="N19" s="5"/>
      <c r="P19" s="296"/>
      <c r="X19" s="85"/>
      <c r="AH19" s="85"/>
      <c r="AI19" s="139"/>
      <c r="AJ19" s="139"/>
      <c r="AK19" s="139"/>
      <c r="AL19" s="139"/>
      <c r="AM19" s="139"/>
      <c r="AN19" s="139"/>
      <c r="AO19" s="139"/>
      <c r="AP19" s="139"/>
      <c r="AQ19" s="139"/>
      <c r="AR19" s="139"/>
      <c r="AS19" s="85"/>
      <c r="AT19" s="85"/>
      <c r="AU19" s="139"/>
      <c r="AV19" s="139"/>
      <c r="AW19" s="139"/>
      <c r="AX19" s="139"/>
      <c r="AY19" s="139"/>
      <c r="AZ19" s="139"/>
      <c r="BA19" s="139"/>
      <c r="BB19" s="139"/>
      <c r="BC19" s="85"/>
      <c r="BD19" s="85"/>
      <c r="BE19" s="139"/>
      <c r="BF19" s="139"/>
      <c r="BG19" s="139"/>
      <c r="BH19" s="139"/>
      <c r="BI19" s="139"/>
      <c r="BJ19" s="139"/>
      <c r="BK19" s="139"/>
      <c r="BL19" s="139"/>
      <c r="BM19" s="139"/>
      <c r="BN19" s="139"/>
      <c r="BO19" s="139"/>
      <c r="BP19" s="139"/>
      <c r="BQ19" s="85"/>
      <c r="BR19" s="139"/>
      <c r="BS19" s="139"/>
      <c r="BT19" s="139"/>
      <c r="BU19" s="139"/>
      <c r="BV19" s="139"/>
      <c r="BW19" s="139"/>
      <c r="BX19" s="264"/>
      <c r="BY19" s="264"/>
      <c r="BZ19" s="264"/>
      <c r="CA19" s="264"/>
      <c r="CB19" s="264"/>
      <c r="CC19" s="264"/>
      <c r="CD19" s="264"/>
      <c r="CE19" s="264"/>
    </row>
    <row r="20" spans="2:83" s="13" customFormat="1" ht="24.9" customHeight="1">
      <c r="B20" s="245"/>
      <c r="C20" s="5"/>
      <c r="D20" s="85"/>
      <c r="E20" s="85"/>
      <c r="F20" s="85"/>
      <c r="G20" s="85"/>
      <c r="H20" s="5"/>
      <c r="I20" s="5"/>
      <c r="J20" s="85"/>
      <c r="K20" s="85"/>
      <c r="L20" s="5"/>
      <c r="M20" s="5"/>
      <c r="N20" s="5"/>
      <c r="O20" s="85"/>
      <c r="P20" s="85"/>
      <c r="Q20" s="85"/>
      <c r="R20" s="85"/>
      <c r="S20" s="85"/>
      <c r="T20" s="85"/>
      <c r="U20" s="85"/>
      <c r="V20" s="85"/>
      <c r="W20" s="85"/>
      <c r="X20" s="85"/>
      <c r="Y20" s="85"/>
      <c r="Z20" s="85"/>
      <c r="AA20" s="85"/>
      <c r="AB20" s="85"/>
      <c r="AC20" s="85"/>
      <c r="AD20" s="85"/>
      <c r="AE20" s="85"/>
      <c r="AF20" s="85"/>
      <c r="AG20" s="85"/>
      <c r="AH20" s="85"/>
      <c r="AI20" s="139"/>
      <c r="AJ20" s="139"/>
      <c r="AK20" s="139"/>
      <c r="AL20" s="139"/>
      <c r="AM20" s="139"/>
      <c r="AN20" s="139"/>
      <c r="AO20" s="139"/>
      <c r="AP20" s="139"/>
      <c r="AQ20" s="139"/>
      <c r="AR20" s="139"/>
      <c r="AS20" s="85"/>
      <c r="AT20" s="85"/>
      <c r="AU20" s="139"/>
      <c r="AV20" s="139"/>
      <c r="AW20" s="139"/>
      <c r="AX20" s="139"/>
      <c r="AY20" s="139"/>
      <c r="AZ20" s="139"/>
      <c r="BA20" s="139"/>
      <c r="BB20" s="139"/>
      <c r="BC20" s="85"/>
      <c r="BD20" s="85"/>
      <c r="BE20" s="139"/>
      <c r="BF20" s="139"/>
      <c r="BG20" s="139"/>
      <c r="BH20" s="139"/>
      <c r="BI20" s="139"/>
      <c r="BJ20" s="139"/>
      <c r="BK20" s="139"/>
      <c r="BL20" s="139"/>
      <c r="BM20" s="139"/>
      <c r="BN20" s="139"/>
      <c r="BO20" s="139"/>
      <c r="BP20" s="139"/>
      <c r="BQ20" s="85"/>
      <c r="BR20" s="139"/>
      <c r="BS20" s="139"/>
      <c r="BT20" s="139"/>
      <c r="BU20" s="139"/>
      <c r="BV20" s="139"/>
      <c r="BW20" s="139"/>
      <c r="BX20" s="264"/>
      <c r="BY20" s="264"/>
      <c r="BZ20" s="264"/>
      <c r="CA20" s="264"/>
      <c r="CB20" s="264"/>
      <c r="CC20" s="264"/>
      <c r="CD20" s="264"/>
      <c r="CE20" s="264"/>
    </row>
    <row r="21" spans="2:83" s="13" customFormat="1" ht="24.9" customHeight="1">
      <c r="B21" s="245"/>
      <c r="C21" s="5"/>
      <c r="D21" s="85"/>
      <c r="E21" s="85"/>
      <c r="F21" s="85"/>
      <c r="G21" s="85"/>
      <c r="H21" s="5"/>
      <c r="I21" s="5"/>
      <c r="J21" s="85"/>
      <c r="K21" s="85"/>
      <c r="L21" s="5"/>
      <c r="M21" s="5"/>
      <c r="N21" s="5"/>
      <c r="O21" s="85"/>
      <c r="P21" s="85"/>
      <c r="Q21" s="85"/>
      <c r="R21" s="85"/>
      <c r="S21" s="85"/>
      <c r="T21" s="85"/>
      <c r="U21" s="85"/>
      <c r="V21" s="85"/>
      <c r="W21" s="85"/>
      <c r="X21" s="85"/>
      <c r="Y21" s="85"/>
      <c r="Z21" s="85"/>
      <c r="AA21" s="85"/>
      <c r="AB21" s="85"/>
      <c r="AC21" s="85"/>
      <c r="AD21" s="85"/>
      <c r="AE21" s="85"/>
      <c r="AF21" s="85"/>
      <c r="AG21" s="85"/>
      <c r="AH21" s="85"/>
      <c r="AI21" s="139"/>
      <c r="AJ21" s="139"/>
      <c r="AK21" s="139"/>
      <c r="AL21" s="139"/>
      <c r="AM21" s="139"/>
      <c r="AN21" s="139"/>
      <c r="AO21" s="139"/>
      <c r="AP21" s="139"/>
      <c r="AQ21" s="139"/>
      <c r="AR21" s="139"/>
      <c r="AS21" s="85"/>
      <c r="AT21" s="85"/>
      <c r="AU21" s="139"/>
      <c r="AV21" s="139"/>
      <c r="AW21" s="139"/>
      <c r="AX21" s="139"/>
      <c r="AY21" s="139"/>
      <c r="AZ21" s="139"/>
      <c r="BA21" s="139"/>
      <c r="BB21" s="139"/>
      <c r="BC21" s="85"/>
      <c r="BD21" s="85"/>
      <c r="BE21" s="139"/>
      <c r="BF21" s="139"/>
      <c r="BG21" s="139"/>
      <c r="BH21" s="139"/>
      <c r="BI21" s="139"/>
      <c r="BJ21" s="139"/>
      <c r="BK21" s="139"/>
      <c r="BL21" s="139"/>
      <c r="BM21" s="139"/>
      <c r="BN21" s="139"/>
      <c r="BO21" s="139"/>
      <c r="BP21" s="139"/>
      <c r="BQ21" s="85"/>
      <c r="BR21" s="139"/>
      <c r="BS21" s="139"/>
      <c r="BT21" s="139"/>
      <c r="BU21" s="139"/>
      <c r="BV21" s="139"/>
      <c r="BW21" s="139"/>
      <c r="BX21" s="264"/>
      <c r="BY21" s="264"/>
      <c r="BZ21" s="264"/>
      <c r="CA21" s="264"/>
      <c r="CB21" s="264"/>
      <c r="CC21" s="264"/>
      <c r="CD21" s="264"/>
      <c r="CE21" s="264"/>
    </row>
    <row r="22" spans="2:83" s="13" customFormat="1" ht="24.9" customHeight="1">
      <c r="B22" s="245"/>
      <c r="C22" s="5"/>
      <c r="D22" s="85"/>
      <c r="E22" s="85"/>
      <c r="F22" s="85"/>
      <c r="G22" s="85"/>
      <c r="H22" s="5"/>
      <c r="I22" s="5"/>
      <c r="J22" s="85"/>
      <c r="K22" s="85"/>
      <c r="L22" s="5"/>
      <c r="M22" s="5"/>
      <c r="N22" s="5"/>
      <c r="O22" s="85"/>
      <c r="P22" s="85"/>
      <c r="Q22" s="85"/>
      <c r="R22" s="85"/>
      <c r="S22" s="85"/>
      <c r="T22" s="85"/>
      <c r="U22" s="85"/>
      <c r="V22" s="85"/>
      <c r="W22" s="85"/>
      <c r="X22" s="85"/>
      <c r="Y22" s="85"/>
      <c r="Z22" s="85"/>
      <c r="AA22" s="85"/>
      <c r="AB22" s="85"/>
      <c r="AC22" s="85"/>
      <c r="AD22" s="85"/>
      <c r="AE22" s="85"/>
      <c r="AF22" s="85"/>
      <c r="AG22" s="85"/>
      <c r="AH22" s="85"/>
      <c r="AI22" s="139"/>
      <c r="AJ22" s="139"/>
      <c r="AK22" s="139"/>
      <c r="AL22" s="139"/>
      <c r="AM22" s="139"/>
      <c r="AN22" s="139"/>
      <c r="AO22" s="139"/>
      <c r="AP22" s="139"/>
      <c r="AQ22" s="139"/>
      <c r="AR22" s="139"/>
      <c r="AS22" s="85"/>
      <c r="AT22" s="85"/>
      <c r="AU22" s="139"/>
      <c r="AV22" s="139"/>
      <c r="AW22" s="139"/>
      <c r="AX22" s="139"/>
      <c r="AY22" s="139"/>
      <c r="AZ22" s="139"/>
      <c r="BA22" s="139"/>
      <c r="BB22" s="139"/>
      <c r="BC22" s="85"/>
      <c r="BD22" s="85"/>
      <c r="BE22" s="139"/>
      <c r="BF22" s="139"/>
      <c r="BG22" s="139"/>
      <c r="BH22" s="139"/>
      <c r="BI22" s="139"/>
      <c r="BJ22" s="139"/>
      <c r="BK22" s="139"/>
      <c r="BL22" s="139"/>
      <c r="BM22" s="139"/>
      <c r="BN22" s="139"/>
      <c r="BO22" s="139"/>
      <c r="BP22" s="139"/>
      <c r="BQ22" s="85"/>
      <c r="BR22" s="139"/>
      <c r="BS22" s="139"/>
      <c r="BT22" s="139"/>
      <c r="BU22" s="139"/>
      <c r="BV22" s="139"/>
      <c r="BW22" s="139"/>
      <c r="BX22" s="264"/>
      <c r="BY22" s="264"/>
      <c r="BZ22" s="264"/>
      <c r="CA22" s="264"/>
      <c r="CB22" s="264"/>
      <c r="CC22" s="264"/>
      <c r="CD22" s="264"/>
      <c r="CE22" s="264"/>
    </row>
    <row r="23" spans="2:83" s="13" customFormat="1" ht="24.9" customHeight="1">
      <c r="B23" s="245"/>
      <c r="C23" s="5"/>
      <c r="D23" s="85"/>
      <c r="E23" s="85"/>
      <c r="F23" s="85"/>
      <c r="G23" s="85"/>
      <c r="H23" s="5"/>
      <c r="I23" s="5"/>
      <c r="J23" s="85"/>
      <c r="K23" s="85"/>
      <c r="L23" s="5"/>
      <c r="M23" s="5"/>
      <c r="N23" s="5"/>
      <c r="O23" s="85"/>
      <c r="P23" s="85"/>
      <c r="Q23" s="85"/>
      <c r="R23" s="85"/>
      <c r="S23" s="85"/>
      <c r="T23" s="85"/>
      <c r="U23" s="85"/>
      <c r="V23" s="85"/>
      <c r="W23" s="85"/>
      <c r="X23" s="85"/>
      <c r="Y23" s="85"/>
      <c r="Z23" s="85"/>
      <c r="AA23" s="85"/>
      <c r="AB23" s="85"/>
      <c r="AC23" s="85"/>
      <c r="AD23" s="85"/>
      <c r="AE23" s="85"/>
      <c r="AF23" s="85"/>
      <c r="AG23" s="85"/>
      <c r="AH23" s="85"/>
      <c r="AI23" s="139"/>
      <c r="AJ23" s="139"/>
      <c r="AK23" s="139"/>
      <c r="AL23" s="139"/>
      <c r="AM23" s="139"/>
      <c r="AN23" s="139"/>
      <c r="AO23" s="139"/>
      <c r="AP23" s="139"/>
      <c r="AQ23" s="139"/>
      <c r="AR23" s="139"/>
      <c r="AS23" s="85"/>
      <c r="AT23" s="85"/>
      <c r="AU23" s="139"/>
      <c r="AV23" s="139"/>
      <c r="AW23" s="139"/>
      <c r="AX23" s="139"/>
      <c r="AY23" s="139"/>
      <c r="AZ23" s="139"/>
      <c r="BA23" s="139"/>
      <c r="BB23" s="139"/>
      <c r="BC23" s="85"/>
      <c r="BD23" s="85"/>
      <c r="BE23" s="139"/>
      <c r="BF23" s="139"/>
      <c r="BG23" s="139"/>
      <c r="BH23" s="139"/>
      <c r="BI23" s="139"/>
      <c r="BJ23" s="139"/>
      <c r="BK23" s="139"/>
      <c r="BL23" s="139"/>
      <c r="BM23" s="139"/>
      <c r="BN23" s="139"/>
      <c r="BO23" s="139"/>
      <c r="BP23" s="139"/>
      <c r="BQ23" s="85"/>
      <c r="BR23" s="139"/>
      <c r="BS23" s="139"/>
      <c r="BT23" s="139"/>
      <c r="BU23" s="139"/>
      <c r="BV23" s="139"/>
      <c r="BW23" s="139"/>
      <c r="BX23" s="264"/>
      <c r="BY23" s="264"/>
      <c r="BZ23" s="264"/>
      <c r="CA23" s="264"/>
      <c r="CB23" s="264"/>
      <c r="CC23" s="264"/>
      <c r="CD23" s="264"/>
      <c r="CE23" s="264"/>
    </row>
    <row r="24" spans="2:83" s="13" customFormat="1" ht="24.9" customHeight="1">
      <c r="B24" s="245"/>
      <c r="C24" s="5"/>
      <c r="D24" s="85"/>
      <c r="E24" s="85"/>
      <c r="F24" s="85"/>
      <c r="G24" s="85"/>
      <c r="H24" s="5"/>
      <c r="I24" s="5"/>
      <c r="J24" s="85"/>
      <c r="K24" s="85"/>
      <c r="L24" s="5"/>
      <c r="M24" s="5"/>
      <c r="N24" s="5"/>
      <c r="O24" s="85"/>
      <c r="P24" s="85"/>
      <c r="Q24" s="85"/>
      <c r="R24" s="85"/>
      <c r="S24" s="85"/>
      <c r="T24" s="85"/>
      <c r="U24" s="85"/>
      <c r="V24" s="85"/>
      <c r="W24" s="85"/>
      <c r="X24" s="85"/>
      <c r="Y24" s="85"/>
      <c r="Z24" s="85"/>
      <c r="AA24" s="85"/>
      <c r="AB24" s="85"/>
      <c r="AC24" s="85"/>
      <c r="AD24" s="85"/>
      <c r="AE24" s="85"/>
      <c r="AF24" s="85"/>
      <c r="AG24" s="85"/>
      <c r="AH24" s="85"/>
      <c r="AI24" s="139"/>
      <c r="AJ24" s="139"/>
      <c r="AK24" s="139"/>
      <c r="AL24" s="139"/>
      <c r="AM24" s="139"/>
      <c r="AN24" s="139"/>
      <c r="AO24" s="139"/>
      <c r="AP24" s="139"/>
      <c r="AQ24" s="139"/>
      <c r="AR24" s="139"/>
      <c r="AS24" s="85"/>
      <c r="AT24" s="85"/>
      <c r="AU24" s="139"/>
      <c r="AV24" s="139"/>
      <c r="AW24" s="139"/>
      <c r="AX24" s="139"/>
      <c r="AY24" s="139"/>
      <c r="AZ24" s="139"/>
      <c r="BA24" s="139"/>
      <c r="BB24" s="139"/>
      <c r="BC24" s="85"/>
      <c r="BD24" s="85"/>
      <c r="BE24" s="139"/>
      <c r="BF24" s="139"/>
      <c r="BG24" s="139"/>
      <c r="BH24" s="139"/>
      <c r="BI24" s="139"/>
      <c r="BJ24" s="139"/>
      <c r="BK24" s="139"/>
      <c r="BL24" s="139"/>
      <c r="BM24" s="139"/>
      <c r="BN24" s="139"/>
      <c r="BO24" s="139"/>
      <c r="BP24" s="139"/>
      <c r="BQ24" s="85"/>
      <c r="BR24" s="139"/>
      <c r="BS24" s="139"/>
      <c r="BT24" s="139"/>
      <c r="BU24" s="139"/>
      <c r="BV24" s="139"/>
      <c r="BW24" s="139"/>
      <c r="BX24" s="264"/>
      <c r="BY24" s="264"/>
      <c r="BZ24" s="264"/>
      <c r="CA24" s="264"/>
      <c r="CB24" s="264"/>
      <c r="CC24" s="264"/>
      <c r="CD24" s="264"/>
      <c r="CE24" s="264"/>
    </row>
    <row r="25" spans="2:83" s="13" customFormat="1" ht="24.9" customHeight="1">
      <c r="B25" s="245"/>
      <c r="C25" s="5"/>
      <c r="D25" s="85"/>
      <c r="E25" s="85"/>
      <c r="F25" s="85"/>
      <c r="G25" s="85"/>
      <c r="H25" s="5"/>
      <c r="I25" s="5"/>
      <c r="J25" s="85"/>
      <c r="K25" s="85"/>
      <c r="L25" s="5"/>
      <c r="M25" s="5"/>
      <c r="N25" s="5"/>
      <c r="O25" s="85"/>
      <c r="P25" s="85"/>
      <c r="Q25" s="85"/>
      <c r="R25" s="85"/>
      <c r="S25" s="85"/>
      <c r="T25" s="85"/>
      <c r="U25" s="85"/>
      <c r="V25" s="85"/>
      <c r="W25" s="85"/>
      <c r="X25" s="85"/>
      <c r="Y25" s="85"/>
      <c r="Z25" s="85"/>
      <c r="AA25" s="85"/>
      <c r="AB25" s="85"/>
      <c r="AC25" s="85"/>
      <c r="AD25" s="85"/>
      <c r="AE25" s="85"/>
      <c r="AF25" s="85"/>
      <c r="AG25" s="85"/>
      <c r="AH25" s="85"/>
      <c r="AI25" s="139"/>
      <c r="AJ25" s="139"/>
      <c r="AK25" s="139"/>
      <c r="AL25" s="139"/>
      <c r="AM25" s="139"/>
      <c r="AN25" s="139"/>
      <c r="AO25" s="139"/>
      <c r="AP25" s="139"/>
      <c r="AQ25" s="139"/>
      <c r="AR25" s="139"/>
      <c r="AS25" s="85"/>
      <c r="AT25" s="85"/>
      <c r="AU25" s="139"/>
      <c r="AV25" s="139"/>
      <c r="AW25" s="139"/>
      <c r="AX25" s="139"/>
      <c r="AY25" s="139"/>
      <c r="AZ25" s="139"/>
      <c r="BA25" s="139"/>
      <c r="BB25" s="139"/>
      <c r="BC25" s="85"/>
      <c r="BD25" s="85"/>
      <c r="BE25" s="139"/>
      <c r="BF25" s="139"/>
      <c r="BG25" s="139"/>
      <c r="BH25" s="139"/>
      <c r="BI25" s="139"/>
      <c r="BJ25" s="139"/>
      <c r="BK25" s="139"/>
      <c r="BL25" s="139"/>
      <c r="BM25" s="139"/>
      <c r="BN25" s="139"/>
      <c r="BO25" s="139"/>
      <c r="BP25" s="139"/>
      <c r="BQ25" s="85"/>
      <c r="BR25" s="139"/>
      <c r="BS25" s="139"/>
      <c r="BT25" s="139"/>
      <c r="BU25" s="139"/>
      <c r="BV25" s="139"/>
      <c r="BW25" s="139"/>
      <c r="BX25" s="264"/>
      <c r="BY25" s="264"/>
      <c r="BZ25" s="264"/>
      <c r="CA25" s="264"/>
      <c r="CB25" s="264"/>
      <c r="CC25" s="264"/>
      <c r="CD25" s="264"/>
      <c r="CE25" s="264"/>
    </row>
    <row r="26" spans="2:83" s="13" customFormat="1" ht="24.9" customHeight="1">
      <c r="B26" s="245"/>
      <c r="C26" s="5"/>
      <c r="D26" s="85"/>
      <c r="E26" s="85"/>
      <c r="F26" s="85"/>
      <c r="G26" s="85"/>
      <c r="H26" s="5"/>
      <c r="I26" s="5"/>
      <c r="J26" s="85"/>
      <c r="K26" s="85"/>
      <c r="L26" s="5"/>
      <c r="M26" s="5"/>
      <c r="N26" s="5"/>
      <c r="O26" s="85"/>
      <c r="P26" s="85"/>
      <c r="Q26" s="85"/>
      <c r="R26" s="85"/>
      <c r="S26" s="85"/>
      <c r="T26" s="85"/>
      <c r="U26" s="85"/>
      <c r="V26" s="85"/>
      <c r="W26" s="85"/>
      <c r="X26" s="85"/>
      <c r="Y26" s="85"/>
      <c r="Z26" s="85"/>
      <c r="AA26" s="85"/>
      <c r="AB26" s="85"/>
      <c r="AC26" s="85"/>
      <c r="AD26" s="85"/>
      <c r="AE26" s="85"/>
      <c r="AF26" s="85"/>
      <c r="AG26" s="85"/>
      <c r="AH26" s="85"/>
      <c r="AI26" s="139"/>
      <c r="AJ26" s="139"/>
      <c r="AK26" s="139"/>
      <c r="AL26" s="139"/>
      <c r="AM26" s="139"/>
      <c r="AN26" s="139"/>
      <c r="AO26" s="139"/>
      <c r="AP26" s="139"/>
      <c r="AQ26" s="139"/>
      <c r="AR26" s="139"/>
      <c r="AS26" s="85"/>
      <c r="AT26" s="85"/>
      <c r="AU26" s="139"/>
      <c r="AV26" s="139"/>
      <c r="AW26" s="139"/>
      <c r="AX26" s="139"/>
      <c r="AY26" s="139"/>
      <c r="AZ26" s="139"/>
      <c r="BA26" s="139"/>
      <c r="BB26" s="139"/>
      <c r="BC26" s="85"/>
      <c r="BD26" s="85"/>
      <c r="BE26" s="139"/>
      <c r="BF26" s="139"/>
      <c r="BG26" s="139"/>
      <c r="BH26" s="139"/>
      <c r="BI26" s="139"/>
      <c r="BJ26" s="139"/>
      <c r="BK26" s="139"/>
      <c r="BL26" s="139"/>
      <c r="BM26" s="139"/>
      <c r="BN26" s="139"/>
      <c r="BO26" s="139"/>
      <c r="BP26" s="139"/>
      <c r="BQ26" s="85"/>
      <c r="BR26" s="139"/>
      <c r="BS26" s="139"/>
      <c r="BT26" s="139"/>
      <c r="BU26" s="139"/>
      <c r="BV26" s="139"/>
      <c r="BW26" s="139"/>
      <c r="BX26" s="264"/>
      <c r="BY26" s="264"/>
      <c r="BZ26" s="264"/>
      <c r="CA26" s="264"/>
      <c r="CB26" s="264"/>
      <c r="CC26" s="264"/>
      <c r="CD26" s="264"/>
      <c r="CE26" s="264"/>
    </row>
    <row r="27" spans="2:83" s="13" customFormat="1" ht="24.9" customHeight="1">
      <c r="B27" s="245"/>
      <c r="C27" s="5"/>
      <c r="D27" s="85"/>
      <c r="E27" s="85"/>
      <c r="F27" s="85"/>
      <c r="G27" s="85"/>
      <c r="H27" s="5"/>
      <c r="I27" s="5"/>
      <c r="J27" s="85"/>
      <c r="K27" s="85"/>
      <c r="L27" s="5"/>
      <c r="M27" s="5"/>
      <c r="N27" s="5"/>
      <c r="O27" s="85"/>
      <c r="P27" s="85"/>
      <c r="Q27" s="85"/>
      <c r="R27" s="85"/>
      <c r="S27" s="85"/>
      <c r="T27" s="85"/>
      <c r="U27" s="85"/>
      <c r="V27" s="85"/>
      <c r="W27" s="85"/>
      <c r="X27" s="85"/>
      <c r="Y27" s="85"/>
      <c r="Z27" s="85"/>
      <c r="AA27" s="85"/>
      <c r="AB27" s="85"/>
      <c r="AC27" s="85"/>
      <c r="AD27" s="85"/>
      <c r="AE27" s="85"/>
      <c r="AF27" s="85"/>
      <c r="AG27" s="85"/>
      <c r="AH27" s="85"/>
      <c r="AI27" s="139"/>
      <c r="AJ27" s="139"/>
      <c r="AK27" s="139"/>
      <c r="AL27" s="139"/>
      <c r="AM27" s="139"/>
      <c r="AN27" s="139"/>
      <c r="AO27" s="139"/>
      <c r="AP27" s="139"/>
      <c r="AQ27" s="139"/>
      <c r="AR27" s="139"/>
      <c r="AS27" s="85"/>
      <c r="AT27" s="85"/>
      <c r="AU27" s="139"/>
      <c r="AV27" s="139"/>
      <c r="AW27" s="139"/>
      <c r="AX27" s="139"/>
      <c r="AY27" s="139"/>
      <c r="AZ27" s="139"/>
      <c r="BA27" s="139"/>
      <c r="BB27" s="139"/>
      <c r="BC27" s="85"/>
      <c r="BD27" s="85"/>
      <c r="BE27" s="139"/>
      <c r="BF27" s="139"/>
      <c r="BG27" s="139"/>
      <c r="BH27" s="139"/>
      <c r="BI27" s="139"/>
      <c r="BJ27" s="139"/>
      <c r="BK27" s="139"/>
      <c r="BL27" s="139"/>
      <c r="BM27" s="139"/>
      <c r="BN27" s="139"/>
      <c r="BO27" s="139"/>
      <c r="BP27" s="139"/>
      <c r="BQ27" s="85"/>
      <c r="BR27" s="139"/>
      <c r="BS27" s="139"/>
      <c r="BT27" s="139"/>
      <c r="BU27" s="139"/>
      <c r="BV27" s="139"/>
      <c r="BW27" s="139"/>
      <c r="BX27" s="264"/>
      <c r="BY27" s="264"/>
      <c r="BZ27" s="264"/>
      <c r="CA27" s="264"/>
      <c r="CB27" s="264"/>
      <c r="CC27" s="264"/>
      <c r="CD27" s="264"/>
      <c r="CE27" s="264"/>
    </row>
    <row r="28" spans="2:83" s="13" customFormat="1" ht="24.9" customHeight="1">
      <c r="B28" s="245"/>
      <c r="C28" s="5"/>
      <c r="D28" s="85"/>
      <c r="E28" s="85"/>
      <c r="F28" s="85"/>
      <c r="G28" s="85"/>
      <c r="H28" s="5"/>
      <c r="I28" s="5"/>
      <c r="J28" s="85"/>
      <c r="K28" s="85"/>
      <c r="L28" s="5"/>
      <c r="M28" s="5"/>
      <c r="N28" s="5"/>
      <c r="O28" s="85"/>
      <c r="P28" s="85"/>
      <c r="Q28" s="85"/>
      <c r="R28" s="85"/>
      <c r="S28" s="85"/>
      <c r="T28" s="85"/>
      <c r="U28" s="85"/>
      <c r="V28" s="85"/>
      <c r="W28" s="85"/>
      <c r="X28" s="85"/>
      <c r="Y28" s="85"/>
      <c r="Z28" s="85"/>
      <c r="AA28" s="85"/>
      <c r="AB28" s="85"/>
      <c r="AC28" s="85"/>
      <c r="AD28" s="85"/>
      <c r="AE28" s="85"/>
      <c r="AF28" s="85"/>
      <c r="AG28" s="85"/>
      <c r="AH28" s="85"/>
      <c r="AI28" s="139"/>
      <c r="AJ28" s="139"/>
      <c r="AK28" s="139"/>
      <c r="AL28" s="139"/>
      <c r="AM28" s="139"/>
      <c r="AN28" s="139"/>
      <c r="AO28" s="139"/>
      <c r="AP28" s="139"/>
      <c r="AQ28" s="139"/>
      <c r="AR28" s="139"/>
      <c r="AS28" s="85"/>
      <c r="AT28" s="85"/>
      <c r="AU28" s="139"/>
      <c r="AV28" s="139"/>
      <c r="AW28" s="139"/>
      <c r="AX28" s="139"/>
      <c r="AY28" s="139"/>
      <c r="AZ28" s="139"/>
      <c r="BA28" s="139"/>
      <c r="BB28" s="139"/>
      <c r="BC28" s="85"/>
      <c r="BD28" s="85"/>
      <c r="BE28" s="139"/>
      <c r="BF28" s="139"/>
      <c r="BG28" s="139"/>
      <c r="BH28" s="139"/>
      <c r="BI28" s="139"/>
      <c r="BJ28" s="139"/>
      <c r="BK28" s="139"/>
      <c r="BL28" s="139"/>
      <c r="BM28" s="139"/>
      <c r="BN28" s="139"/>
      <c r="BO28" s="139"/>
      <c r="BP28" s="139"/>
      <c r="BQ28" s="85"/>
      <c r="BR28" s="139"/>
      <c r="BS28" s="139"/>
      <c r="BT28" s="139"/>
      <c r="BU28" s="139"/>
      <c r="BV28" s="139"/>
      <c r="BW28" s="139"/>
      <c r="BX28" s="264"/>
      <c r="BY28" s="264"/>
      <c r="BZ28" s="264"/>
      <c r="CA28" s="264"/>
      <c r="CB28" s="264"/>
      <c r="CC28" s="264"/>
      <c r="CD28" s="264"/>
      <c r="CE28" s="264"/>
    </row>
    <row r="29" spans="2:83" s="13" customFormat="1" ht="24.9" customHeight="1">
      <c r="B29" s="245"/>
      <c r="C29" s="5"/>
      <c r="D29" s="85"/>
      <c r="E29" s="85"/>
      <c r="F29" s="85"/>
      <c r="G29" s="85"/>
      <c r="H29" s="5"/>
      <c r="I29" s="5"/>
      <c r="J29" s="85"/>
      <c r="K29" s="85"/>
      <c r="L29" s="5"/>
      <c r="M29" s="5"/>
      <c r="N29" s="5"/>
      <c r="O29" s="85"/>
      <c r="P29" s="85"/>
      <c r="Q29" s="85"/>
      <c r="R29" s="85"/>
      <c r="S29" s="85"/>
      <c r="T29" s="85"/>
      <c r="U29" s="85"/>
      <c r="V29" s="85"/>
      <c r="W29" s="85"/>
      <c r="X29" s="85"/>
      <c r="Y29" s="85"/>
      <c r="Z29" s="85"/>
      <c r="AA29" s="85"/>
      <c r="AB29" s="85"/>
      <c r="AC29" s="85"/>
      <c r="AD29" s="85"/>
      <c r="AE29" s="85"/>
      <c r="AF29" s="85"/>
      <c r="AG29" s="85"/>
      <c r="AH29" s="85"/>
      <c r="AI29" s="139"/>
      <c r="AJ29" s="139"/>
      <c r="AK29" s="139"/>
      <c r="AL29" s="139"/>
      <c r="AM29" s="139"/>
      <c r="AN29" s="139"/>
      <c r="AO29" s="139"/>
      <c r="AP29" s="139"/>
      <c r="AQ29" s="139"/>
      <c r="AR29" s="139"/>
      <c r="AS29" s="85"/>
      <c r="AT29" s="85"/>
      <c r="AU29" s="139"/>
      <c r="AV29" s="139"/>
      <c r="AW29" s="139"/>
      <c r="AX29" s="139"/>
      <c r="AY29" s="139"/>
      <c r="AZ29" s="139"/>
      <c r="BA29" s="139"/>
      <c r="BB29" s="139"/>
      <c r="BC29" s="85"/>
      <c r="BD29" s="85"/>
      <c r="BE29" s="139"/>
      <c r="BF29" s="139"/>
      <c r="BG29" s="139"/>
      <c r="BH29" s="139"/>
      <c r="BI29" s="139"/>
      <c r="BJ29" s="139"/>
      <c r="BK29" s="139"/>
      <c r="BL29" s="139"/>
      <c r="BM29" s="139"/>
      <c r="BN29" s="139"/>
      <c r="BO29" s="139"/>
      <c r="BP29" s="139"/>
      <c r="BQ29" s="85"/>
      <c r="BR29" s="139"/>
      <c r="BS29" s="139"/>
      <c r="BT29" s="139"/>
      <c r="BU29" s="139"/>
      <c r="BV29" s="139"/>
      <c r="BW29" s="139"/>
      <c r="BX29" s="264"/>
      <c r="BY29" s="264"/>
      <c r="BZ29" s="264"/>
      <c r="CA29" s="264"/>
      <c r="CB29" s="264"/>
      <c r="CC29" s="264"/>
      <c r="CD29" s="264"/>
      <c r="CE29" s="264"/>
    </row>
    <row r="30" spans="2:83" s="13" customFormat="1" ht="24.9" customHeight="1">
      <c r="B30" s="245"/>
      <c r="C30" s="5"/>
      <c r="D30" s="85"/>
      <c r="E30" s="85"/>
      <c r="F30" s="85"/>
      <c r="G30" s="85"/>
      <c r="H30" s="5"/>
      <c r="I30" s="5"/>
      <c r="J30" s="85"/>
      <c r="K30" s="85"/>
      <c r="L30" s="5"/>
      <c r="M30" s="5"/>
      <c r="N30" s="5"/>
      <c r="O30" s="85"/>
      <c r="P30" s="85"/>
      <c r="Q30" s="85"/>
      <c r="R30" s="85"/>
      <c r="S30" s="85"/>
      <c r="T30" s="85"/>
      <c r="U30" s="85"/>
      <c r="V30" s="85"/>
      <c r="W30" s="85"/>
      <c r="X30" s="85"/>
      <c r="Y30" s="85"/>
      <c r="Z30" s="85"/>
      <c r="AA30" s="85"/>
      <c r="AB30" s="85"/>
      <c r="AC30" s="85"/>
      <c r="AD30" s="85"/>
      <c r="AE30" s="85"/>
      <c r="AF30" s="85"/>
      <c r="AG30" s="85"/>
      <c r="AH30" s="85"/>
      <c r="AI30" s="139"/>
      <c r="AJ30" s="139"/>
      <c r="AK30" s="139"/>
      <c r="AL30" s="139"/>
      <c r="AM30" s="139"/>
      <c r="AN30" s="139"/>
      <c r="AO30" s="139"/>
      <c r="AP30" s="139"/>
      <c r="AQ30" s="139"/>
      <c r="AR30" s="139"/>
      <c r="AS30" s="85"/>
      <c r="AT30" s="85"/>
      <c r="AU30" s="139"/>
      <c r="AV30" s="139"/>
      <c r="AW30" s="139"/>
      <c r="AX30" s="139"/>
      <c r="AY30" s="139"/>
      <c r="AZ30" s="139"/>
      <c r="BA30" s="139"/>
      <c r="BB30" s="139"/>
      <c r="BC30" s="85"/>
      <c r="BD30" s="85"/>
      <c r="BE30" s="139"/>
      <c r="BF30" s="139"/>
      <c r="BG30" s="139"/>
      <c r="BH30" s="139"/>
      <c r="BI30" s="139"/>
      <c r="BJ30" s="139"/>
      <c r="BK30" s="139"/>
      <c r="BL30" s="139"/>
      <c r="BM30" s="139"/>
      <c r="BN30" s="139"/>
      <c r="BO30" s="139"/>
      <c r="BP30" s="139"/>
      <c r="BQ30" s="85"/>
      <c r="BR30" s="139"/>
      <c r="BS30" s="139"/>
      <c r="BT30" s="139"/>
      <c r="BU30" s="139"/>
      <c r="BV30" s="139"/>
      <c r="BW30" s="139"/>
      <c r="BX30" s="264"/>
      <c r="BY30" s="264"/>
      <c r="BZ30" s="264"/>
      <c r="CA30" s="264"/>
      <c r="CB30" s="264"/>
      <c r="CC30" s="264"/>
      <c r="CD30" s="264"/>
      <c r="CE30" s="264"/>
    </row>
    <row r="31" spans="2:83" s="13" customFormat="1" ht="24.9" customHeight="1">
      <c r="B31" s="245"/>
      <c r="C31" s="5"/>
      <c r="D31" s="85"/>
      <c r="E31" s="85"/>
      <c r="F31" s="85"/>
      <c r="G31" s="85"/>
      <c r="H31" s="5"/>
      <c r="I31" s="5"/>
      <c r="J31" s="85"/>
      <c r="K31" s="85"/>
      <c r="L31" s="5"/>
      <c r="M31" s="5"/>
      <c r="N31" s="5"/>
      <c r="O31" s="85"/>
      <c r="P31" s="85"/>
      <c r="Q31" s="85"/>
      <c r="R31" s="85"/>
      <c r="S31" s="85"/>
      <c r="T31" s="85"/>
      <c r="U31" s="85"/>
      <c r="V31" s="85"/>
      <c r="W31" s="85"/>
      <c r="X31" s="85"/>
      <c r="Y31" s="85"/>
      <c r="Z31" s="85"/>
      <c r="AA31" s="85"/>
      <c r="AB31" s="85"/>
      <c r="AC31" s="85"/>
      <c r="AD31" s="85"/>
      <c r="AE31" s="85"/>
      <c r="AF31" s="85"/>
      <c r="AG31" s="85"/>
      <c r="AH31" s="85"/>
      <c r="AI31" s="139"/>
      <c r="AJ31" s="139"/>
      <c r="AK31" s="139"/>
      <c r="AL31" s="139"/>
      <c r="AM31" s="139"/>
      <c r="AN31" s="139"/>
      <c r="AO31" s="139"/>
      <c r="AP31" s="139"/>
      <c r="AQ31" s="139"/>
      <c r="AR31" s="139"/>
      <c r="AS31" s="85"/>
      <c r="AT31" s="85"/>
      <c r="AU31" s="139"/>
      <c r="AV31" s="139"/>
      <c r="AW31" s="139"/>
      <c r="AX31" s="139"/>
      <c r="AY31" s="139"/>
      <c r="AZ31" s="139"/>
      <c r="BA31" s="139"/>
      <c r="BB31" s="139"/>
      <c r="BC31" s="85"/>
      <c r="BD31" s="85"/>
      <c r="BE31" s="139"/>
      <c r="BF31" s="139"/>
      <c r="BG31" s="139"/>
      <c r="BH31" s="139"/>
      <c r="BI31" s="139"/>
      <c r="BJ31" s="139"/>
      <c r="BK31" s="139"/>
      <c r="BL31" s="139"/>
      <c r="BM31" s="139"/>
      <c r="BN31" s="139"/>
      <c r="BO31" s="139"/>
      <c r="BP31" s="139"/>
      <c r="BQ31" s="85"/>
      <c r="BR31" s="139"/>
      <c r="BS31" s="139"/>
      <c r="BT31" s="139"/>
      <c r="BU31" s="139"/>
      <c r="BV31" s="139"/>
      <c r="BW31" s="139"/>
      <c r="BX31" s="264"/>
      <c r="BY31" s="264"/>
      <c r="BZ31" s="264"/>
      <c r="CA31" s="264"/>
      <c r="CB31" s="264"/>
      <c r="CC31" s="264"/>
      <c r="CD31" s="264"/>
      <c r="CE31" s="264"/>
    </row>
    <row r="32" spans="2:83" s="13" customFormat="1" ht="24.9" customHeight="1">
      <c r="B32" s="245"/>
      <c r="C32" s="5"/>
      <c r="D32" s="85"/>
      <c r="E32" s="85"/>
      <c r="F32" s="85"/>
      <c r="G32" s="85"/>
      <c r="H32" s="5"/>
      <c r="I32" s="5"/>
      <c r="J32" s="85"/>
      <c r="K32" s="85"/>
      <c r="L32" s="5"/>
      <c r="M32" s="5"/>
      <c r="N32" s="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85"/>
      <c r="Z32" s="85"/>
      <c r="AA32" s="85"/>
      <c r="AB32" s="85"/>
      <c r="AC32" s="85"/>
      <c r="AD32" s="85"/>
      <c r="AE32" s="85"/>
      <c r="AF32" s="85"/>
      <c r="AG32" s="85"/>
      <c r="AH32" s="85"/>
      <c r="AI32" s="139"/>
      <c r="AJ32" s="139"/>
      <c r="AK32" s="139"/>
      <c r="AL32" s="139"/>
      <c r="AM32" s="139"/>
      <c r="AN32" s="139"/>
      <c r="AO32" s="139"/>
      <c r="AP32" s="139"/>
      <c r="AQ32" s="139"/>
      <c r="AR32" s="139"/>
      <c r="AS32" s="85"/>
      <c r="AT32" s="85"/>
      <c r="AU32" s="139"/>
      <c r="AV32" s="139"/>
      <c r="AW32" s="139"/>
      <c r="AX32" s="139"/>
      <c r="AY32" s="139"/>
      <c r="AZ32" s="139"/>
      <c r="BA32" s="139"/>
      <c r="BB32" s="139"/>
      <c r="BC32" s="85"/>
      <c r="BD32" s="85"/>
      <c r="BE32" s="139"/>
      <c r="BF32" s="139"/>
      <c r="BG32" s="139"/>
      <c r="BH32" s="139"/>
      <c r="BI32" s="139"/>
      <c r="BJ32" s="139"/>
      <c r="BK32" s="139"/>
      <c r="BL32" s="139"/>
      <c r="BM32" s="139"/>
      <c r="BN32" s="139"/>
      <c r="BO32" s="139"/>
      <c r="BP32" s="139"/>
      <c r="BQ32" s="85"/>
      <c r="BR32" s="139"/>
      <c r="BS32" s="139"/>
      <c r="BT32" s="139"/>
      <c r="BU32" s="139"/>
      <c r="BV32" s="139"/>
      <c r="BW32" s="139"/>
      <c r="BX32" s="264"/>
      <c r="BY32" s="264"/>
      <c r="BZ32" s="264"/>
      <c r="CA32" s="264"/>
      <c r="CB32" s="264"/>
      <c r="CC32" s="264"/>
      <c r="CD32" s="264"/>
      <c r="CE32" s="264"/>
    </row>
    <row r="33" spans="2:83" s="13" customFormat="1" ht="24.9" customHeight="1">
      <c r="B33" s="245"/>
      <c r="C33" s="5"/>
      <c r="D33" s="85"/>
      <c r="E33" s="85"/>
      <c r="F33" s="85"/>
      <c r="G33" s="85"/>
      <c r="H33" s="5"/>
      <c r="I33" s="5"/>
      <c r="J33" s="85"/>
      <c r="K33" s="85"/>
      <c r="L33" s="5"/>
      <c r="M33" s="5"/>
      <c r="N33" s="5"/>
      <c r="O33" s="85"/>
      <c r="P33" s="85"/>
      <c r="Q33" s="85"/>
      <c r="R33" s="85"/>
      <c r="S33" s="85"/>
      <c r="T33" s="85"/>
      <c r="U33" s="85"/>
      <c r="V33" s="85"/>
      <c r="W33" s="85"/>
      <c r="X33" s="85"/>
      <c r="Y33" s="85"/>
      <c r="Z33" s="85"/>
      <c r="AA33" s="85"/>
      <c r="AB33" s="85"/>
      <c r="AC33" s="85"/>
      <c r="AD33" s="85"/>
      <c r="AE33" s="85"/>
      <c r="AF33" s="85"/>
      <c r="AG33" s="85"/>
      <c r="AH33" s="85"/>
      <c r="AI33" s="139"/>
      <c r="AJ33" s="139"/>
      <c r="AK33" s="139"/>
      <c r="AL33" s="139"/>
      <c r="AM33" s="139"/>
      <c r="AN33" s="139"/>
      <c r="AO33" s="139"/>
      <c r="AP33" s="139"/>
      <c r="AQ33" s="139"/>
      <c r="AR33" s="139"/>
      <c r="AS33" s="85"/>
      <c r="AT33" s="85"/>
      <c r="AU33" s="139"/>
      <c r="AV33" s="139"/>
      <c r="AW33" s="139"/>
      <c r="AX33" s="139"/>
      <c r="AY33" s="139"/>
      <c r="AZ33" s="139"/>
      <c r="BA33" s="139"/>
      <c r="BB33" s="139"/>
      <c r="BC33" s="85"/>
      <c r="BD33" s="85"/>
      <c r="BE33" s="139"/>
      <c r="BF33" s="139"/>
      <c r="BG33" s="139"/>
      <c r="BH33" s="139"/>
      <c r="BI33" s="139"/>
      <c r="BJ33" s="139"/>
      <c r="BK33" s="139"/>
      <c r="BL33" s="139"/>
      <c r="BM33" s="139"/>
      <c r="BN33" s="139"/>
      <c r="BO33" s="139"/>
      <c r="BP33" s="139"/>
      <c r="BQ33" s="85"/>
      <c r="BR33" s="139"/>
      <c r="BS33" s="139"/>
      <c r="BT33" s="139"/>
      <c r="BU33" s="139"/>
      <c r="BV33" s="139"/>
      <c r="BW33" s="139"/>
      <c r="BX33" s="264"/>
      <c r="BY33" s="264"/>
      <c r="BZ33" s="264"/>
      <c r="CA33" s="264"/>
      <c r="CB33" s="264"/>
      <c r="CC33" s="264"/>
      <c r="CD33" s="264"/>
      <c r="CE33" s="264"/>
    </row>
    <row r="34" spans="2:83" s="13" customFormat="1" ht="24.9" customHeight="1">
      <c r="B34" s="245"/>
      <c r="C34" s="5"/>
      <c r="D34" s="85"/>
      <c r="E34" s="85"/>
      <c r="F34" s="85"/>
      <c r="G34" s="85"/>
      <c r="H34" s="5"/>
      <c r="I34" s="5"/>
      <c r="J34" s="85"/>
      <c r="K34" s="85"/>
      <c r="L34" s="5"/>
      <c r="M34" s="5"/>
      <c r="N34" s="5"/>
      <c r="O34" s="85"/>
      <c r="P34" s="85"/>
      <c r="Q34" s="85"/>
      <c r="R34" s="85"/>
      <c r="S34" s="85"/>
      <c r="T34" s="85"/>
      <c r="U34" s="85"/>
      <c r="V34" s="85"/>
      <c r="W34" s="85"/>
      <c r="X34" s="85"/>
      <c r="Y34" s="85"/>
      <c r="Z34" s="85"/>
      <c r="AA34" s="85"/>
      <c r="AB34" s="85"/>
      <c r="AC34" s="85"/>
      <c r="AD34" s="85"/>
      <c r="AE34" s="85"/>
      <c r="AF34" s="85"/>
      <c r="AG34" s="85"/>
      <c r="AH34" s="85"/>
      <c r="AI34" s="139"/>
      <c r="AJ34" s="139"/>
      <c r="AK34" s="139"/>
      <c r="AL34" s="139"/>
      <c r="AM34" s="139"/>
      <c r="AN34" s="139"/>
      <c r="AO34" s="139"/>
      <c r="AP34" s="139"/>
      <c r="AQ34" s="139"/>
      <c r="AR34" s="139"/>
      <c r="AS34" s="85"/>
      <c r="AT34" s="85"/>
      <c r="AU34" s="139"/>
      <c r="AV34" s="139"/>
      <c r="AW34" s="139"/>
      <c r="AX34" s="139"/>
      <c r="AY34" s="139"/>
      <c r="AZ34" s="139"/>
      <c r="BA34" s="139"/>
      <c r="BB34" s="139"/>
      <c r="BC34" s="85"/>
      <c r="BD34" s="85"/>
      <c r="BE34" s="139"/>
      <c r="BF34" s="139"/>
      <c r="BG34" s="139"/>
      <c r="BH34" s="139"/>
      <c r="BI34" s="139"/>
      <c r="BJ34" s="139"/>
      <c r="BK34" s="139"/>
      <c r="BL34" s="139"/>
      <c r="BM34" s="139"/>
      <c r="BN34" s="139"/>
      <c r="BO34" s="139"/>
      <c r="BP34" s="139"/>
      <c r="BQ34" s="85"/>
      <c r="BR34" s="139"/>
      <c r="BS34" s="139"/>
      <c r="BT34" s="139"/>
      <c r="BU34" s="139"/>
      <c r="BV34" s="139"/>
      <c r="BW34" s="139"/>
      <c r="BX34" s="264"/>
      <c r="BY34" s="264"/>
      <c r="BZ34" s="264"/>
      <c r="CA34" s="264"/>
      <c r="CB34" s="264"/>
      <c r="CC34" s="264"/>
      <c r="CD34" s="264"/>
      <c r="CE34" s="264"/>
    </row>
    <row r="35" spans="2:83" s="13" customFormat="1" ht="24.9" customHeight="1">
      <c r="B35" s="245"/>
      <c r="C35" s="5"/>
      <c r="D35" s="85"/>
      <c r="E35" s="85"/>
      <c r="F35" s="85"/>
      <c r="G35" s="85"/>
      <c r="H35" s="5"/>
      <c r="I35" s="5"/>
      <c r="J35" s="85"/>
      <c r="K35" s="85"/>
      <c r="L35" s="5"/>
      <c r="M35" s="5"/>
      <c r="N35" s="5"/>
      <c r="O35" s="85"/>
      <c r="P35" s="85"/>
      <c r="Q35" s="85"/>
      <c r="R35" s="85"/>
      <c r="S35" s="85"/>
      <c r="T35" s="85"/>
      <c r="U35" s="85"/>
      <c r="V35" s="85"/>
      <c r="W35" s="85"/>
      <c r="X35" s="85"/>
      <c r="Y35" s="85"/>
      <c r="Z35" s="85"/>
      <c r="AA35" s="85"/>
      <c r="AB35" s="85"/>
      <c r="AC35" s="85"/>
      <c r="AD35" s="85"/>
      <c r="AE35" s="85"/>
      <c r="AF35" s="85"/>
      <c r="AG35" s="85"/>
      <c r="AH35" s="85"/>
      <c r="AI35" s="139"/>
      <c r="AJ35" s="139"/>
      <c r="AK35" s="139"/>
      <c r="AL35" s="139"/>
      <c r="AM35" s="139"/>
      <c r="AN35" s="139"/>
      <c r="AO35" s="139"/>
      <c r="AP35" s="139"/>
      <c r="AQ35" s="139"/>
      <c r="AR35" s="139"/>
      <c r="AS35" s="85"/>
      <c r="AT35" s="85"/>
      <c r="AU35" s="139"/>
      <c r="AV35" s="139"/>
      <c r="AW35" s="139"/>
      <c r="AX35" s="139"/>
      <c r="AY35" s="139"/>
      <c r="AZ35" s="139"/>
      <c r="BA35" s="139"/>
      <c r="BB35" s="139"/>
      <c r="BC35" s="85"/>
      <c r="BD35" s="85"/>
      <c r="BE35" s="139"/>
      <c r="BF35" s="139"/>
      <c r="BG35" s="139"/>
      <c r="BH35" s="139"/>
      <c r="BI35" s="139"/>
      <c r="BJ35" s="139"/>
      <c r="BK35" s="139"/>
      <c r="BL35" s="139"/>
      <c r="BM35" s="139"/>
      <c r="BN35" s="139"/>
      <c r="BO35" s="139"/>
      <c r="BP35" s="139"/>
      <c r="BQ35" s="85"/>
      <c r="BR35" s="139"/>
      <c r="BS35" s="139"/>
      <c r="BT35" s="139"/>
      <c r="BU35" s="139"/>
      <c r="BV35" s="139"/>
      <c r="BW35" s="139"/>
      <c r="BX35" s="264"/>
      <c r="BY35" s="264"/>
      <c r="BZ35" s="264"/>
      <c r="CA35" s="264"/>
      <c r="CB35" s="264"/>
      <c r="CC35" s="264"/>
      <c r="CD35" s="264"/>
      <c r="CE35" s="264"/>
    </row>
    <row r="36" spans="2:83" s="13" customFormat="1" ht="24.9" customHeight="1">
      <c r="B36" s="245"/>
      <c r="C36" s="5"/>
      <c r="D36" s="85"/>
      <c r="E36" s="85"/>
      <c r="F36" s="85"/>
      <c r="G36" s="85"/>
      <c r="H36" s="5"/>
      <c r="I36" s="5"/>
      <c r="J36" s="85"/>
      <c r="K36" s="85"/>
      <c r="L36" s="5"/>
      <c r="M36" s="5"/>
      <c r="N36" s="5"/>
      <c r="O36" s="85"/>
      <c r="P36" s="85"/>
      <c r="Q36" s="85"/>
      <c r="R36" s="85"/>
      <c r="S36" s="85"/>
      <c r="T36" s="85"/>
      <c r="U36" s="85"/>
      <c r="V36" s="85"/>
      <c r="W36" s="85"/>
      <c r="X36" s="85"/>
      <c r="Y36" s="85"/>
      <c r="Z36" s="85"/>
      <c r="AA36" s="85"/>
      <c r="AB36" s="85"/>
      <c r="AC36" s="85"/>
      <c r="AD36" s="85"/>
      <c r="AE36" s="85"/>
      <c r="AF36" s="85"/>
      <c r="AG36" s="85"/>
      <c r="AH36" s="85"/>
      <c r="AI36" s="139"/>
      <c r="AJ36" s="139"/>
      <c r="AK36" s="139"/>
      <c r="AL36" s="139"/>
      <c r="AM36" s="139"/>
      <c r="AN36" s="139"/>
      <c r="AO36" s="139"/>
      <c r="AP36" s="139"/>
      <c r="AQ36" s="139"/>
      <c r="AR36" s="139"/>
      <c r="AS36" s="85"/>
      <c r="AT36" s="85"/>
      <c r="AU36" s="139"/>
      <c r="AV36" s="139"/>
      <c r="AW36" s="139"/>
      <c r="AX36" s="139"/>
      <c r="AY36" s="139"/>
      <c r="AZ36" s="139"/>
      <c r="BA36" s="139"/>
      <c r="BB36" s="139"/>
      <c r="BC36" s="85"/>
      <c r="BD36" s="85"/>
      <c r="BE36" s="139"/>
      <c r="BF36" s="139"/>
      <c r="BG36" s="139"/>
      <c r="BH36" s="139"/>
      <c r="BI36" s="139"/>
      <c r="BJ36" s="139"/>
      <c r="BK36" s="139"/>
      <c r="BL36" s="139"/>
      <c r="BM36" s="139"/>
      <c r="BN36" s="139"/>
      <c r="BO36" s="139"/>
      <c r="BP36" s="139"/>
      <c r="BQ36" s="85"/>
      <c r="BR36" s="139"/>
      <c r="BS36" s="139"/>
      <c r="BT36" s="139"/>
      <c r="BU36" s="139"/>
      <c r="BV36" s="139"/>
      <c r="BW36" s="139"/>
      <c r="BX36" s="264"/>
      <c r="BY36" s="264"/>
      <c r="BZ36" s="264"/>
      <c r="CA36" s="264"/>
      <c r="CB36" s="264"/>
      <c r="CC36" s="264"/>
      <c r="CD36" s="264"/>
      <c r="CE36" s="264"/>
    </row>
    <row r="37" spans="2:83" s="13" customFormat="1" ht="24.9" customHeight="1">
      <c r="B37" s="245"/>
      <c r="C37" s="5"/>
      <c r="D37" s="85"/>
      <c r="E37" s="85"/>
      <c r="F37" s="85"/>
      <c r="G37" s="85"/>
      <c r="H37" s="5"/>
      <c r="I37" s="5"/>
      <c r="J37" s="85"/>
      <c r="K37" s="85"/>
      <c r="L37" s="5"/>
      <c r="M37" s="5"/>
      <c r="N37" s="5"/>
      <c r="O37" s="85"/>
      <c r="P37" s="85"/>
      <c r="Q37" s="85"/>
      <c r="R37" s="85"/>
      <c r="S37" s="85"/>
      <c r="T37" s="85"/>
      <c r="U37" s="85"/>
      <c r="V37" s="85"/>
      <c r="W37" s="85"/>
      <c r="X37" s="85"/>
      <c r="Y37" s="85"/>
      <c r="Z37" s="85"/>
      <c r="AA37" s="85"/>
      <c r="AB37" s="85"/>
      <c r="AC37" s="85"/>
      <c r="AD37" s="85"/>
      <c r="AE37" s="85"/>
      <c r="AF37" s="85"/>
      <c r="AG37" s="85"/>
      <c r="AH37" s="85"/>
      <c r="AI37" s="139"/>
      <c r="AJ37" s="139"/>
      <c r="AK37" s="139"/>
      <c r="AL37" s="139"/>
      <c r="AM37" s="139"/>
      <c r="AN37" s="139"/>
      <c r="AO37" s="139"/>
      <c r="AP37" s="139"/>
      <c r="AQ37" s="139"/>
      <c r="AR37" s="139"/>
      <c r="AS37" s="85"/>
      <c r="AT37" s="85"/>
      <c r="AU37" s="139"/>
      <c r="AV37" s="139"/>
      <c r="AW37" s="139"/>
      <c r="AX37" s="139"/>
      <c r="AY37" s="139"/>
      <c r="AZ37" s="139"/>
      <c r="BA37" s="139"/>
      <c r="BB37" s="139"/>
      <c r="BC37" s="85"/>
      <c r="BD37" s="85"/>
      <c r="BE37" s="139"/>
      <c r="BF37" s="139"/>
      <c r="BG37" s="139"/>
      <c r="BH37" s="139"/>
      <c r="BI37" s="139"/>
      <c r="BJ37" s="139"/>
      <c r="BK37" s="139"/>
      <c r="BL37" s="139"/>
      <c r="BM37" s="139"/>
      <c r="BN37" s="139"/>
      <c r="BO37" s="139"/>
      <c r="BP37" s="139"/>
      <c r="BQ37" s="85"/>
      <c r="BR37" s="139"/>
      <c r="BS37" s="139"/>
      <c r="BT37" s="139"/>
      <c r="BU37" s="139"/>
      <c r="BV37" s="139"/>
      <c r="BW37" s="139"/>
      <c r="BX37" s="264"/>
      <c r="BY37" s="264"/>
      <c r="BZ37" s="264"/>
      <c r="CA37" s="264"/>
      <c r="CB37" s="264"/>
      <c r="CC37" s="264"/>
      <c r="CD37" s="264"/>
      <c r="CE37" s="264"/>
    </row>
    <row r="38" spans="2:83" s="13" customFormat="1" ht="24.9" customHeight="1">
      <c r="B38" s="245"/>
      <c r="C38" s="5"/>
      <c r="D38" s="85"/>
      <c r="E38" s="85"/>
      <c r="F38" s="85"/>
      <c r="G38" s="85"/>
      <c r="H38" s="5"/>
      <c r="I38" s="5"/>
      <c r="J38" s="85"/>
      <c r="K38" s="85"/>
      <c r="L38" s="5"/>
      <c r="M38" s="5"/>
      <c r="N38" s="5"/>
      <c r="O38" s="85"/>
      <c r="P38" s="85"/>
      <c r="Q38" s="85"/>
      <c r="R38" s="85"/>
      <c r="S38" s="85"/>
      <c r="T38" s="85"/>
      <c r="U38" s="85"/>
      <c r="V38" s="85"/>
      <c r="W38" s="85"/>
      <c r="X38" s="85"/>
      <c r="Y38" s="85"/>
      <c r="Z38" s="85"/>
      <c r="AA38" s="85"/>
      <c r="AB38" s="85"/>
      <c r="AC38" s="85"/>
      <c r="AD38" s="85"/>
      <c r="AE38" s="85"/>
      <c r="AF38" s="85"/>
      <c r="AG38" s="85"/>
      <c r="AH38" s="85"/>
      <c r="AI38" s="139"/>
      <c r="AJ38" s="139"/>
      <c r="AK38" s="139"/>
      <c r="AL38" s="139"/>
      <c r="AM38" s="139"/>
      <c r="AN38" s="139"/>
      <c r="AO38" s="139"/>
      <c r="AP38" s="139"/>
      <c r="AQ38" s="139"/>
      <c r="AR38" s="139"/>
      <c r="AS38" s="85"/>
      <c r="AT38" s="85"/>
      <c r="AU38" s="139"/>
      <c r="AV38" s="139"/>
      <c r="AW38" s="139"/>
      <c r="AX38" s="139"/>
      <c r="AY38" s="139"/>
      <c r="AZ38" s="139"/>
      <c r="BA38" s="139"/>
      <c r="BB38" s="139"/>
      <c r="BC38" s="85"/>
      <c r="BD38" s="85"/>
      <c r="BE38" s="139"/>
      <c r="BF38" s="139"/>
      <c r="BG38" s="139"/>
      <c r="BH38" s="139"/>
      <c r="BI38" s="139"/>
      <c r="BJ38" s="139"/>
      <c r="BK38" s="139"/>
      <c r="BL38" s="139"/>
      <c r="BM38" s="139"/>
      <c r="BN38" s="139"/>
      <c r="BO38" s="139"/>
      <c r="BP38" s="139"/>
      <c r="BQ38" s="85"/>
      <c r="BR38" s="139"/>
      <c r="BS38" s="139"/>
      <c r="BT38" s="139"/>
      <c r="BU38" s="139"/>
      <c r="BV38" s="139"/>
      <c r="BW38" s="139"/>
      <c r="BX38" s="264"/>
      <c r="BY38" s="264"/>
      <c r="BZ38" s="264"/>
      <c r="CA38" s="264"/>
      <c r="CB38" s="264"/>
      <c r="CC38" s="264"/>
      <c r="CD38" s="264"/>
      <c r="CE38" s="264"/>
    </row>
    <row r="39" spans="2:83" s="13" customFormat="1" ht="24.9" customHeight="1">
      <c r="B39" s="245"/>
      <c r="C39" s="5"/>
      <c r="D39" s="85"/>
      <c r="E39" s="85"/>
      <c r="F39" s="85"/>
      <c r="G39" s="85"/>
      <c r="H39" s="5"/>
      <c r="I39" s="5"/>
      <c r="J39" s="85"/>
      <c r="K39" s="85"/>
      <c r="L39" s="5"/>
      <c r="M39" s="5"/>
      <c r="N39" s="5"/>
      <c r="O39" s="85"/>
      <c r="P39" s="85"/>
      <c r="Q39" s="85"/>
      <c r="R39" s="85"/>
      <c r="S39" s="85"/>
      <c r="T39" s="85"/>
      <c r="U39" s="85"/>
      <c r="V39" s="85"/>
      <c r="W39" s="85"/>
      <c r="X39" s="85"/>
      <c r="Y39" s="85"/>
      <c r="Z39" s="85"/>
      <c r="AA39" s="85"/>
      <c r="AB39" s="85"/>
      <c r="AC39" s="85"/>
      <c r="AD39" s="85"/>
      <c r="AE39" s="85"/>
      <c r="AF39" s="85"/>
      <c r="AG39" s="85"/>
      <c r="AH39" s="85"/>
      <c r="AI39" s="139"/>
      <c r="AJ39" s="139"/>
      <c r="AK39" s="139"/>
      <c r="AL39" s="139"/>
      <c r="AM39" s="139"/>
      <c r="AN39" s="139"/>
      <c r="AO39" s="139"/>
      <c r="AP39" s="139"/>
      <c r="AQ39" s="139"/>
      <c r="AR39" s="139"/>
      <c r="AS39" s="85"/>
      <c r="AT39" s="85"/>
      <c r="AU39" s="139"/>
      <c r="AV39" s="139"/>
      <c r="AW39" s="139"/>
      <c r="AX39" s="139"/>
      <c r="AY39" s="139"/>
      <c r="AZ39" s="139"/>
      <c r="BA39" s="139"/>
      <c r="BB39" s="139"/>
      <c r="BC39" s="85"/>
      <c r="BD39" s="85"/>
      <c r="BE39" s="139"/>
      <c r="BF39" s="139"/>
      <c r="BG39" s="139"/>
      <c r="BH39" s="139"/>
      <c r="BI39" s="139"/>
      <c r="BJ39" s="139"/>
      <c r="BK39" s="139"/>
      <c r="BL39" s="139"/>
      <c r="BM39" s="139"/>
      <c r="BN39" s="139"/>
      <c r="BO39" s="139"/>
      <c r="BP39" s="139"/>
      <c r="BQ39" s="85"/>
      <c r="BR39" s="139"/>
      <c r="BS39" s="139"/>
      <c r="BT39" s="139"/>
      <c r="BU39" s="139"/>
      <c r="BV39" s="139"/>
      <c r="BW39" s="139"/>
      <c r="BX39" s="264"/>
      <c r="BY39" s="264"/>
      <c r="BZ39" s="264"/>
      <c r="CA39" s="264"/>
      <c r="CB39" s="264"/>
      <c r="CC39" s="264"/>
      <c r="CD39" s="264"/>
      <c r="CE39" s="264"/>
    </row>
    <row r="40" spans="2:83" s="13" customFormat="1" ht="24.9" customHeight="1">
      <c r="B40" s="245"/>
      <c r="C40" s="5"/>
      <c r="D40" s="85"/>
      <c r="E40" s="85"/>
      <c r="F40" s="85"/>
      <c r="G40" s="85"/>
      <c r="H40" s="5"/>
      <c r="I40" s="5"/>
      <c r="J40" s="85"/>
      <c r="K40" s="85"/>
      <c r="L40" s="5"/>
      <c r="M40" s="5"/>
      <c r="N40" s="5"/>
      <c r="O40" s="85"/>
      <c r="P40" s="85"/>
      <c r="Q40" s="85"/>
      <c r="R40" s="85"/>
      <c r="S40" s="85"/>
      <c r="T40" s="85"/>
      <c r="U40" s="85"/>
      <c r="V40" s="85"/>
      <c r="W40" s="85"/>
      <c r="X40" s="85"/>
      <c r="Y40" s="85"/>
      <c r="Z40" s="85"/>
      <c r="AA40" s="85"/>
      <c r="AB40" s="85"/>
      <c r="AC40" s="85"/>
      <c r="AD40" s="85"/>
      <c r="AE40" s="85"/>
      <c r="AF40" s="85"/>
      <c r="AG40" s="85"/>
      <c r="AH40" s="85"/>
      <c r="AI40" s="139"/>
      <c r="AJ40" s="139"/>
      <c r="AK40" s="139"/>
      <c r="AL40" s="139"/>
      <c r="AM40" s="139"/>
      <c r="AN40" s="139"/>
      <c r="AO40" s="139"/>
      <c r="AP40" s="139"/>
      <c r="AQ40" s="139"/>
      <c r="AR40" s="139"/>
      <c r="AS40" s="85"/>
      <c r="AT40" s="85"/>
      <c r="AU40" s="139"/>
      <c r="AV40" s="139"/>
      <c r="AW40" s="139"/>
      <c r="AX40" s="139"/>
      <c r="AY40" s="139"/>
      <c r="AZ40" s="139"/>
      <c r="BA40" s="139"/>
      <c r="BB40" s="139"/>
      <c r="BC40" s="85"/>
      <c r="BD40" s="85"/>
      <c r="BE40" s="139"/>
      <c r="BF40" s="139"/>
      <c r="BG40" s="139"/>
      <c r="BH40" s="139"/>
      <c r="BI40" s="139"/>
      <c r="BJ40" s="139"/>
      <c r="BK40" s="139"/>
      <c r="BL40" s="139"/>
      <c r="BM40" s="139"/>
      <c r="BN40" s="139"/>
      <c r="BO40" s="139"/>
      <c r="BP40" s="139"/>
      <c r="BQ40" s="85"/>
      <c r="BR40" s="139"/>
      <c r="BS40" s="139"/>
      <c r="BT40" s="139"/>
      <c r="BU40" s="139"/>
      <c r="BV40" s="139"/>
      <c r="BW40" s="139"/>
      <c r="BX40" s="264"/>
      <c r="BY40" s="264"/>
      <c r="BZ40" s="264"/>
      <c r="CA40" s="264"/>
      <c r="CB40" s="264"/>
      <c r="CC40" s="264"/>
      <c r="CD40" s="264"/>
      <c r="CE40" s="264"/>
    </row>
    <row r="41" spans="2:83" s="13" customFormat="1" ht="24.9" customHeight="1">
      <c r="B41" s="245"/>
      <c r="C41" s="5"/>
      <c r="D41" s="85"/>
      <c r="E41" s="85"/>
      <c r="F41" s="85"/>
      <c r="G41" s="85"/>
      <c r="H41" s="5"/>
      <c r="I41" s="5"/>
      <c r="J41" s="85"/>
      <c r="K41" s="85"/>
      <c r="L41" s="5"/>
      <c r="M41" s="5"/>
      <c r="N41" s="5"/>
      <c r="O41" s="85"/>
      <c r="P41" s="85"/>
      <c r="Q41" s="85"/>
      <c r="R41" s="85"/>
      <c r="S41" s="85"/>
      <c r="T41" s="85"/>
      <c r="U41" s="85"/>
      <c r="V41" s="85"/>
      <c r="W41" s="85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139"/>
      <c r="AJ41" s="139"/>
      <c r="AK41" s="139"/>
      <c r="AL41" s="139"/>
      <c r="AM41" s="139"/>
      <c r="AN41" s="139"/>
      <c r="AO41" s="139"/>
      <c r="AP41" s="139"/>
      <c r="AQ41" s="139"/>
      <c r="AR41" s="139"/>
      <c r="AS41" s="85"/>
      <c r="AT41" s="85"/>
      <c r="AU41" s="139"/>
      <c r="AV41" s="139"/>
      <c r="AW41" s="139"/>
      <c r="AX41" s="139"/>
      <c r="AY41" s="139"/>
      <c r="AZ41" s="139"/>
      <c r="BA41" s="139"/>
      <c r="BB41" s="139"/>
      <c r="BC41" s="85"/>
      <c r="BD41" s="85"/>
      <c r="BE41" s="139"/>
      <c r="BF41" s="139"/>
      <c r="BG41" s="139"/>
      <c r="BH41" s="139"/>
      <c r="BI41" s="139"/>
      <c r="BJ41" s="139"/>
      <c r="BK41" s="139"/>
      <c r="BL41" s="139"/>
      <c r="BM41" s="139"/>
      <c r="BN41" s="139"/>
      <c r="BO41" s="139"/>
      <c r="BP41" s="139"/>
      <c r="BQ41" s="85"/>
      <c r="BR41" s="139"/>
      <c r="BS41" s="139"/>
      <c r="BT41" s="139"/>
      <c r="BU41" s="139"/>
      <c r="BV41" s="139"/>
      <c r="BW41" s="139"/>
      <c r="BX41" s="264"/>
      <c r="BY41" s="264"/>
      <c r="BZ41" s="264"/>
      <c r="CA41" s="264"/>
      <c r="CB41" s="264"/>
      <c r="CC41" s="264"/>
      <c r="CD41" s="264"/>
      <c r="CE41" s="264"/>
    </row>
    <row r="42" spans="2:83" s="13" customFormat="1" ht="24.9" customHeight="1">
      <c r="B42" s="245"/>
      <c r="C42" s="5"/>
      <c r="D42" s="85"/>
      <c r="E42" s="85"/>
      <c r="F42" s="85"/>
      <c r="G42" s="85"/>
      <c r="H42" s="5"/>
      <c r="I42" s="5"/>
      <c r="J42" s="85"/>
      <c r="K42" s="85"/>
      <c r="L42" s="5"/>
      <c r="M42" s="5"/>
      <c r="N42" s="5"/>
      <c r="O42" s="85"/>
      <c r="P42" s="85"/>
      <c r="Q42" s="85"/>
      <c r="R42" s="85"/>
      <c r="S42" s="85"/>
      <c r="T42" s="85"/>
      <c r="U42" s="85"/>
      <c r="V42" s="85"/>
      <c r="W42" s="85"/>
      <c r="X42" s="85"/>
      <c r="Y42" s="85"/>
      <c r="Z42" s="85"/>
      <c r="AA42" s="85"/>
      <c r="AB42" s="85"/>
      <c r="AC42" s="85"/>
      <c r="AD42" s="85"/>
      <c r="AE42" s="85"/>
      <c r="AF42" s="85"/>
      <c r="AG42" s="85"/>
      <c r="AH42" s="85"/>
      <c r="AI42" s="139"/>
      <c r="AJ42" s="139"/>
      <c r="AK42" s="139"/>
      <c r="AL42" s="139"/>
      <c r="AM42" s="139"/>
      <c r="AN42" s="139"/>
      <c r="AO42" s="139"/>
      <c r="AP42" s="139"/>
      <c r="AQ42" s="139"/>
      <c r="AR42" s="139"/>
      <c r="AS42" s="85"/>
      <c r="AT42" s="85"/>
      <c r="AU42" s="139"/>
      <c r="AV42" s="139"/>
      <c r="AW42" s="139"/>
      <c r="AX42" s="139"/>
      <c r="AY42" s="139"/>
      <c r="AZ42" s="139"/>
      <c r="BA42" s="139"/>
      <c r="BB42" s="139"/>
      <c r="BC42" s="85"/>
      <c r="BD42" s="85"/>
      <c r="BE42" s="139"/>
      <c r="BF42" s="139"/>
      <c r="BG42" s="139"/>
      <c r="BH42" s="139"/>
      <c r="BI42" s="139"/>
      <c r="BJ42" s="139"/>
      <c r="BK42" s="139"/>
      <c r="BL42" s="139"/>
      <c r="BM42" s="139"/>
      <c r="BN42" s="139"/>
      <c r="BO42" s="139"/>
      <c r="BP42" s="139"/>
      <c r="BQ42" s="85"/>
      <c r="BR42" s="139"/>
      <c r="BS42" s="139"/>
      <c r="BT42" s="139"/>
      <c r="BU42" s="139"/>
      <c r="BV42" s="139"/>
      <c r="BW42" s="139"/>
      <c r="BX42" s="264"/>
      <c r="BY42" s="264"/>
      <c r="BZ42" s="264"/>
      <c r="CA42" s="264"/>
      <c r="CB42" s="264"/>
      <c r="CC42" s="264"/>
      <c r="CD42" s="264"/>
      <c r="CE42" s="264"/>
    </row>
    <row r="43" spans="2:83" s="13" customFormat="1" ht="24.9" customHeight="1">
      <c r="B43" s="245"/>
      <c r="C43" s="5"/>
      <c r="D43" s="85"/>
      <c r="E43" s="85"/>
      <c r="F43" s="85"/>
      <c r="G43" s="85"/>
      <c r="H43" s="5"/>
      <c r="I43" s="5"/>
      <c r="J43" s="85"/>
      <c r="K43" s="85"/>
      <c r="L43" s="5"/>
      <c r="M43" s="5"/>
      <c r="N43" s="5"/>
      <c r="O43" s="85"/>
      <c r="P43" s="85"/>
      <c r="Q43" s="85"/>
      <c r="R43" s="85"/>
      <c r="S43" s="85"/>
      <c r="T43" s="85"/>
      <c r="U43" s="85"/>
      <c r="V43" s="85"/>
      <c r="W43" s="85"/>
      <c r="X43" s="85"/>
      <c r="Y43" s="85"/>
      <c r="Z43" s="85"/>
      <c r="AA43" s="85"/>
      <c r="AB43" s="85"/>
      <c r="AC43" s="85"/>
      <c r="AD43" s="85"/>
      <c r="AE43" s="85"/>
      <c r="AF43" s="85"/>
      <c r="AG43" s="85"/>
      <c r="AH43" s="85"/>
      <c r="AI43" s="139"/>
      <c r="AJ43" s="139"/>
      <c r="AK43" s="139"/>
      <c r="AL43" s="139"/>
      <c r="AM43" s="139"/>
      <c r="AN43" s="139"/>
      <c r="AO43" s="139"/>
      <c r="AP43" s="139"/>
      <c r="AQ43" s="139"/>
      <c r="AR43" s="139"/>
      <c r="AS43" s="85"/>
      <c r="AT43" s="85"/>
      <c r="AU43" s="139"/>
      <c r="AV43" s="139"/>
      <c r="AW43" s="139"/>
      <c r="AX43" s="139"/>
      <c r="AY43" s="139"/>
      <c r="AZ43" s="139"/>
      <c r="BA43" s="139"/>
      <c r="BB43" s="139"/>
      <c r="BC43" s="85"/>
      <c r="BD43" s="85"/>
      <c r="BE43" s="139"/>
      <c r="BF43" s="139"/>
      <c r="BG43" s="139"/>
      <c r="BH43" s="139"/>
      <c r="BI43" s="139"/>
      <c r="BJ43" s="139"/>
      <c r="BK43" s="139"/>
      <c r="BL43" s="139"/>
      <c r="BM43" s="139"/>
      <c r="BN43" s="139"/>
      <c r="BO43" s="139"/>
      <c r="BP43" s="139"/>
      <c r="BQ43" s="85"/>
      <c r="BR43" s="139"/>
      <c r="BS43" s="139"/>
      <c r="BT43" s="139"/>
      <c r="BU43" s="139"/>
      <c r="BV43" s="139"/>
      <c r="BW43" s="139"/>
      <c r="BX43" s="264"/>
      <c r="BY43" s="264"/>
      <c r="BZ43" s="264"/>
      <c r="CA43" s="264"/>
      <c r="CB43" s="264"/>
      <c r="CC43" s="264"/>
      <c r="CD43" s="264"/>
      <c r="CE43" s="264"/>
    </row>
    <row r="44" spans="2:83" s="13" customFormat="1" ht="24.9" customHeight="1">
      <c r="B44" s="245"/>
      <c r="C44" s="5"/>
      <c r="D44" s="85"/>
      <c r="E44" s="85"/>
      <c r="F44" s="85"/>
      <c r="G44" s="85"/>
      <c r="H44" s="5"/>
      <c r="I44" s="5"/>
      <c r="J44" s="85"/>
      <c r="K44" s="85"/>
      <c r="L44" s="5"/>
      <c r="M44" s="5"/>
      <c r="N44" s="5"/>
      <c r="O44" s="85"/>
      <c r="P44" s="85"/>
      <c r="Q44" s="85"/>
      <c r="R44" s="85"/>
      <c r="S44" s="85"/>
      <c r="T44" s="85"/>
      <c r="U44" s="85"/>
      <c r="V44" s="85"/>
      <c r="W44" s="85"/>
      <c r="X44" s="85"/>
      <c r="Y44" s="85"/>
      <c r="Z44" s="85"/>
      <c r="AA44" s="85"/>
      <c r="AB44" s="85"/>
      <c r="AC44" s="85"/>
      <c r="AD44" s="85"/>
      <c r="AE44" s="85"/>
      <c r="AF44" s="85"/>
      <c r="AG44" s="85"/>
      <c r="AH44" s="85"/>
      <c r="AI44" s="139"/>
      <c r="AJ44" s="139"/>
      <c r="AK44" s="139"/>
      <c r="AL44" s="139"/>
      <c r="AM44" s="139"/>
      <c r="AN44" s="139"/>
      <c r="AO44" s="139"/>
      <c r="AP44" s="139"/>
      <c r="AQ44" s="139"/>
      <c r="AR44" s="139"/>
      <c r="AS44" s="85"/>
      <c r="AT44" s="85"/>
      <c r="AU44" s="139"/>
      <c r="AV44" s="139"/>
      <c r="AW44" s="139"/>
      <c r="AX44" s="139"/>
      <c r="AY44" s="139"/>
      <c r="AZ44" s="139"/>
      <c r="BA44" s="139"/>
      <c r="BB44" s="139"/>
      <c r="BC44" s="85"/>
      <c r="BD44" s="85"/>
      <c r="BE44" s="139"/>
      <c r="BF44" s="139"/>
      <c r="BG44" s="139"/>
      <c r="BH44" s="139"/>
      <c r="BI44" s="139"/>
      <c r="BJ44" s="139"/>
      <c r="BK44" s="139"/>
      <c r="BL44" s="139"/>
      <c r="BM44" s="139"/>
      <c r="BN44" s="139"/>
      <c r="BO44" s="139"/>
      <c r="BP44" s="139"/>
      <c r="BQ44" s="85"/>
      <c r="BR44" s="139"/>
      <c r="BS44" s="139"/>
      <c r="BT44" s="139"/>
      <c r="BU44" s="139"/>
      <c r="BV44" s="139"/>
      <c r="BW44" s="139"/>
      <c r="BX44" s="264"/>
      <c r="BY44" s="264"/>
      <c r="BZ44" s="264"/>
      <c r="CA44" s="264"/>
      <c r="CB44" s="264"/>
      <c r="CC44" s="264"/>
      <c r="CD44" s="264"/>
      <c r="CE44" s="264"/>
    </row>
    <row r="45" spans="2:83" s="13" customFormat="1" ht="24.9" customHeight="1">
      <c r="B45" s="245"/>
      <c r="C45" s="5"/>
      <c r="D45" s="85"/>
      <c r="E45" s="85"/>
      <c r="F45" s="85"/>
      <c r="G45" s="85"/>
      <c r="H45" s="5"/>
      <c r="I45" s="5"/>
      <c r="J45" s="85"/>
      <c r="K45" s="85"/>
      <c r="L45" s="5"/>
      <c r="M45" s="5"/>
      <c r="N45" s="5"/>
      <c r="O45" s="85"/>
      <c r="P45" s="85"/>
      <c r="Q45" s="85"/>
      <c r="R45" s="85"/>
      <c r="S45" s="85"/>
      <c r="T45" s="85"/>
      <c r="U45" s="85"/>
      <c r="V45" s="85"/>
      <c r="W45" s="85"/>
      <c r="X45" s="85"/>
      <c r="Y45" s="85"/>
      <c r="Z45" s="85"/>
      <c r="AA45" s="85"/>
      <c r="AB45" s="85"/>
      <c r="AC45" s="85"/>
      <c r="AD45" s="85"/>
      <c r="AE45" s="85"/>
      <c r="AF45" s="85"/>
      <c r="AG45" s="85"/>
      <c r="AH45" s="85"/>
      <c r="AI45" s="139"/>
      <c r="AJ45" s="139"/>
      <c r="AK45" s="139"/>
      <c r="AL45" s="139"/>
      <c r="AM45" s="139"/>
      <c r="AN45" s="139"/>
      <c r="AO45" s="139"/>
      <c r="AP45" s="139"/>
      <c r="AQ45" s="139"/>
      <c r="AR45" s="139"/>
      <c r="AS45" s="85"/>
      <c r="AT45" s="85"/>
      <c r="AU45" s="139"/>
      <c r="AV45" s="139"/>
      <c r="AW45" s="139"/>
      <c r="AX45" s="139"/>
      <c r="AY45" s="139"/>
      <c r="AZ45" s="139"/>
      <c r="BA45" s="139"/>
      <c r="BB45" s="139"/>
      <c r="BC45" s="85"/>
      <c r="BD45" s="85"/>
      <c r="BE45" s="139"/>
      <c r="BF45" s="139"/>
      <c r="BG45" s="139"/>
      <c r="BH45" s="139"/>
      <c r="BI45" s="139"/>
      <c r="BJ45" s="139"/>
      <c r="BK45" s="139"/>
      <c r="BL45" s="139"/>
      <c r="BM45" s="139"/>
      <c r="BN45" s="139"/>
      <c r="BO45" s="139"/>
      <c r="BP45" s="139"/>
      <c r="BQ45" s="85"/>
      <c r="BR45" s="139"/>
      <c r="BS45" s="139"/>
      <c r="BT45" s="139"/>
      <c r="BU45" s="139"/>
      <c r="BV45" s="139"/>
      <c r="BW45" s="139"/>
      <c r="BX45" s="264"/>
      <c r="BY45" s="264"/>
      <c r="BZ45" s="264"/>
      <c r="CA45" s="264"/>
      <c r="CB45" s="264"/>
      <c r="CC45" s="264"/>
      <c r="CD45" s="264"/>
      <c r="CE45" s="264"/>
    </row>
    <row r="46" spans="2:83" s="13" customFormat="1" ht="24.9" customHeight="1">
      <c r="B46" s="245"/>
      <c r="C46" s="5"/>
      <c r="D46" s="85"/>
      <c r="E46" s="85"/>
      <c r="F46" s="85"/>
      <c r="G46" s="85"/>
      <c r="H46" s="5"/>
      <c r="I46" s="5"/>
      <c r="J46" s="85"/>
      <c r="K46" s="85"/>
      <c r="L46" s="5"/>
      <c r="M46" s="5"/>
      <c r="N46" s="5"/>
      <c r="O46" s="85"/>
      <c r="P46" s="85"/>
      <c r="Q46" s="85"/>
      <c r="R46" s="85"/>
      <c r="S46" s="85"/>
      <c r="T46" s="85"/>
      <c r="U46" s="85"/>
      <c r="V46" s="85"/>
      <c r="W46" s="85"/>
      <c r="X46" s="85"/>
      <c r="Y46" s="85"/>
      <c r="Z46" s="85"/>
      <c r="AA46" s="85"/>
      <c r="AB46" s="85"/>
      <c r="AC46" s="85"/>
      <c r="AD46" s="85"/>
      <c r="AE46" s="85"/>
      <c r="AF46" s="85"/>
      <c r="AG46" s="85"/>
      <c r="AH46" s="85"/>
      <c r="AI46" s="139"/>
      <c r="AJ46" s="139"/>
      <c r="AK46" s="139"/>
      <c r="AL46" s="139"/>
      <c r="AM46" s="139"/>
      <c r="AN46" s="139"/>
      <c r="AO46" s="139"/>
      <c r="AP46" s="139"/>
      <c r="AQ46" s="139"/>
      <c r="AR46" s="139"/>
      <c r="AS46" s="85"/>
      <c r="AT46" s="85"/>
      <c r="AU46" s="139"/>
      <c r="AV46" s="139"/>
      <c r="AW46" s="139"/>
      <c r="AX46" s="139"/>
      <c r="AY46" s="139"/>
      <c r="AZ46" s="139"/>
      <c r="BA46" s="139"/>
      <c r="BB46" s="139"/>
      <c r="BC46" s="85"/>
      <c r="BD46" s="85"/>
      <c r="BE46" s="139"/>
      <c r="BF46" s="139"/>
      <c r="BG46" s="139"/>
      <c r="BH46" s="139"/>
      <c r="BI46" s="139"/>
      <c r="BJ46" s="139"/>
      <c r="BK46" s="139"/>
      <c r="BL46" s="139"/>
      <c r="BM46" s="139"/>
      <c r="BN46" s="139"/>
      <c r="BO46" s="139"/>
      <c r="BP46" s="139"/>
      <c r="BQ46" s="85"/>
      <c r="BR46" s="139"/>
      <c r="BS46" s="139"/>
      <c r="BT46" s="139"/>
      <c r="BU46" s="139"/>
      <c r="BV46" s="139"/>
      <c r="BW46" s="139"/>
      <c r="BX46" s="264"/>
      <c r="BY46" s="264"/>
      <c r="BZ46" s="264"/>
      <c r="CA46" s="264"/>
      <c r="CB46" s="264"/>
      <c r="CC46" s="264"/>
      <c r="CD46" s="264"/>
      <c r="CE46" s="264"/>
    </row>
    <row r="47" spans="2:83" s="13" customFormat="1" ht="24.9" customHeight="1">
      <c r="B47" s="245"/>
      <c r="C47" s="5"/>
      <c r="D47" s="85"/>
      <c r="E47" s="85"/>
      <c r="F47" s="85"/>
      <c r="G47" s="85"/>
      <c r="H47" s="5"/>
      <c r="I47" s="5"/>
      <c r="J47" s="85"/>
      <c r="K47" s="85"/>
      <c r="L47" s="5"/>
      <c r="M47" s="5"/>
      <c r="N47" s="5"/>
      <c r="O47" s="85"/>
      <c r="P47" s="85"/>
      <c r="Q47" s="85"/>
      <c r="R47" s="85"/>
      <c r="S47" s="85"/>
      <c r="T47" s="85"/>
      <c r="U47" s="85"/>
      <c r="V47" s="85"/>
      <c r="W47" s="85"/>
      <c r="X47" s="85"/>
      <c r="Y47" s="85"/>
      <c r="Z47" s="85"/>
      <c r="AA47" s="85"/>
      <c r="AB47" s="85"/>
      <c r="AC47" s="85"/>
      <c r="AD47" s="85"/>
      <c r="AE47" s="85"/>
      <c r="AF47" s="85"/>
      <c r="AG47" s="85"/>
      <c r="AH47" s="85"/>
      <c r="AI47" s="139"/>
      <c r="AJ47" s="139"/>
      <c r="AK47" s="139"/>
      <c r="AL47" s="139"/>
      <c r="AM47" s="139"/>
      <c r="AN47" s="139"/>
      <c r="AO47" s="139"/>
      <c r="AP47" s="139"/>
      <c r="AQ47" s="139"/>
      <c r="AR47" s="139"/>
      <c r="AS47" s="85"/>
      <c r="AT47" s="85"/>
      <c r="AU47" s="139"/>
      <c r="AV47" s="139"/>
      <c r="AW47" s="139"/>
      <c r="AX47" s="139"/>
      <c r="AY47" s="139"/>
      <c r="AZ47" s="139"/>
      <c r="BA47" s="139"/>
      <c r="BB47" s="139"/>
      <c r="BC47" s="85"/>
      <c r="BD47" s="85"/>
      <c r="BE47" s="139"/>
      <c r="BF47" s="139"/>
      <c r="BG47" s="139"/>
      <c r="BH47" s="139"/>
      <c r="BI47" s="139"/>
      <c r="BJ47" s="139"/>
      <c r="BK47" s="139"/>
      <c r="BL47" s="139"/>
      <c r="BM47" s="139"/>
      <c r="BN47" s="139"/>
      <c r="BO47" s="139"/>
      <c r="BP47" s="139"/>
      <c r="BQ47" s="85"/>
      <c r="BR47" s="139"/>
      <c r="BS47" s="139"/>
      <c r="BT47" s="139"/>
      <c r="BU47" s="139"/>
      <c r="BV47" s="139"/>
      <c r="BW47" s="139"/>
      <c r="BX47" s="264"/>
      <c r="BY47" s="264"/>
      <c r="BZ47" s="264"/>
      <c r="CA47" s="264"/>
      <c r="CB47" s="264"/>
      <c r="CC47" s="264"/>
      <c r="CD47" s="264"/>
      <c r="CE47" s="264"/>
    </row>
    <row r="48" spans="2:83" s="13" customFormat="1" ht="24.9" customHeight="1">
      <c r="B48" s="245"/>
      <c r="C48" s="5"/>
      <c r="D48" s="85"/>
      <c r="E48" s="85"/>
      <c r="F48" s="85"/>
      <c r="G48" s="85"/>
      <c r="H48" s="5"/>
      <c r="I48" s="5"/>
      <c r="J48" s="85"/>
      <c r="K48" s="85"/>
      <c r="L48" s="5"/>
      <c r="M48" s="5"/>
      <c r="N48" s="5"/>
      <c r="O48" s="85"/>
      <c r="P48" s="85"/>
      <c r="Q48" s="85"/>
      <c r="R48" s="85"/>
      <c r="S48" s="85"/>
      <c r="T48" s="85"/>
      <c r="U48" s="85"/>
      <c r="V48" s="85"/>
      <c r="W48" s="85"/>
      <c r="X48" s="85"/>
      <c r="Y48" s="85"/>
      <c r="Z48" s="85"/>
      <c r="AA48" s="85"/>
      <c r="AB48" s="85"/>
      <c r="AC48" s="85"/>
      <c r="AD48" s="85"/>
      <c r="AE48" s="85"/>
      <c r="AF48" s="85"/>
      <c r="AG48" s="85"/>
      <c r="AH48" s="85"/>
      <c r="AI48" s="139"/>
      <c r="AJ48" s="139"/>
      <c r="AK48" s="139"/>
      <c r="AL48" s="139"/>
      <c r="AM48" s="139"/>
      <c r="AN48" s="139"/>
      <c r="AO48" s="139"/>
      <c r="AP48" s="139"/>
      <c r="AQ48" s="139"/>
      <c r="AR48" s="139"/>
      <c r="AS48" s="85"/>
      <c r="AT48" s="85"/>
      <c r="AU48" s="139"/>
      <c r="AV48" s="139"/>
      <c r="AW48" s="139"/>
      <c r="AX48" s="139"/>
      <c r="AY48" s="139"/>
      <c r="AZ48" s="139"/>
      <c r="BA48" s="139"/>
      <c r="BB48" s="139"/>
      <c r="BC48" s="85"/>
      <c r="BD48" s="85"/>
      <c r="BE48" s="139"/>
      <c r="BF48" s="139"/>
      <c r="BG48" s="139"/>
      <c r="BH48" s="139"/>
      <c r="BI48" s="139"/>
      <c r="BJ48" s="139"/>
      <c r="BK48" s="139"/>
      <c r="BL48" s="139"/>
      <c r="BM48" s="139"/>
      <c r="BN48" s="139"/>
      <c r="BO48" s="139"/>
      <c r="BP48" s="139"/>
      <c r="BQ48" s="85"/>
      <c r="BR48" s="139"/>
      <c r="BS48" s="139"/>
      <c r="BT48" s="139"/>
      <c r="BU48" s="139"/>
      <c r="BV48" s="139"/>
      <c r="BW48" s="139"/>
      <c r="BX48" s="264"/>
      <c r="BY48" s="264"/>
      <c r="BZ48" s="264"/>
      <c r="CA48" s="264"/>
      <c r="CB48" s="264"/>
      <c r="CC48" s="264"/>
      <c r="CD48" s="264"/>
      <c r="CE48" s="264"/>
    </row>
    <row r="49" spans="2:83" s="13" customFormat="1" ht="24.9" customHeight="1">
      <c r="B49" s="245"/>
      <c r="C49" s="5"/>
      <c r="D49" s="85"/>
      <c r="E49" s="85"/>
      <c r="F49" s="85"/>
      <c r="G49" s="85"/>
      <c r="H49" s="5"/>
      <c r="I49" s="5"/>
      <c r="J49" s="85"/>
      <c r="K49" s="85"/>
      <c r="L49" s="5"/>
      <c r="M49" s="5"/>
      <c r="N49" s="5"/>
      <c r="O49" s="85"/>
      <c r="P49" s="85"/>
      <c r="Q49" s="85"/>
      <c r="R49" s="85"/>
      <c r="S49" s="85"/>
      <c r="T49" s="85"/>
      <c r="U49" s="85"/>
      <c r="V49" s="85"/>
      <c r="W49" s="85"/>
      <c r="X49" s="85"/>
      <c r="Y49" s="85"/>
      <c r="Z49" s="85"/>
      <c r="AA49" s="85"/>
      <c r="AB49" s="85"/>
      <c r="AC49" s="85"/>
      <c r="AD49" s="85"/>
      <c r="AE49" s="85"/>
      <c r="AF49" s="85"/>
      <c r="AG49" s="85"/>
      <c r="AH49" s="85"/>
      <c r="AI49" s="139"/>
      <c r="AJ49" s="139"/>
      <c r="AK49" s="139"/>
      <c r="AL49" s="139"/>
      <c r="AM49" s="139"/>
      <c r="AN49" s="139"/>
      <c r="AO49" s="139"/>
      <c r="AP49" s="139"/>
      <c r="AQ49" s="139"/>
      <c r="AR49" s="139"/>
      <c r="AS49" s="85"/>
      <c r="AT49" s="85"/>
      <c r="AU49" s="139"/>
      <c r="AV49" s="139"/>
      <c r="AW49" s="139"/>
      <c r="AX49" s="139"/>
      <c r="AY49" s="139"/>
      <c r="AZ49" s="139"/>
      <c r="BA49" s="139"/>
      <c r="BB49" s="139"/>
      <c r="BC49" s="85"/>
      <c r="BD49" s="85"/>
      <c r="BE49" s="139"/>
      <c r="BF49" s="139"/>
      <c r="BG49" s="139"/>
      <c r="BH49" s="139"/>
      <c r="BI49" s="139"/>
      <c r="BJ49" s="139"/>
      <c r="BK49" s="139"/>
      <c r="BL49" s="139"/>
      <c r="BM49" s="139"/>
      <c r="BN49" s="139"/>
      <c r="BO49" s="139"/>
      <c r="BP49" s="139"/>
      <c r="BQ49" s="85"/>
      <c r="BR49" s="139"/>
      <c r="BS49" s="139"/>
      <c r="BT49" s="139"/>
      <c r="BU49" s="139"/>
      <c r="BV49" s="139"/>
      <c r="BW49" s="139"/>
      <c r="BX49" s="264"/>
      <c r="BY49" s="264"/>
      <c r="BZ49" s="264"/>
      <c r="CA49" s="264"/>
      <c r="CB49" s="264"/>
      <c r="CC49" s="264"/>
      <c r="CD49" s="264"/>
      <c r="CE49" s="264"/>
    </row>
    <row r="50" spans="2:83" s="13" customFormat="1" ht="24.9" customHeight="1">
      <c r="B50" s="245"/>
      <c r="C50" s="5"/>
      <c r="D50" s="85"/>
      <c r="E50" s="85"/>
      <c r="F50" s="85"/>
      <c r="G50" s="85"/>
      <c r="H50" s="5"/>
      <c r="I50" s="5"/>
      <c r="J50" s="85"/>
      <c r="K50" s="85"/>
      <c r="L50" s="5"/>
      <c r="M50" s="5"/>
      <c r="N50" s="5"/>
      <c r="O50" s="85"/>
      <c r="P50" s="85"/>
      <c r="Q50" s="85"/>
      <c r="R50" s="85"/>
      <c r="S50" s="85"/>
      <c r="T50" s="85"/>
      <c r="U50" s="85"/>
      <c r="V50" s="85"/>
      <c r="W50" s="85"/>
      <c r="X50" s="85"/>
      <c r="Y50" s="85"/>
      <c r="Z50" s="85"/>
      <c r="AA50" s="85"/>
      <c r="AB50" s="85"/>
      <c r="AC50" s="85"/>
      <c r="AD50" s="85"/>
      <c r="AE50" s="85"/>
      <c r="AF50" s="85"/>
      <c r="AG50" s="85"/>
      <c r="AH50" s="85"/>
      <c r="AI50" s="139"/>
      <c r="AJ50" s="139"/>
      <c r="AK50" s="139"/>
      <c r="AL50" s="139"/>
      <c r="AM50" s="139"/>
      <c r="AN50" s="139"/>
      <c r="AO50" s="139"/>
      <c r="AP50" s="139"/>
      <c r="AQ50" s="139"/>
      <c r="AR50" s="139"/>
      <c r="AS50" s="85"/>
      <c r="AT50" s="85"/>
      <c r="AU50" s="139"/>
      <c r="AV50" s="139"/>
      <c r="AW50" s="139"/>
      <c r="AX50" s="139"/>
      <c r="AY50" s="139"/>
      <c r="AZ50" s="139"/>
      <c r="BA50" s="139"/>
      <c r="BB50" s="139"/>
      <c r="BC50" s="85"/>
      <c r="BD50" s="85"/>
      <c r="BE50" s="139"/>
      <c r="BF50" s="139"/>
      <c r="BG50" s="139"/>
      <c r="BH50" s="139"/>
      <c r="BI50" s="139"/>
      <c r="BJ50" s="139"/>
      <c r="BK50" s="139"/>
      <c r="BL50" s="139"/>
      <c r="BM50" s="139"/>
      <c r="BN50" s="139"/>
      <c r="BO50" s="139"/>
      <c r="BP50" s="139"/>
      <c r="BQ50" s="85"/>
      <c r="BR50" s="139"/>
      <c r="BS50" s="139"/>
      <c r="BT50" s="139"/>
      <c r="BU50" s="139"/>
      <c r="BV50" s="139"/>
      <c r="BW50" s="139"/>
      <c r="BX50" s="264"/>
      <c r="BY50" s="264"/>
      <c r="BZ50" s="264"/>
      <c r="CA50" s="264"/>
      <c r="CB50" s="264"/>
      <c r="CC50" s="264"/>
      <c r="CD50" s="264"/>
      <c r="CE50" s="264"/>
    </row>
    <row r="51" spans="2:83" s="13" customFormat="1" ht="24.9" customHeight="1">
      <c r="B51" s="245"/>
      <c r="C51" s="5"/>
      <c r="D51" s="85"/>
      <c r="E51" s="85"/>
      <c r="F51" s="85"/>
      <c r="G51" s="85"/>
      <c r="H51" s="5"/>
      <c r="I51" s="5"/>
      <c r="J51" s="85"/>
      <c r="K51" s="85"/>
      <c r="L51" s="5"/>
      <c r="M51" s="5"/>
      <c r="N51" s="5"/>
      <c r="O51" s="85"/>
      <c r="P51" s="85"/>
      <c r="Q51" s="85"/>
      <c r="R51" s="85"/>
      <c r="S51" s="85"/>
      <c r="T51" s="85"/>
      <c r="U51" s="85"/>
      <c r="V51" s="85"/>
      <c r="W51" s="85"/>
      <c r="X51" s="85"/>
      <c r="Y51" s="85"/>
      <c r="Z51" s="85"/>
      <c r="AA51" s="85"/>
      <c r="AB51" s="85"/>
      <c r="AC51" s="85"/>
      <c r="AD51" s="85"/>
      <c r="AE51" s="85"/>
      <c r="AF51" s="85"/>
      <c r="AG51" s="85"/>
      <c r="AH51" s="85"/>
      <c r="AI51" s="139"/>
      <c r="AJ51" s="139"/>
      <c r="AK51" s="139"/>
      <c r="AL51" s="139"/>
      <c r="AM51" s="139"/>
      <c r="AN51" s="139"/>
      <c r="AO51" s="139"/>
      <c r="AP51" s="139"/>
      <c r="AQ51" s="139"/>
      <c r="AR51" s="139"/>
      <c r="AS51" s="85"/>
      <c r="AT51" s="85"/>
      <c r="AU51" s="139"/>
      <c r="AV51" s="139"/>
      <c r="AW51" s="139"/>
      <c r="AX51" s="139"/>
      <c r="AY51" s="139"/>
      <c r="AZ51" s="139"/>
      <c r="BA51" s="139"/>
      <c r="BB51" s="139"/>
      <c r="BC51" s="85"/>
      <c r="BD51" s="85"/>
      <c r="BE51" s="139"/>
      <c r="BF51" s="139"/>
      <c r="BG51" s="139"/>
      <c r="BH51" s="139"/>
      <c r="BI51" s="139"/>
      <c r="BJ51" s="139"/>
      <c r="BK51" s="139"/>
      <c r="BL51" s="139"/>
      <c r="BM51" s="139"/>
      <c r="BN51" s="139"/>
      <c r="BO51" s="139"/>
      <c r="BP51" s="139"/>
      <c r="BQ51" s="85"/>
      <c r="BR51" s="139"/>
      <c r="BS51" s="139"/>
      <c r="BT51" s="139"/>
      <c r="BU51" s="139"/>
      <c r="BV51" s="139"/>
      <c r="BW51" s="139"/>
      <c r="BX51" s="264"/>
      <c r="BY51" s="264"/>
      <c r="BZ51" s="264"/>
      <c r="CA51" s="264"/>
      <c r="CB51" s="264"/>
      <c r="CC51" s="264"/>
      <c r="CD51" s="264"/>
      <c r="CE51" s="264"/>
    </row>
    <row r="52" spans="2:83" s="13" customFormat="1" ht="18" customHeight="1">
      <c r="B52" s="245"/>
      <c r="C52" s="5"/>
      <c r="D52" s="85"/>
      <c r="E52" s="85"/>
      <c r="F52" s="85"/>
      <c r="G52" s="85"/>
      <c r="H52" s="5"/>
      <c r="I52" s="5"/>
      <c r="J52" s="85"/>
      <c r="K52" s="85"/>
      <c r="L52" s="5"/>
      <c r="M52" s="5"/>
      <c r="N52" s="5"/>
      <c r="O52" s="85"/>
      <c r="P52" s="85"/>
      <c r="Q52" s="85"/>
      <c r="R52" s="85"/>
      <c r="S52" s="85"/>
      <c r="T52" s="85"/>
      <c r="U52" s="85"/>
      <c r="V52" s="85"/>
      <c r="W52" s="85"/>
      <c r="X52" s="85"/>
      <c r="Y52" s="85"/>
      <c r="Z52" s="85"/>
      <c r="AA52" s="85"/>
      <c r="AB52" s="85"/>
      <c r="AC52" s="85"/>
      <c r="AD52" s="85"/>
      <c r="AE52" s="85"/>
      <c r="AF52" s="85"/>
      <c r="AG52" s="85"/>
      <c r="AH52" s="85"/>
      <c r="AI52" s="139"/>
      <c r="AJ52" s="139"/>
      <c r="AK52" s="139"/>
      <c r="AL52" s="139"/>
      <c r="AM52" s="139"/>
      <c r="AN52" s="139"/>
      <c r="AO52" s="139"/>
      <c r="AP52" s="139"/>
      <c r="AQ52" s="139"/>
      <c r="AR52" s="139"/>
      <c r="AS52" s="85"/>
      <c r="AT52" s="85"/>
      <c r="AU52" s="139"/>
      <c r="AV52" s="139"/>
      <c r="AW52" s="139"/>
      <c r="AX52" s="139"/>
      <c r="AY52" s="139"/>
      <c r="AZ52" s="139"/>
      <c r="BA52" s="139"/>
      <c r="BB52" s="139"/>
      <c r="BC52" s="85"/>
      <c r="BD52" s="85"/>
      <c r="BE52" s="139"/>
      <c r="BF52" s="139"/>
      <c r="BG52" s="139"/>
      <c r="BH52" s="139"/>
      <c r="BI52" s="139"/>
      <c r="BJ52" s="139"/>
      <c r="BK52" s="139"/>
      <c r="BL52" s="139"/>
      <c r="BM52" s="139"/>
      <c r="BN52" s="139"/>
      <c r="BO52" s="139"/>
      <c r="BP52" s="139"/>
      <c r="BQ52" s="85"/>
      <c r="BR52" s="139"/>
      <c r="BS52" s="139"/>
      <c r="BT52" s="139"/>
      <c r="BU52" s="139"/>
      <c r="BV52" s="139"/>
      <c r="BW52" s="139"/>
      <c r="BX52" s="264"/>
      <c r="BY52" s="264"/>
      <c r="BZ52" s="264"/>
      <c r="CA52" s="264"/>
      <c r="CB52" s="264"/>
      <c r="CC52" s="264"/>
      <c r="CD52" s="264"/>
      <c r="CE52" s="264"/>
    </row>
    <row r="65" spans="8:8">
      <c r="H65" s="5">
        <v>6</v>
      </c>
    </row>
  </sheetData>
  <mergeCells count="18">
    <mergeCell ref="AI6:AR6"/>
    <mergeCell ref="AS6:AT6"/>
    <mergeCell ref="AU6:BA6"/>
    <mergeCell ref="B6:F6"/>
    <mergeCell ref="G6:K6"/>
    <mergeCell ref="L6:N6"/>
    <mergeCell ref="O6:X6"/>
    <mergeCell ref="Y6:AH6"/>
    <mergeCell ref="BX5:CE5"/>
    <mergeCell ref="BX6:CA6"/>
    <mergeCell ref="CB6:CE6"/>
    <mergeCell ref="BC6:BD6"/>
    <mergeCell ref="BE6:BH6"/>
    <mergeCell ref="BI6:BP6"/>
    <mergeCell ref="BR6:BS6"/>
    <mergeCell ref="BT6:BW6"/>
    <mergeCell ref="BC5:BH5"/>
    <mergeCell ref="BQ5:BW5"/>
  </mergeCells>
  <pageMargins left="0.25" right="0.25" top="0.75" bottom="0.75" header="0.3" footer="0.3"/>
  <pageSetup paperSize="9" orientation="landscape" horizontalDpi="4294967292" verticalDpi="4294967292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3">
    <pageSetUpPr autoPageBreaks="0"/>
  </sheetPr>
  <dimension ref="B2:DJ34"/>
  <sheetViews>
    <sheetView topLeftCell="CT1" zoomScale="70" zoomScaleNormal="70" zoomScalePageLayoutView="70" workbookViewId="0">
      <selection activeCell="CZ18" sqref="CZ18"/>
    </sheetView>
  </sheetViews>
  <sheetFormatPr defaultColWidth="17.6640625" defaultRowHeight="18"/>
  <cols>
    <col min="1" max="1" width="17.6640625" style="12"/>
    <col min="2" max="2" width="26.44140625" style="273" customWidth="1"/>
    <col min="3" max="3" width="30.88671875" style="273" customWidth="1"/>
    <col min="4" max="4" width="27.44140625" style="273" customWidth="1"/>
    <col min="5" max="5" width="20.6640625" style="327" customWidth="1"/>
    <col min="6" max="6" width="20.6640625" style="273" customWidth="1"/>
    <col min="7" max="8" width="17.6640625" style="273"/>
    <col min="9" max="9" width="20.109375" style="273" bestFit="1" customWidth="1"/>
    <col min="10" max="10" width="17.6640625" style="327"/>
    <col min="11" max="11" width="42.44140625" style="327" bestFit="1" customWidth="1"/>
    <col min="12" max="13" width="17.6640625" style="273"/>
    <col min="14" max="14" width="19.6640625" style="273" customWidth="1"/>
    <col min="15" max="15" width="18" style="273" bestFit="1" customWidth="1"/>
    <col min="16" max="20" width="17.88671875" style="273" bestFit="1" customWidth="1"/>
    <col min="21" max="21" width="17.88671875" style="328" bestFit="1" customWidth="1"/>
    <col min="22" max="24" width="17.88671875" style="273" bestFit="1" customWidth="1"/>
    <col min="25" max="25" width="18" style="273" bestFit="1" customWidth="1"/>
    <col min="26" max="34" width="17.88671875" style="273" bestFit="1" customWidth="1"/>
    <col min="35" max="44" width="17.6640625" style="329"/>
    <col min="45" max="46" width="17.6640625" style="273"/>
    <col min="47" max="54" width="17.6640625" style="329"/>
    <col min="55" max="56" width="17.6640625" style="273"/>
    <col min="57" max="68" width="17.6640625" style="329"/>
    <col min="69" max="69" width="23.109375" style="273" customWidth="1"/>
    <col min="70" max="98" width="17.6640625" style="329"/>
    <col min="99" max="99" width="17.6640625" style="12"/>
    <col min="100" max="100" width="22" style="330" customWidth="1"/>
    <col min="101" max="103" width="17.6640625" style="330"/>
    <col min="104" max="104" width="14.88671875" style="330" bestFit="1" customWidth="1"/>
    <col min="105" max="105" width="14" style="330" bestFit="1" customWidth="1"/>
    <col min="106" max="106" width="14" style="330" customWidth="1"/>
    <col min="107" max="107" width="18.44140625" style="330" bestFit="1" customWidth="1"/>
    <col min="108" max="108" width="20.109375" style="330" bestFit="1" customWidth="1"/>
    <col min="109" max="110" width="14.33203125" style="330" customWidth="1"/>
    <col min="111" max="111" width="13.44140625" style="330" customWidth="1"/>
    <col min="112" max="114" width="17.88671875" style="330" bestFit="1" customWidth="1"/>
    <col min="115" max="16384" width="17.6640625" style="12"/>
  </cols>
  <sheetData>
    <row r="2" spans="2:114">
      <c r="B2" s="275" t="s">
        <v>379</v>
      </c>
    </row>
    <row r="3" spans="2:114">
      <c r="B3" s="276" t="s">
        <v>380</v>
      </c>
      <c r="DB3" s="16"/>
      <c r="DC3" s="16"/>
    </row>
    <row r="4" spans="2:114" ht="18.600000000000001" thickBot="1">
      <c r="B4" s="277" t="s">
        <v>499</v>
      </c>
      <c r="BC4" s="331" t="s">
        <v>403</v>
      </c>
      <c r="BQ4" s="331" t="s">
        <v>403</v>
      </c>
    </row>
    <row r="5" spans="2:114" ht="18.600000000000001" thickBot="1">
      <c r="K5" s="332" t="s">
        <v>378</v>
      </c>
      <c r="BC5" s="770" t="s">
        <v>330</v>
      </c>
      <c r="BD5" s="771"/>
      <c r="BE5" s="771"/>
      <c r="BF5" s="771"/>
      <c r="BG5" s="771"/>
      <c r="BH5" s="772"/>
      <c r="BQ5" s="776" t="s">
        <v>330</v>
      </c>
      <c r="BR5" s="777"/>
      <c r="BS5" s="777"/>
      <c r="BT5" s="777"/>
      <c r="BU5" s="777"/>
      <c r="BV5" s="777"/>
      <c r="BW5" s="778"/>
      <c r="DA5" s="330" t="s">
        <v>853</v>
      </c>
    </row>
    <row r="6" spans="2:114" ht="19.8" thickBot="1">
      <c r="B6" s="745" t="s">
        <v>436</v>
      </c>
      <c r="C6" s="746"/>
      <c r="D6" s="746"/>
      <c r="E6" s="746"/>
      <c r="F6" s="747"/>
      <c r="G6" s="745" t="s">
        <v>323</v>
      </c>
      <c r="H6" s="746"/>
      <c r="I6" s="746"/>
      <c r="J6" s="746"/>
      <c r="K6" s="747"/>
      <c r="L6" s="745" t="s">
        <v>325</v>
      </c>
      <c r="M6" s="746"/>
      <c r="N6" s="747"/>
      <c r="O6" s="745" t="s">
        <v>437</v>
      </c>
      <c r="P6" s="746"/>
      <c r="Q6" s="746"/>
      <c r="R6" s="746"/>
      <c r="S6" s="746"/>
      <c r="T6" s="746"/>
      <c r="U6" s="746"/>
      <c r="V6" s="746"/>
      <c r="W6" s="746"/>
      <c r="X6" s="747"/>
      <c r="Y6" s="745" t="s">
        <v>438</v>
      </c>
      <c r="Z6" s="746"/>
      <c r="AA6" s="746"/>
      <c r="AB6" s="746"/>
      <c r="AC6" s="746"/>
      <c r="AD6" s="746"/>
      <c r="AE6" s="746"/>
      <c r="AF6" s="746"/>
      <c r="AG6" s="746"/>
      <c r="AH6" s="747"/>
      <c r="AI6" s="742" t="s">
        <v>439</v>
      </c>
      <c r="AJ6" s="743"/>
      <c r="AK6" s="743"/>
      <c r="AL6" s="743"/>
      <c r="AM6" s="743"/>
      <c r="AN6" s="743"/>
      <c r="AO6" s="743"/>
      <c r="AP6" s="743"/>
      <c r="AQ6" s="743"/>
      <c r="AR6" s="744"/>
      <c r="AS6" s="746"/>
      <c r="AT6" s="746"/>
      <c r="AU6" s="742" t="s">
        <v>27</v>
      </c>
      <c r="AV6" s="743"/>
      <c r="AW6" s="743"/>
      <c r="AX6" s="743"/>
      <c r="AY6" s="743"/>
      <c r="AZ6" s="743"/>
      <c r="BA6" s="743"/>
      <c r="BB6" s="321"/>
      <c r="BC6" s="745" t="s">
        <v>402</v>
      </c>
      <c r="BD6" s="747"/>
      <c r="BE6" s="742" t="s">
        <v>26</v>
      </c>
      <c r="BF6" s="743"/>
      <c r="BG6" s="743"/>
      <c r="BH6" s="744"/>
      <c r="BI6" s="743" t="s">
        <v>116</v>
      </c>
      <c r="BJ6" s="743"/>
      <c r="BK6" s="743"/>
      <c r="BL6" s="743"/>
      <c r="BM6" s="743"/>
      <c r="BN6" s="743"/>
      <c r="BO6" s="743"/>
      <c r="BP6" s="743"/>
      <c r="BQ6" s="235" t="s">
        <v>411</v>
      </c>
      <c r="BR6" s="742" t="s">
        <v>467</v>
      </c>
      <c r="BS6" s="743"/>
      <c r="BT6" s="743" t="s">
        <v>468</v>
      </c>
      <c r="BU6" s="743"/>
      <c r="BV6" s="743"/>
      <c r="BW6" s="744"/>
      <c r="BX6" s="319"/>
      <c r="BY6" s="320"/>
      <c r="BZ6" s="743" t="s">
        <v>23</v>
      </c>
      <c r="CA6" s="743"/>
      <c r="CB6" s="743"/>
      <c r="CC6" s="744"/>
      <c r="CD6" s="742" t="s">
        <v>442</v>
      </c>
      <c r="CE6" s="743"/>
      <c r="CF6" s="743"/>
      <c r="CG6" s="743"/>
      <c r="CH6" s="743"/>
      <c r="CI6" s="743"/>
      <c r="CJ6" s="743"/>
      <c r="CK6" s="743"/>
      <c r="CL6" s="743"/>
      <c r="CM6" s="743"/>
      <c r="CN6" s="744"/>
      <c r="CO6" s="742" t="s">
        <v>226</v>
      </c>
      <c r="CP6" s="743"/>
      <c r="CQ6" s="743"/>
      <c r="CR6" s="743"/>
      <c r="CS6" s="743"/>
      <c r="CT6" s="744"/>
      <c r="CV6" s="764" t="s">
        <v>436</v>
      </c>
      <c r="CW6" s="765"/>
      <c r="CX6" s="766"/>
      <c r="CY6" s="324"/>
      <c r="CZ6" s="764" t="s">
        <v>777</v>
      </c>
      <c r="DA6" s="765"/>
      <c r="DB6" s="765"/>
      <c r="DC6" s="765"/>
      <c r="DD6" s="765"/>
      <c r="DE6" s="765"/>
      <c r="DF6" s="765"/>
      <c r="DG6" s="765"/>
      <c r="DH6" s="765"/>
      <c r="DI6" s="765"/>
      <c r="DJ6" s="766"/>
    </row>
    <row r="7" spans="2:114" ht="21.6" thickBot="1">
      <c r="B7" s="235" t="s">
        <v>339</v>
      </c>
      <c r="C7" s="236" t="s">
        <v>440</v>
      </c>
      <c r="D7" s="236" t="s">
        <v>441</v>
      </c>
      <c r="E7" s="333" t="s">
        <v>109</v>
      </c>
      <c r="F7" s="322" t="s">
        <v>113</v>
      </c>
      <c r="G7" s="334" t="s">
        <v>29</v>
      </c>
      <c r="H7" s="334" t="s">
        <v>0</v>
      </c>
      <c r="I7" s="334" t="s">
        <v>833</v>
      </c>
      <c r="J7" s="335" t="s">
        <v>321</v>
      </c>
      <c r="K7" s="335" t="s">
        <v>329</v>
      </c>
      <c r="L7" s="334" t="s">
        <v>111</v>
      </c>
      <c r="M7" s="334" t="s">
        <v>324</v>
      </c>
      <c r="N7" s="336" t="s">
        <v>112</v>
      </c>
      <c r="O7" s="337" t="s">
        <v>404</v>
      </c>
      <c r="P7" s="338" t="s">
        <v>405</v>
      </c>
      <c r="Q7" s="339" t="s">
        <v>400</v>
      </c>
      <c r="R7" s="338" t="s">
        <v>406</v>
      </c>
      <c r="S7" s="340" t="s">
        <v>407</v>
      </c>
      <c r="T7" s="278" t="s">
        <v>408</v>
      </c>
      <c r="U7" s="341" t="s">
        <v>399</v>
      </c>
      <c r="V7" s="342" t="s">
        <v>409</v>
      </c>
      <c r="W7" s="341" t="s">
        <v>398</v>
      </c>
      <c r="X7" s="343" t="s">
        <v>410</v>
      </c>
      <c r="Y7" s="337" t="s">
        <v>404</v>
      </c>
      <c r="Z7" s="338" t="s">
        <v>405</v>
      </c>
      <c r="AA7" s="339" t="s">
        <v>400</v>
      </c>
      <c r="AB7" s="338" t="s">
        <v>406</v>
      </c>
      <c r="AC7" s="340" t="s">
        <v>407</v>
      </c>
      <c r="AD7" s="278" t="s">
        <v>408</v>
      </c>
      <c r="AE7" s="341" t="s">
        <v>399</v>
      </c>
      <c r="AF7" s="342" t="s">
        <v>409</v>
      </c>
      <c r="AG7" s="341" t="s">
        <v>398</v>
      </c>
      <c r="AH7" s="343" t="s">
        <v>410</v>
      </c>
      <c r="AI7" s="344" t="s">
        <v>457</v>
      </c>
      <c r="AJ7" s="175" t="s">
        <v>458</v>
      </c>
      <c r="AK7" s="345" t="s">
        <v>459</v>
      </c>
      <c r="AL7" s="175" t="s">
        <v>460</v>
      </c>
      <c r="AM7" s="178" t="s">
        <v>461</v>
      </c>
      <c r="AN7" s="162" t="s">
        <v>462</v>
      </c>
      <c r="AO7" s="174" t="s">
        <v>463</v>
      </c>
      <c r="AP7" s="173" t="s">
        <v>464</v>
      </c>
      <c r="AQ7" s="174" t="s">
        <v>465</v>
      </c>
      <c r="AR7" s="176" t="s">
        <v>466</v>
      </c>
      <c r="AS7" s="236" t="s">
        <v>401</v>
      </c>
      <c r="AT7" s="346" t="s">
        <v>2</v>
      </c>
      <c r="AU7" s="347" t="s">
        <v>459</v>
      </c>
      <c r="AV7" s="348" t="s">
        <v>460</v>
      </c>
      <c r="AW7" s="347" t="s">
        <v>461</v>
      </c>
      <c r="AX7" s="348" t="s">
        <v>462</v>
      </c>
      <c r="AY7" s="347" t="s">
        <v>463</v>
      </c>
      <c r="AZ7" s="348" t="s">
        <v>464</v>
      </c>
      <c r="BA7" s="347" t="s">
        <v>465</v>
      </c>
      <c r="BB7" s="349" t="s">
        <v>466</v>
      </c>
      <c r="BC7" s="350" t="s">
        <v>399</v>
      </c>
      <c r="BD7" s="351" t="s">
        <v>400</v>
      </c>
      <c r="BE7" s="352" t="s">
        <v>463</v>
      </c>
      <c r="BF7" s="320" t="s">
        <v>464</v>
      </c>
      <c r="BG7" s="353" t="s">
        <v>459</v>
      </c>
      <c r="BH7" s="321" t="s">
        <v>460</v>
      </c>
      <c r="BI7" s="353" t="s">
        <v>457</v>
      </c>
      <c r="BJ7" s="320" t="s">
        <v>458</v>
      </c>
      <c r="BK7" s="353" t="s">
        <v>459</v>
      </c>
      <c r="BL7" s="320" t="s">
        <v>460</v>
      </c>
      <c r="BM7" s="353" t="s">
        <v>461</v>
      </c>
      <c r="BN7" s="320" t="s">
        <v>462</v>
      </c>
      <c r="BO7" s="353" t="s">
        <v>465</v>
      </c>
      <c r="BP7" s="320" t="s">
        <v>466</v>
      </c>
      <c r="BQ7" s="354" t="s">
        <v>398</v>
      </c>
      <c r="BR7" s="355" t="s">
        <v>469</v>
      </c>
      <c r="BS7" s="356" t="s">
        <v>470</v>
      </c>
      <c r="BT7" s="353" t="s">
        <v>471</v>
      </c>
      <c r="BU7" s="320" t="s">
        <v>472</v>
      </c>
      <c r="BV7" s="356" t="s">
        <v>473</v>
      </c>
      <c r="BW7" s="357" t="s">
        <v>474</v>
      </c>
      <c r="BX7" s="358" t="s">
        <v>483</v>
      </c>
      <c r="BY7" s="359" t="s">
        <v>484</v>
      </c>
      <c r="BZ7" s="359" t="s">
        <v>485</v>
      </c>
      <c r="CA7" s="359" t="s">
        <v>486</v>
      </c>
      <c r="CB7" s="359" t="s">
        <v>487</v>
      </c>
      <c r="CC7" s="359" t="s">
        <v>488</v>
      </c>
      <c r="CD7" s="360" t="s">
        <v>18</v>
      </c>
      <c r="CE7" s="348" t="s">
        <v>127</v>
      </c>
      <c r="CF7" s="348" t="s">
        <v>489</v>
      </c>
      <c r="CG7" s="348" t="s">
        <v>490</v>
      </c>
      <c r="CH7" s="348" t="s">
        <v>491</v>
      </c>
      <c r="CI7" s="348" t="s">
        <v>492</v>
      </c>
      <c r="CJ7" s="348" t="s">
        <v>643</v>
      </c>
      <c r="CK7" s="225" t="s">
        <v>63</v>
      </c>
      <c r="CL7" s="225" t="s">
        <v>64</v>
      </c>
      <c r="CM7" s="225" t="s">
        <v>65</v>
      </c>
      <c r="CN7" s="226" t="s">
        <v>209</v>
      </c>
      <c r="CO7" s="319" t="s">
        <v>493</v>
      </c>
      <c r="CP7" s="320" t="s">
        <v>494</v>
      </c>
      <c r="CQ7" s="320" t="s">
        <v>495</v>
      </c>
      <c r="CR7" s="320" t="s">
        <v>496</v>
      </c>
      <c r="CS7" s="320" t="s">
        <v>497</v>
      </c>
      <c r="CT7" s="321" t="s">
        <v>498</v>
      </c>
      <c r="CV7" s="323" t="s">
        <v>776</v>
      </c>
      <c r="CW7" s="324" t="s">
        <v>29</v>
      </c>
      <c r="CX7" s="325" t="s">
        <v>0</v>
      </c>
      <c r="CY7" s="324" t="s">
        <v>908</v>
      </c>
      <c r="CZ7" s="323" t="s">
        <v>18</v>
      </c>
      <c r="DA7" s="324" t="s">
        <v>127</v>
      </c>
      <c r="DB7" s="324" t="s">
        <v>852</v>
      </c>
      <c r="DC7" s="324" t="s">
        <v>778</v>
      </c>
      <c r="DD7" s="324" t="s">
        <v>779</v>
      </c>
      <c r="DE7" s="361" t="s">
        <v>796</v>
      </c>
      <c r="DF7" s="361" t="s">
        <v>797</v>
      </c>
      <c r="DG7" s="209" t="s">
        <v>63</v>
      </c>
      <c r="DH7" s="209" t="s">
        <v>64</v>
      </c>
      <c r="DI7" s="209" t="s">
        <v>65</v>
      </c>
      <c r="DJ7" s="254" t="s">
        <v>209</v>
      </c>
    </row>
    <row r="8" spans="2:114" ht="18" customHeight="1">
      <c r="B8" s="273" t="s">
        <v>892</v>
      </c>
      <c r="C8" s="273">
        <f>0.91/1000</f>
        <v>9.1E-4</v>
      </c>
      <c r="D8" s="389">
        <f t="shared" ref="D8:D16" si="0">C8*0.5%</f>
        <v>4.5500000000000005E-6</v>
      </c>
      <c r="E8" s="327">
        <v>44705</v>
      </c>
      <c r="F8" s="273" t="s">
        <v>210</v>
      </c>
      <c r="G8" s="273" t="s">
        <v>893</v>
      </c>
      <c r="H8" s="273">
        <v>1</v>
      </c>
      <c r="I8" s="273">
        <v>3</v>
      </c>
      <c r="J8" s="327">
        <v>44644</v>
      </c>
      <c r="K8" s="273" t="s">
        <v>823</v>
      </c>
      <c r="L8" s="273" t="s">
        <v>854</v>
      </c>
      <c r="M8" s="273" t="s">
        <v>855</v>
      </c>
      <c r="N8" s="445">
        <v>110</v>
      </c>
      <c r="O8" s="328">
        <v>46766.293577999997</v>
      </c>
      <c r="P8" s="68">
        <v>4.1494450000000001</v>
      </c>
      <c r="Q8" s="328">
        <v>271.51496200000003</v>
      </c>
      <c r="R8" s="68">
        <v>0.170905</v>
      </c>
      <c r="S8" s="328">
        <v>1268.4146009999999</v>
      </c>
      <c r="T8" s="68">
        <v>0.42462800000000001</v>
      </c>
      <c r="U8" s="328">
        <v>266.04553499999997</v>
      </c>
      <c r="V8" s="68">
        <v>0.14077200000000001</v>
      </c>
      <c r="W8" s="328">
        <v>1.8181099999999999</v>
      </c>
      <c r="X8" s="420">
        <v>5.9998999999999997E-2</v>
      </c>
      <c r="Y8" s="328">
        <v>9.8836999999999993</v>
      </c>
      <c r="Z8" s="328">
        <v>0.16880000000000001</v>
      </c>
      <c r="AA8" s="328">
        <v>0.23100000000000001</v>
      </c>
      <c r="AB8" s="328">
        <v>4.3999999999999997E-2</v>
      </c>
      <c r="AC8" s="328">
        <v>3.6658999999999997E-2</v>
      </c>
      <c r="AD8" s="328">
        <v>6.3649999999999998E-2</v>
      </c>
      <c r="AE8" s="328">
        <v>8.2739999999999994E-2</v>
      </c>
      <c r="AF8" s="328">
        <v>3.6600000000000001E-2</v>
      </c>
      <c r="AG8" s="328">
        <v>1.1117999999999999</v>
      </c>
      <c r="AH8" s="328">
        <v>0.14000000000000001</v>
      </c>
      <c r="AI8" s="362">
        <f t="shared" ref="AI8:AI16" si="1">Ar40Raw-Ar40Blank</f>
        <v>46756.409877999999</v>
      </c>
      <c r="AJ8" s="362">
        <f t="shared" ref="AJ8:AJ16" si="2">SQRT(Ar40Blankerr^2+Ar40Rawerr^2)</f>
        <v>4.1528769844560767</v>
      </c>
      <c r="AK8" s="362">
        <f t="shared" ref="AK8:AK16" si="3">Ar39Raw-Ar39Blank</f>
        <v>271.28396200000003</v>
      </c>
      <c r="AL8" s="362">
        <f t="shared" ref="AL8:AL16" si="4">SQRT(Ar39Blankerr^2+Ar39Rawerr^2)</f>
        <v>0.17647809786202934</v>
      </c>
      <c r="AM8" s="362">
        <f t="shared" ref="AM8:AM16" si="5">Ar38Raw-Ar38Blank</f>
        <v>1268.3779419999998</v>
      </c>
      <c r="AN8" s="362">
        <f t="shared" ref="AN8:AN16" si="6">SQRT(Ar38Blankerr^2+Ar38Rawerr^2)</f>
        <v>0.42937193769970577</v>
      </c>
      <c r="AO8" s="362">
        <f t="shared" ref="AO8:AO16" si="7">Ar37Raw-Ar37Blank</f>
        <v>265.96279499999997</v>
      </c>
      <c r="AP8" s="362">
        <f t="shared" ref="AP8:AP16" si="8">SQRT(Ar37Blankerr^2+Ar37Rawerr^2)</f>
        <v>0.14545210890186502</v>
      </c>
      <c r="AQ8" s="362">
        <f t="shared" ref="AQ8:AQ16" si="9">Ar36Raw-Ar36Blank</f>
        <v>0.70630999999999999</v>
      </c>
      <c r="AR8" s="362">
        <f t="shared" ref="AR8:AR16" si="10">SQRT(Ar36Blankerr^2+Ar36Rawerr^2)</f>
        <v>0.15231506820075288</v>
      </c>
      <c r="AS8" s="273">
        <v>301.3</v>
      </c>
      <c r="AT8" s="273">
        <v>0.9</v>
      </c>
      <c r="AU8" s="363">
        <f t="shared" ref="AU8:AU16" si="11">Ar39BC*(1+(Ar4036_Aircal/Ar4036_Air-1)/4)</f>
        <v>272.61513541759729</v>
      </c>
      <c r="AV8" s="363">
        <f t="shared" ref="AV8:AV16" si="12">SQRT(Ar39BCerr^2+(Ar39BC*(Ar4036_Aircal/Ar4036_Air-1)/4)^2*((Ar4036_Aircalerr/Ar4036_Aircal)^2+(Ar39BCerr/Ar39BC)^2+(Ar4036_airerr/Ar4036_Air)^2))</f>
        <v>0.17653053559295701</v>
      </c>
      <c r="AW8" s="363">
        <f t="shared" ref="AW8:AW16" si="13">Ar38BC*(1+2*(Ar4036_Aircal/Ar4036_Air-1)/4)</f>
        <v>1280.8256443072755</v>
      </c>
      <c r="AX8" s="363">
        <f t="shared" ref="AX8:AX16" si="14">SQRT(Ar38BCerr^2+(Ar38BC*(Ar4036_Aircal/Ar4036_Air-1)/4)^2*((Ar4036_Aircalerr/Ar4036_Aircal)^2+(Ar38BCerr/Ar38BC)^2+(Ar4036_airerr/Ar4036_Air)^2))</f>
        <v>0.42982898465031466</v>
      </c>
      <c r="AY8" s="363">
        <f t="shared" ref="AY8:AY16" si="15">Ar37BC*(1+3*(Ar4036_Aircal/Ar4036_Air-1)/4)</f>
        <v>269.87798335279183</v>
      </c>
      <c r="AZ8" s="363">
        <f t="shared" ref="AZ8:AZ16" si="16">SQRT(Ar37BCerr^2+(Ar37BC*(Ar4036_Aircal/Ar4036_Air-1)/3)^2*((Ar4036_Aircalerr/Ar4036_Aircal)^2+(Ar37BCerr/Ar37BC)^2+(Ar4036_airerr/Ar4036_Air)^2))</f>
        <v>0.14555950775042137</v>
      </c>
      <c r="BA8" s="363">
        <f t="shared" ref="BA8:BA16" si="17">Ar36BC*(1+4*(Ar4036_Aircal/Ar4036_Air-1)/4)</f>
        <v>0.72017327580372248</v>
      </c>
      <c r="BB8" s="363">
        <f t="shared" ref="BB8:BB16" si="18">SQRT(Ar36BCerr^2+(Ar36BC*(Ar4036_Aircal/Ar4036_Air-1)/4)^2*((Ar4036_Aircalerr/Ar4036_Aircal)^2+(Ar36BCerr/Ar36BC)^2+(Ar4036_airerr/Ar4036_Air)^2))</f>
        <v>0.15231690230867048</v>
      </c>
      <c r="BE8" s="228">
        <f t="shared" ref="BE8:BE16" si="19">IF(Rad_Type="Continuous", Ar37_DC*EXP(lambda_37Ar*(Run_Date-Rad_Date)),Ar37_DC*Ar37_DecayFactor)</f>
        <v>900.17096066972681</v>
      </c>
      <c r="BF8" s="228">
        <f t="shared" ref="BF8:BF16" si="20">IF(Rad_Type="Continuous", (Ar37_DCerr*EXP(lambda_37Ar*(Run_Date-Rad_Date))), Ar37_DCerr*Ar37_DecayFactor)</f>
        <v>0.48550993415059507</v>
      </c>
      <c r="BG8" s="228">
        <f t="shared" ref="BG8:BG16" si="21">IF(Rad_Type="Continuous", Ar39_DC*EXP(lambda_39Ar*(Run_Date-Rad_Date)), Ar39_DC*Ar39_DecayFactor)</f>
        <v>272.73255854154553</v>
      </c>
      <c r="BH8" s="362">
        <f t="shared" ref="BH8:BH16" si="22">IF(Rad_Type="Continuous", (Ar39_DCerr*EXP(lambda_39Ar*(Run_Date-Rad_Date))), Ar39_DCerr*Ar39_DecayFactor)</f>
        <v>0.176606572335854</v>
      </c>
      <c r="BI8" s="228">
        <f t="shared" ref="BI8:BI16" si="23">Ar40BC-(Salt_40Ar39Ar_K*Ar39_IC)</f>
        <v>46721.002914560166</v>
      </c>
      <c r="BJ8" s="363">
        <f t="shared" ref="BJ8:BJ16" si="24">SQRT(Ar40BCerr^2+(Ar39_ICerr*Salt_40Ar39Ar_K)^2)</f>
        <v>4.1529406583383075</v>
      </c>
      <c r="BK8" s="228">
        <f>Ar39_DecayCor-(Salt_39Ar37Ar_Ca*Ar37_DecayCor)</f>
        <v>271.90992113909124</v>
      </c>
      <c r="BL8" s="363">
        <f t="shared" ref="BL8:BL16" si="25">SQRT(Ar39_DecayCorerr^2+(Ar37_DecayCorerr*Salt_39Ar37Ar_Ca)^2)</f>
        <v>0.17660712968277253</v>
      </c>
      <c r="BM8" s="228">
        <f t="shared" ref="BM8:BM16" si="26">Ar38_DC-(Salt_38Ar39Ar_K*Ar39_DecayCor)</f>
        <v>1276.6140811863318</v>
      </c>
      <c r="BN8" s="363">
        <f t="shared" ref="BN8:BN16" si="27">SQRT(Ar38_DCerr^2+(Ar39_DecayCorerr*Salt_38Ar39Ar_K)^2)</f>
        <v>0.42983763624795962</v>
      </c>
      <c r="BO8" s="363">
        <f>Ar36_DC-(Salt_36Ar37Ar_Ca*Ar37_DecayCor)</f>
        <v>0.40616740723749784</v>
      </c>
      <c r="BP8" s="363">
        <f t="shared" ref="BP8:BP16" si="28">SQRT(Ar36_DCerr^2+(Ar37_DecayCorerr*Salt_36Ar37Ar_Ca)^2)</f>
        <v>0.15231699646370456</v>
      </c>
      <c r="BR8" s="362">
        <f>IF(Rad_Type="Continuous", BO8-((EXP(lambda_36Ar*(Run_Date-Rad_Date))-1)*Cl3638_PR*BT8),BO8*Ar36_DecayFactor)</f>
        <v>0.25542982179897811</v>
      </c>
      <c r="BS8" s="362">
        <f t="shared" ref="BS8:BS16" si="29">IF(K:K="Continuous", SQRT(BP8^2+(((EXP(lambda_36Ar*(Run_Date-Rad_Date))-1)*Cl3638_PR)*BU8^2)), Ar36_ICerr*Ar36_DecayFactor)</f>
        <v>0.15231834564234648</v>
      </c>
      <c r="BT8" s="228">
        <f t="shared" ref="BT8" si="30">IF(Rad_Type="Continuous", BM8-(Ar3836_Air*BO8)/(1-lambda_36Ar*(Run_Date-Rad_Date)),Ar38_IC-(Ar3836_Air*Ar36_IC)/Ar36_DecayFactor)</f>
        <v>1276.5377216852371</v>
      </c>
      <c r="BU8" s="362">
        <f t="shared" ref="BU8" si="31">IF(Rad_Type ="Continuous", SQRT(BN8^2*(((EXP(lambda_36Ar*(Run_Date-Rad_Date))-1*0.188)*BP8^2))),SQRT(Ar38_ICerr^2*(((EXP(lambda_36Ar*(Ar36_DecayFactor))-1*0.188)*Ar36_ICerr^2))))</f>
        <v>5.8997134871251675E-2</v>
      </c>
      <c r="BV8" s="228">
        <f t="shared" ref="BV8:BV16" si="32">Ar40_IC-(Ar36_ClCor*Ar4036_Air)</f>
        <v>46645.523402218569</v>
      </c>
      <c r="BW8" s="228">
        <f t="shared" ref="BW8:BW16" si="33">SQRT(Ar40_ICerr^2+(Ar36_ClCorerr*Ar4036_Air)^2)</f>
        <v>45.201254627473453</v>
      </c>
      <c r="BX8" s="362">
        <f t="shared" ref="BX8:BX16" si="34">Ar40AC/Ar39_IC</f>
        <v>171.54770670672875</v>
      </c>
      <c r="BY8" s="362">
        <f t="shared" ref="BY8:BY16" si="35">Ar40Ar39*SQRT((Ar40ACerr/Ar40AC)^2+(Ar39_ICerr/Ar39_IC)^2)</f>
        <v>0.20012284172840913</v>
      </c>
      <c r="BZ8" s="364">
        <f t="shared" ref="BZ8:BZ16" si="36">Ar38_Cl/Ar39_IC</f>
        <v>4.6947081457621564</v>
      </c>
      <c r="CA8" s="364">
        <f t="shared" ref="CA8:CA16" si="37">Ar38Ar39*SQRT((Ar38_Clerr/Ar38_Cl)^2+(Ar39_ICerr/Ar39_IC)^2)</f>
        <v>3.0569509529133703E-3</v>
      </c>
      <c r="CB8" s="364">
        <f t="shared" ref="CB8:CB16" si="38">Ar37_DecayCor/Ar39_IC</f>
        <v>3.3105484231642235</v>
      </c>
      <c r="CC8" s="364">
        <f t="shared" ref="CC8:CC16" si="39">Ar37Ar39*SQRT((Ar37_DecayCorerr/Ar37_DecayCor)^2+(Ar39_ICerr/Ar39_IC)^2)</f>
        <v>2.7949338247043477E-3</v>
      </c>
      <c r="CD8" s="409">
        <f>(EXP(Hb3Gr_Age*lambda)-1)/Ar40Ar39</f>
        <v>4.7550771885765822E-3</v>
      </c>
      <c r="CE8" s="409">
        <f t="shared" ref="CE8:CE16" si="40">J*SQRT((Ar40Ar39err/Ar40Ar39)^2+(lambda_err/lambda)^2+(Hb3Gr_Ageerr/Hb3Gr_Age)^2)</f>
        <v>1.8275764780600668E-5</v>
      </c>
      <c r="CF8" s="229">
        <f t="shared" ref="CF8:CF16" si="41">Thermal_Flux_Constant*Beta*J</f>
        <v>1.2266300441038479E+19</v>
      </c>
      <c r="CG8" s="239">
        <f t="shared" ref="CG8:CG16" si="42">Therm_Flux*SQRT((Betaerr/Beta)^2+(Jerr/J)^2+(Thermal_Flux_Constanterr/Thermal_Flux_Constant)^2)</f>
        <v>2.8236566547081872E+17</v>
      </c>
      <c r="CH8" s="229">
        <f t="shared" ref="CH8:CH16" si="43">Fast_Flux_Constant*J</f>
        <v>8.8384025973899917E+17</v>
      </c>
      <c r="CI8" s="229">
        <f t="shared" ref="CI8:CI16" si="44">Fast_Flux*SQRT((Jerr/J)^2+(Fast_Flux_Constanterr/Fast_Flux_Constant)^2)</f>
        <v>8765789814232048</v>
      </c>
      <c r="CJ8" s="362">
        <f t="shared" ref="CJ8:CJ16" si="45">Therm_Flux/Fast_Flux</f>
        <v>13.878413328513409</v>
      </c>
      <c r="CK8" s="362">
        <f t="shared" ref="CK8:CK16" si="46">Hb3Gr_KCa*Ar37Ar39</f>
        <v>0.55412803807862909</v>
      </c>
      <c r="CL8" s="362">
        <f t="shared" ref="CL8:CL16" si="47">alpha*SQRT((Ar37Ar39err/Ar37Ar39)^2+(Hb3Gr_KCaerr/Hb3Gr_KCa)^2)</f>
        <v>7.5939694508611946E-3</v>
      </c>
      <c r="CM8" s="362">
        <f t="shared" ref="CM8:CM16" si="48">Hb3Gr_KCl*Ar38Ar39</f>
        <v>24.608243202040388</v>
      </c>
      <c r="CN8" s="362">
        <f t="shared" ref="CN8:CN16" si="49">Beta*SQRT((Ar38Ar39err/Ar38Ar39)^2+(Hb3Gr_KClerr/Hb3Gr_KCl)^2)</f>
        <v>0.36707673193376256</v>
      </c>
      <c r="CO8" s="229">
        <f t="shared" ref="CO8:CO16" si="50">J*(lambda_e/lambda)*K40_Abun</f>
        <v>5.7697684328735906E-8</v>
      </c>
      <c r="CP8" s="229">
        <f t="shared" ref="CP8:CP16" si="51">K39_Prod*SQRT((Jerr/J)^2+(lambda_eerr/lambda_e)^2+(lambda_err/lambda)^2+(K40_Abunerr/K40_Abun)^2)</f>
        <v>5.7223015706239956E-10</v>
      </c>
      <c r="CQ8" s="229">
        <f t="shared" ref="CQ8:CQ16" si="52">K39_Prod*Beta</f>
        <v>1.4198386481560876E-6</v>
      </c>
      <c r="CR8" s="229">
        <f t="shared" ref="CR8:CR16" si="53">Cl38_Prod*SQRT((K39_Proderr/K39_Prod)^2+(Betaerr/Beta)^2)</f>
        <v>2.5433464699689719E-8</v>
      </c>
      <c r="CS8" s="229">
        <f t="shared" ref="CS8:CS16" si="54">K39_Prod*alpha</f>
        <v>3.1971904618762491E-8</v>
      </c>
      <c r="CT8" s="229">
        <f t="shared" ref="CT8:CT16" si="55">Ca37_Prod*SQRT((K39_Prod/K39_Proderr)^2+(alphaerr/alpha)^2)</f>
        <v>3.2237113936647268E-6</v>
      </c>
      <c r="CV8" s="330" t="str">
        <f t="shared" ref="CV8:CV16" si="56">Name</f>
        <v>H15</v>
      </c>
      <c r="CW8" s="330" t="str">
        <f t="shared" ref="CW8:CW16" si="57">Irradiation</f>
        <v>MN2022a</v>
      </c>
      <c r="CX8" s="330">
        <f t="shared" ref="CX8:CX16" si="58">Tube</f>
        <v>1</v>
      </c>
      <c r="CY8" s="330">
        <f>I8</f>
        <v>3</v>
      </c>
      <c r="CZ8" s="365">
        <f>J</f>
        <v>4.7550771885765822E-3</v>
      </c>
      <c r="DA8" s="365">
        <f t="shared" ref="DA8:DA16" si="59">J*SQRT((Ar40Ar39err/Ar40Ar39)^2+(lambda_err/lambda)^2)</f>
        <v>9.7096651274732074E-6</v>
      </c>
      <c r="DB8" s="365">
        <f t="shared" ref="DB8:DB16" si="60">J*SQRT((Ar40Ar39err/Ar40Ar39)^2+(lambda_err/lambda)^2+(Hb3Gr_Ageerr/Hb3Gr_Age)^2)</f>
        <v>1.8275764780600668E-5</v>
      </c>
      <c r="DC8" s="366">
        <f t="shared" ref="DC8:DC16" si="61">Therm_Flux</f>
        <v>1.2266300441038479E+19</v>
      </c>
      <c r="DD8" s="366">
        <f t="shared" ref="DD8:DD16" si="62">Therm_Fluxerr</f>
        <v>2.8236566547081872E+17</v>
      </c>
      <c r="DE8" s="366">
        <f t="shared" ref="DE8" si="63">CH8</f>
        <v>8.8384025973899917E+17</v>
      </c>
      <c r="DF8" s="366">
        <f t="shared" ref="DF8" si="64">CI8</f>
        <v>8765789814232048</v>
      </c>
      <c r="DG8" s="367">
        <f t="shared" ref="DG8:DG16" si="65">alpha</f>
        <v>0.55412803807862909</v>
      </c>
      <c r="DH8" s="367">
        <f t="shared" ref="DH8:DH16" si="66">alphaerr</f>
        <v>7.5939694508611946E-3</v>
      </c>
      <c r="DI8" s="367">
        <f t="shared" ref="DI8:DI16" si="67">Beta</f>
        <v>24.608243202040388</v>
      </c>
      <c r="DJ8" s="367">
        <f t="shared" ref="DJ8:DJ16" si="68">Betaerr</f>
        <v>0.36707673193376256</v>
      </c>
    </row>
    <row r="9" spans="2:114" ht="18" customHeight="1">
      <c r="B9" s="273" t="s">
        <v>867</v>
      </c>
      <c r="C9" s="273">
        <f>1.01/1000</f>
        <v>1.01E-3</v>
      </c>
      <c r="D9" s="389">
        <f t="shared" si="0"/>
        <v>5.0499999999999999E-6</v>
      </c>
      <c r="E9" s="327">
        <v>44705</v>
      </c>
      <c r="F9" s="273" t="s">
        <v>210</v>
      </c>
      <c r="G9" s="273" t="s">
        <v>893</v>
      </c>
      <c r="H9" s="273">
        <v>2</v>
      </c>
      <c r="I9" s="273">
        <v>18</v>
      </c>
      <c r="J9" s="327">
        <v>44644</v>
      </c>
      <c r="K9" s="273" t="s">
        <v>823</v>
      </c>
      <c r="L9" s="273" t="s">
        <v>854</v>
      </c>
      <c r="M9" s="273" t="s">
        <v>855</v>
      </c>
      <c r="N9" s="445">
        <v>110</v>
      </c>
      <c r="O9" s="328">
        <v>74509.175233999995</v>
      </c>
      <c r="P9" s="328">
        <v>14.311261999999999</v>
      </c>
      <c r="Q9" s="68">
        <v>443.33617099999998</v>
      </c>
      <c r="R9" s="68">
        <v>0.28895599999999999</v>
      </c>
      <c r="S9" s="328">
        <v>1700.1263409999999</v>
      </c>
      <c r="T9" s="328">
        <v>0.47786200000000001</v>
      </c>
      <c r="U9" s="68">
        <v>298.38767100000001</v>
      </c>
      <c r="V9" s="68">
        <v>0.11140600000000001</v>
      </c>
      <c r="W9" s="328">
        <v>2.2576610000000001</v>
      </c>
      <c r="X9" s="328">
        <v>8.1393999999999994E-2</v>
      </c>
      <c r="Y9" s="458">
        <v>16.361114000000001</v>
      </c>
      <c r="Z9" s="328">
        <v>0.22381100000000001</v>
      </c>
      <c r="AA9" s="328">
        <v>0.26148300000000002</v>
      </c>
      <c r="AB9" s="328">
        <v>3.5726000000000001E-2</v>
      </c>
      <c r="AC9" s="328">
        <v>0.12464799999999999</v>
      </c>
      <c r="AD9" s="328">
        <v>7.1515999999999996E-2</v>
      </c>
      <c r="AE9" s="328">
        <v>7.5514999999999999E-2</v>
      </c>
      <c r="AF9" s="328">
        <v>2.6808999999999999E-2</v>
      </c>
      <c r="AG9" s="328">
        <v>0.93153200000000003</v>
      </c>
      <c r="AH9" s="328">
        <v>8.1959000000000004E-2</v>
      </c>
      <c r="AI9" s="362">
        <f t="shared" si="1"/>
        <v>74492.814119999995</v>
      </c>
      <c r="AJ9" s="362">
        <f t="shared" si="2"/>
        <v>14.313011961022214</v>
      </c>
      <c r="AK9" s="362">
        <f t="shared" si="3"/>
        <v>443.07468799999998</v>
      </c>
      <c r="AL9" s="362">
        <f t="shared" si="4"/>
        <v>0.29115617289008316</v>
      </c>
      <c r="AM9" s="362">
        <f t="shared" si="5"/>
        <v>1700.0016929999999</v>
      </c>
      <c r="AN9" s="362">
        <f t="shared" si="6"/>
        <v>0.4831838462738588</v>
      </c>
      <c r="AO9" s="362">
        <f t="shared" si="7"/>
        <v>298.31215600000002</v>
      </c>
      <c r="AP9" s="362">
        <f t="shared" si="8"/>
        <v>0.1145862963752647</v>
      </c>
      <c r="AQ9" s="362">
        <f t="shared" si="9"/>
        <v>1.3261290000000001</v>
      </c>
      <c r="AR9" s="362">
        <f t="shared" si="10"/>
        <v>0.11550870494036369</v>
      </c>
      <c r="AS9" s="273">
        <v>301.3</v>
      </c>
      <c r="AT9" s="273">
        <v>0.9</v>
      </c>
      <c r="AU9" s="363">
        <f t="shared" si="11"/>
        <v>445.24882775499151</v>
      </c>
      <c r="AV9" s="363">
        <f t="shared" si="12"/>
        <v>0.29124102723959755</v>
      </c>
      <c r="AW9" s="363">
        <f t="shared" si="13"/>
        <v>1716.6852967553295</v>
      </c>
      <c r="AX9" s="363">
        <f t="shared" si="14"/>
        <v>0.48391085056759131</v>
      </c>
      <c r="AY9" s="363">
        <f t="shared" si="15"/>
        <v>302.70355322030457</v>
      </c>
      <c r="AZ9" s="363">
        <f t="shared" si="16"/>
        <v>0.11475522532900992</v>
      </c>
      <c r="BA9" s="363">
        <f t="shared" si="17"/>
        <v>1.3521579279187819</v>
      </c>
      <c r="BB9" s="363">
        <f t="shared" si="18"/>
        <v>0.11551009738043086</v>
      </c>
      <c r="BE9" s="228">
        <f t="shared" si="19"/>
        <v>1009.6597911222036</v>
      </c>
      <c r="BF9" s="228">
        <f t="shared" si="20"/>
        <v>0.38276305515166886</v>
      </c>
      <c r="BG9" s="228">
        <f t="shared" si="21"/>
        <v>445.44060914016364</v>
      </c>
      <c r="BH9" s="362">
        <f t="shared" si="22"/>
        <v>0.29136647306705676</v>
      </c>
      <c r="BI9" s="228">
        <f t="shared" si="23"/>
        <v>74434.930871598146</v>
      </c>
      <c r="BJ9" s="363">
        <f t="shared" si="24"/>
        <v>14.313062246808384</v>
      </c>
      <c r="BK9" s="228">
        <f t="shared" ref="BK9:BK16" si="69">Ar39_DecayCor-(Salt_39Ar37Ar_Ca*Ar37_DecayCor)</f>
        <v>444.51791340321898</v>
      </c>
      <c r="BL9" s="363">
        <f t="shared" si="25"/>
        <v>0.29136668303703417</v>
      </c>
      <c r="BM9" s="228">
        <f t="shared" si="26"/>
        <v>1709.806758849707</v>
      </c>
      <c r="BN9" s="363">
        <f t="shared" si="27"/>
        <v>0.48393176697377527</v>
      </c>
      <c r="BO9" s="363">
        <f t="shared" ref="BO9:BO10" si="70">Ar36_DC-(Salt_36Ar37Ar_Ca*Ar37_DecayCor)</f>
        <v>0.99995916399526719</v>
      </c>
      <c r="BP9" s="363">
        <f t="shared" si="28"/>
        <v>0.11551017454811494</v>
      </c>
      <c r="BR9" s="362">
        <f t="shared" ref="BR9:BR10" si="71">IF(Rad_Type="Continuous", BO9-((EXP(lambda_36Ar*(Run_Date-Rad_Date))-1)*Cl3638_PR*BT9),BO9*Ar36_DecayFactor)</f>
        <v>0.79808200792044193</v>
      </c>
      <c r="BS9" s="362">
        <f t="shared" si="29"/>
        <v>0.11551147142933237</v>
      </c>
      <c r="BT9" s="228">
        <f t="shared" ref="BT9:BT11" si="72">IF(Rad_Type="Continuous", BM9-(Ar3836_Air*BO9)/(1-lambda_36Ar*(Run_Date-Rad_Date)),Ar38_IC-(Ar3836_Air*Ar36_IC)/Ar36_DecayFactor)</f>
        <v>1709.6187664566266</v>
      </c>
      <c r="BU9" s="362">
        <f t="shared" ref="BU9:BU11" si="73">IF(Rad_Type ="Continuous", SQRT(BN9^2*(((EXP(lambda_36Ar*(Run_Date-Rad_Date))-1*0.188)*BP9^2))),SQRT(Ar38_ICerr^2*(((EXP(lambda_36Ar*(Ar36_DecayFactor))-1*0.188)*Ar36_ICerr^2))))</f>
        <v>5.0371221930992485E-2</v>
      </c>
      <c r="BV9" s="228">
        <f t="shared" si="32"/>
        <v>74199.097638257648</v>
      </c>
      <c r="BW9" s="228">
        <f t="shared" si="33"/>
        <v>37.013093863930493</v>
      </c>
      <c r="BX9" s="362">
        <f t="shared" si="34"/>
        <v>166.92037688693139</v>
      </c>
      <c r="BY9" s="362">
        <f t="shared" si="35"/>
        <v>0.13749140933983897</v>
      </c>
      <c r="BZ9" s="364">
        <f>Ar38_Cl/Ar39_IC</f>
        <v>3.846006459824812</v>
      </c>
      <c r="CA9" s="364">
        <f t="shared" si="37"/>
        <v>2.5234746244881118E-3</v>
      </c>
      <c r="CB9" s="364">
        <f>Ar37_DecayCor/Ar39_IC</f>
        <v>2.2713590626579507</v>
      </c>
      <c r="CC9" s="364">
        <f t="shared" si="39"/>
        <v>1.7198765575562062E-3</v>
      </c>
      <c r="CD9" s="409">
        <f t="shared" ref="CD9:CD16" si="74">(EXP(Hb3Gr_Age*lambda)-1)/Ar40Ar39</f>
        <v>4.8868963881284928E-3</v>
      </c>
      <c r="CE9" s="409">
        <f t="shared" si="40"/>
        <v>1.8343425218463844E-5</v>
      </c>
      <c r="CF9" s="229">
        <f t="shared" si="41"/>
        <v>1.0327389772987204E+19</v>
      </c>
      <c r="CG9" s="239">
        <f t="shared" si="42"/>
        <v>2.3758099828883469E+17</v>
      </c>
      <c r="CH9" s="229">
        <f t="shared" si="43"/>
        <v>9.0834188420272819E+17</v>
      </c>
      <c r="CI9" s="229">
        <f t="shared" si="44"/>
        <v>8977488499414122</v>
      </c>
      <c r="CJ9" s="362">
        <f t="shared" si="45"/>
        <v>11.369496389624027</v>
      </c>
      <c r="CK9" s="362">
        <f>Hb3Gr_KCa*Ar37Ar39</f>
        <v>0.38018587263549863</v>
      </c>
      <c r="CL9" s="362">
        <f t="shared" si="47"/>
        <v>5.208269554739786E-3</v>
      </c>
      <c r="CM9" s="362">
        <f>Hb3Gr_KCl*Ar38Ar39</f>
        <v>20.159605108875748</v>
      </c>
      <c r="CN9" s="362">
        <f t="shared" si="49"/>
        <v>0.30072159811766846</v>
      </c>
      <c r="CO9" s="229">
        <f t="shared" si="50"/>
        <v>5.9297166789816518E-8</v>
      </c>
      <c r="CP9" s="229">
        <f t="shared" si="51"/>
        <v>5.8604978636329625E-10</v>
      </c>
      <c r="CQ9" s="229">
        <f t="shared" si="52"/>
        <v>1.1954074665578423E-6</v>
      </c>
      <c r="CR9" s="229">
        <f t="shared" si="53"/>
        <v>2.1390680509633238E-8</v>
      </c>
      <c r="CS9" s="229">
        <f t="shared" si="54"/>
        <v>2.2543945100799103E-8</v>
      </c>
      <c r="CT9" s="229">
        <f t="shared" si="55"/>
        <v>2.2810213672981581E-6</v>
      </c>
      <c r="CV9" s="330" t="str">
        <f t="shared" si="56"/>
        <v>H4</v>
      </c>
      <c r="CW9" s="330" t="str">
        <f t="shared" si="57"/>
        <v>MN2022a</v>
      </c>
      <c r="CX9" s="330">
        <f t="shared" si="58"/>
        <v>2</v>
      </c>
      <c r="CY9" s="330">
        <f t="shared" ref="CY9:CY16" si="75">I9</f>
        <v>18</v>
      </c>
      <c r="CZ9" s="365">
        <f t="shared" ref="CZ9:CZ16" si="76">J</f>
        <v>4.8868963881284928E-3</v>
      </c>
      <c r="DA9" s="365">
        <f t="shared" si="59"/>
        <v>9.125775429759928E-6</v>
      </c>
      <c r="DB9" s="365">
        <f t="shared" si="60"/>
        <v>1.8343425218463844E-5</v>
      </c>
      <c r="DC9" s="366">
        <f t="shared" si="61"/>
        <v>1.0327389772987204E+19</v>
      </c>
      <c r="DD9" s="366">
        <f t="shared" si="62"/>
        <v>2.3758099828883469E+17</v>
      </c>
      <c r="DE9" s="366">
        <f t="shared" ref="DE9:DE11" si="77">CH9</f>
        <v>9.0834188420272819E+17</v>
      </c>
      <c r="DF9" s="366">
        <f t="shared" ref="DF9:DF11" si="78">CI9</f>
        <v>8977488499414122</v>
      </c>
      <c r="DG9" s="367">
        <f t="shared" si="65"/>
        <v>0.38018587263549863</v>
      </c>
      <c r="DH9" s="367">
        <f t="shared" si="66"/>
        <v>5.208269554739786E-3</v>
      </c>
      <c r="DI9" s="367">
        <f t="shared" si="67"/>
        <v>20.159605108875748</v>
      </c>
      <c r="DJ9" s="367">
        <f t="shared" si="68"/>
        <v>0.30072159811766846</v>
      </c>
    </row>
    <row r="10" spans="2:114">
      <c r="B10" s="273" t="s">
        <v>864</v>
      </c>
      <c r="C10" s="273">
        <f>0.89/1000</f>
        <v>8.9000000000000006E-4</v>
      </c>
      <c r="D10" s="389">
        <f t="shared" si="0"/>
        <v>4.4500000000000006E-6</v>
      </c>
      <c r="E10" s="327">
        <v>44705</v>
      </c>
      <c r="F10" s="273" t="s">
        <v>210</v>
      </c>
      <c r="G10" s="273" t="s">
        <v>893</v>
      </c>
      <c r="H10" s="273">
        <v>1</v>
      </c>
      <c r="I10" s="273">
        <v>19</v>
      </c>
      <c r="J10" s="327">
        <v>44644</v>
      </c>
      <c r="K10" s="273" t="s">
        <v>823</v>
      </c>
      <c r="L10" s="273" t="s">
        <v>854</v>
      </c>
      <c r="M10" s="273" t="s">
        <v>855</v>
      </c>
      <c r="N10" s="445">
        <v>110</v>
      </c>
      <c r="O10" s="328">
        <v>50970.072886000002</v>
      </c>
      <c r="P10" s="68">
        <v>10.922931999999999</v>
      </c>
      <c r="Q10" s="328">
        <v>274.47260699999998</v>
      </c>
      <c r="R10" s="68">
        <v>0.10586</v>
      </c>
      <c r="S10" s="328">
        <v>1256.2845580000001</v>
      </c>
      <c r="T10" s="68">
        <v>0.44213000000000002</v>
      </c>
      <c r="U10" s="328">
        <v>227.29302999999999</v>
      </c>
      <c r="V10" s="68">
        <v>0.125717</v>
      </c>
      <c r="W10" s="328">
        <v>1.9023509999999999</v>
      </c>
      <c r="X10" s="420">
        <v>0.124844</v>
      </c>
      <c r="Y10" s="328">
        <v>20.837682999999998</v>
      </c>
      <c r="Z10" s="328">
        <v>0.40193699999999999</v>
      </c>
      <c r="AA10" s="328">
        <v>0.36650700000000003</v>
      </c>
      <c r="AB10" s="328">
        <v>6.4922999999999995E-2</v>
      </c>
      <c r="AC10" s="328">
        <v>8.4641999999999995E-2</v>
      </c>
      <c r="AD10" s="328">
        <v>8.2820000000000005E-2</v>
      </c>
      <c r="AE10" s="328">
        <v>7.1110000000000007E-2</v>
      </c>
      <c r="AF10" s="328">
        <v>1.3575E-2</v>
      </c>
      <c r="AG10" s="328">
        <v>1.005997</v>
      </c>
      <c r="AH10" s="328">
        <v>4.9956E-2</v>
      </c>
      <c r="AI10" s="362">
        <f t="shared" si="1"/>
        <v>50949.235203000004</v>
      </c>
      <c r="AJ10" s="362">
        <f t="shared" si="2"/>
        <v>10.930324644245156</v>
      </c>
      <c r="AK10" s="362">
        <f t="shared" si="3"/>
        <v>274.10609999999997</v>
      </c>
      <c r="AL10" s="362">
        <f t="shared" si="4"/>
        <v>0.12418267000270206</v>
      </c>
      <c r="AM10" s="362">
        <f t="shared" si="5"/>
        <v>1256.199916</v>
      </c>
      <c r="AN10" s="362">
        <f t="shared" si="6"/>
        <v>0.44982006324751683</v>
      </c>
      <c r="AO10" s="362">
        <f t="shared" si="7"/>
        <v>227.22191999999998</v>
      </c>
      <c r="AP10" s="362">
        <f t="shared" si="8"/>
        <v>0.12644779442125512</v>
      </c>
      <c r="AQ10" s="362">
        <f t="shared" si="9"/>
        <v>0.89635399999999987</v>
      </c>
      <c r="AR10" s="362">
        <f t="shared" si="10"/>
        <v>0.13446793771007273</v>
      </c>
      <c r="AS10" s="273">
        <v>301.3</v>
      </c>
      <c r="AT10" s="273">
        <v>0.9</v>
      </c>
      <c r="AU10" s="363">
        <f t="shared" si="11"/>
        <v>275.45112147208118</v>
      </c>
      <c r="AV10" s="363">
        <f t="shared" si="12"/>
        <v>0.12425715018688201</v>
      </c>
      <c r="AW10" s="363">
        <f t="shared" si="13"/>
        <v>1268.5281046849407</v>
      </c>
      <c r="AX10" s="363">
        <f t="shared" si="14"/>
        <v>0.45024859536431333</v>
      </c>
      <c r="AY10" s="363">
        <f t="shared" si="15"/>
        <v>230.56681120812181</v>
      </c>
      <c r="AZ10" s="363">
        <f t="shared" si="16"/>
        <v>0.12653805915297622</v>
      </c>
      <c r="BA10" s="363">
        <f t="shared" si="17"/>
        <v>0.91394741184433148</v>
      </c>
      <c r="BB10" s="363">
        <f t="shared" si="18"/>
        <v>0.13446955728314069</v>
      </c>
      <c r="BE10" s="228">
        <f t="shared" si="19"/>
        <v>769.04957331201092</v>
      </c>
      <c r="BF10" s="228">
        <f t="shared" si="20"/>
        <v>0.42206438944712454</v>
      </c>
      <c r="BG10" s="228">
        <f t="shared" si="21"/>
        <v>275.56976613621089</v>
      </c>
      <c r="BH10" s="362">
        <f t="shared" si="22"/>
        <v>0.12431067128990329</v>
      </c>
      <c r="BI10" s="228">
        <f t="shared" si="23"/>
        <v>50913.443186900688</v>
      </c>
      <c r="BJ10" s="363">
        <f t="shared" si="24"/>
        <v>10.930336630540282</v>
      </c>
      <c r="BK10" s="228">
        <f t="shared" si="69"/>
        <v>274.86695636896701</v>
      </c>
      <c r="BL10" s="363">
        <f t="shared" si="25"/>
        <v>0.12431126968065905</v>
      </c>
      <c r="BM10" s="228">
        <f t="shared" si="26"/>
        <v>1264.2727291239419</v>
      </c>
      <c r="BN10" s="363">
        <f t="shared" si="27"/>
        <v>0.45025268745398811</v>
      </c>
      <c r="BO10" s="363">
        <f t="shared" si="70"/>
        <v>0.64568050501292595</v>
      </c>
      <c r="BP10" s="363">
        <f t="shared" si="28"/>
        <v>0.13446963788199237</v>
      </c>
      <c r="BR10" s="362">
        <f t="shared" si="71"/>
        <v>0.49640554231045692</v>
      </c>
      <c r="BS10" s="362">
        <f t="shared" si="29"/>
        <v>0.13447094480164098</v>
      </c>
      <c r="BT10" s="228">
        <f t="shared" si="72"/>
        <v>1264.151341143639</v>
      </c>
      <c r="BU10" s="362">
        <f t="shared" si="73"/>
        <v>5.4558027905404552E-2</v>
      </c>
      <c r="BV10" s="228">
        <f t="shared" si="32"/>
        <v>50766.755349147948</v>
      </c>
      <c r="BW10" s="228">
        <f t="shared" si="33"/>
        <v>41.212073513752621</v>
      </c>
      <c r="BX10" s="362">
        <f t="shared" si="34"/>
        <v>184.69573796641205</v>
      </c>
      <c r="BY10" s="362">
        <f t="shared" si="35"/>
        <v>0.17163253765001177</v>
      </c>
      <c r="BZ10" s="364">
        <f t="shared" si="36"/>
        <v>4.599139008352493</v>
      </c>
      <c r="CA10" s="364">
        <f t="shared" si="37"/>
        <v>2.0894547466628467E-3</v>
      </c>
      <c r="CB10" s="364">
        <f t="shared" si="38"/>
        <v>2.7978975118408886</v>
      </c>
      <c r="CC10" s="364">
        <f t="shared" si="39"/>
        <v>1.9897253596154441E-3</v>
      </c>
      <c r="CD10" s="409">
        <f t="shared" si="74"/>
        <v>4.416575043340391E-3</v>
      </c>
      <c r="CE10" s="409">
        <f t="shared" si="40"/>
        <v>1.6686555580705518E-5</v>
      </c>
      <c r="CF10" s="229">
        <f t="shared" si="41"/>
        <v>1.1161166273411822E+19</v>
      </c>
      <c r="CG10" s="239">
        <f t="shared" si="42"/>
        <v>2.5675250984670486E+17</v>
      </c>
      <c r="CH10" s="229">
        <f t="shared" si="43"/>
        <v>8.2092186491535526E+17</v>
      </c>
      <c r="CI10" s="229">
        <f t="shared" si="44"/>
        <v>8121165716171098</v>
      </c>
      <c r="CJ10" s="362">
        <f t="shared" si="45"/>
        <v>13.595893531916881</v>
      </c>
      <c r="CK10" s="362">
        <f t="shared" si="46"/>
        <v>0.46831922110947494</v>
      </c>
      <c r="CL10" s="362">
        <f t="shared" si="47"/>
        <v>6.4144763235993735E-3</v>
      </c>
      <c r="CM10" s="362">
        <f t="shared" si="48"/>
        <v>24.107298627219667</v>
      </c>
      <c r="CN10" s="362">
        <f t="shared" si="49"/>
        <v>0.35942836163733466</v>
      </c>
      <c r="CO10" s="229">
        <f t="shared" si="50"/>
        <v>5.3590329359323904E-8</v>
      </c>
      <c r="CP10" s="229">
        <f t="shared" si="51"/>
        <v>5.3014910972600391E-10</v>
      </c>
      <c r="CQ10" s="229">
        <f t="shared" si="52"/>
        <v>1.291918073396279E-6</v>
      </c>
      <c r="CR10" s="229">
        <f t="shared" si="53"/>
        <v>2.3116237110146433E-8</v>
      </c>
      <c r="CS10" s="229">
        <f t="shared" si="54"/>
        <v>2.5097381304558798E-8</v>
      </c>
      <c r="CT10" s="229">
        <f t="shared" si="55"/>
        <v>2.5369785930783541E-6</v>
      </c>
      <c r="CV10" s="330" t="str">
        <f>Name</f>
        <v>H1</v>
      </c>
      <c r="CW10" s="330" t="str">
        <f t="shared" si="57"/>
        <v>MN2022a</v>
      </c>
      <c r="CX10" s="330">
        <f t="shared" si="58"/>
        <v>1</v>
      </c>
      <c r="CY10" s="330">
        <f t="shared" si="75"/>
        <v>19</v>
      </c>
      <c r="CZ10" s="365">
        <f t="shared" si="76"/>
        <v>4.416575043340391E-3</v>
      </c>
      <c r="DA10" s="365">
        <f t="shared" si="59"/>
        <v>8.4635276776719875E-6</v>
      </c>
      <c r="DB10" s="365">
        <f t="shared" si="60"/>
        <v>1.6686555580705518E-5</v>
      </c>
      <c r="DC10" s="366">
        <f t="shared" si="61"/>
        <v>1.1161166273411822E+19</v>
      </c>
      <c r="DD10" s="366">
        <f t="shared" si="62"/>
        <v>2.5675250984670486E+17</v>
      </c>
      <c r="DE10" s="366">
        <f t="shared" si="77"/>
        <v>8.2092186491535526E+17</v>
      </c>
      <c r="DF10" s="366">
        <f t="shared" si="78"/>
        <v>8121165716171098</v>
      </c>
      <c r="DG10" s="367">
        <f t="shared" si="65"/>
        <v>0.46831922110947494</v>
      </c>
      <c r="DH10" s="367">
        <f t="shared" si="66"/>
        <v>6.4144763235993735E-3</v>
      </c>
      <c r="DI10" s="367">
        <f t="shared" si="67"/>
        <v>24.107298627219667</v>
      </c>
      <c r="DJ10" s="367">
        <f t="shared" si="68"/>
        <v>0.35942836163733466</v>
      </c>
    </row>
    <row r="11" spans="2:114">
      <c r="B11" s="273" t="s">
        <v>865</v>
      </c>
      <c r="C11" s="273">
        <f>0.68/1000</f>
        <v>6.8000000000000005E-4</v>
      </c>
      <c r="D11" s="389">
        <f t="shared" si="0"/>
        <v>3.4000000000000005E-6</v>
      </c>
      <c r="E11" s="327">
        <v>44705</v>
      </c>
      <c r="F11" s="273" t="s">
        <v>210</v>
      </c>
      <c r="G11" s="273" t="s">
        <v>893</v>
      </c>
      <c r="H11" s="273">
        <v>1</v>
      </c>
      <c r="I11" s="273">
        <v>36</v>
      </c>
      <c r="J11" s="327">
        <v>44644</v>
      </c>
      <c r="K11" s="273" t="s">
        <v>823</v>
      </c>
      <c r="L11" s="273" t="s">
        <v>854</v>
      </c>
      <c r="M11" s="273" t="s">
        <v>855</v>
      </c>
      <c r="N11" s="445">
        <v>110</v>
      </c>
      <c r="O11" s="328">
        <v>40178.706409999999</v>
      </c>
      <c r="P11" s="328">
        <v>8.6186480000000003</v>
      </c>
      <c r="Q11" s="68">
        <v>189.305993</v>
      </c>
      <c r="R11" s="68">
        <v>9.5846000000000001E-2</v>
      </c>
      <c r="S11" s="328">
        <v>904.82162600000004</v>
      </c>
      <c r="T11" s="328">
        <v>0.32728800000000002</v>
      </c>
      <c r="U11" s="68">
        <v>161.036822</v>
      </c>
      <c r="V11" s="68">
        <v>7.0265999999999995E-2</v>
      </c>
      <c r="W11" s="328">
        <v>1.3828370000000001</v>
      </c>
      <c r="X11" s="446">
        <v>8.1083000000000002E-2</v>
      </c>
      <c r="Y11" s="328">
        <v>18.910643</v>
      </c>
      <c r="Z11" s="328">
        <v>0.244697</v>
      </c>
      <c r="AA11" s="328">
        <v>0.57730499999999996</v>
      </c>
      <c r="AB11" s="328">
        <v>8.9252999999999999E-2</v>
      </c>
      <c r="AC11" s="328">
        <v>0.216641</v>
      </c>
      <c r="AD11" s="328">
        <v>7.1596000000000007E-2</v>
      </c>
      <c r="AE11" s="328">
        <v>0.125802</v>
      </c>
      <c r="AF11" s="328">
        <v>2.6481999999999999E-2</v>
      </c>
      <c r="AG11" s="328">
        <v>1.1297619999999999</v>
      </c>
      <c r="AH11" s="328">
        <v>7.3294999999999999E-2</v>
      </c>
      <c r="AI11" s="362">
        <f t="shared" si="1"/>
        <v>40159.795766999996</v>
      </c>
      <c r="AJ11" s="362">
        <f t="shared" si="2"/>
        <v>8.6221209670076533</v>
      </c>
      <c r="AK11" s="362">
        <f t="shared" si="3"/>
        <v>188.72868800000001</v>
      </c>
      <c r="AL11" s="362">
        <f t="shared" si="4"/>
        <v>0.13096775834150937</v>
      </c>
      <c r="AM11" s="362">
        <f t="shared" si="5"/>
        <v>904.60498500000006</v>
      </c>
      <c r="AN11" s="362">
        <f t="shared" si="6"/>
        <v>0.33502749463290327</v>
      </c>
      <c r="AO11" s="362">
        <f t="shared" si="7"/>
        <v>160.91102000000001</v>
      </c>
      <c r="AP11" s="362">
        <f t="shared" si="8"/>
        <v>7.5090659072883356E-2</v>
      </c>
      <c r="AQ11" s="362">
        <f t="shared" si="9"/>
        <v>0.25307500000000016</v>
      </c>
      <c r="AR11" s="362">
        <f t="shared" si="10"/>
        <v>0.1093005485530608</v>
      </c>
      <c r="AS11" s="273">
        <v>301.3</v>
      </c>
      <c r="AT11" s="273">
        <v>0.9</v>
      </c>
      <c r="AU11" s="363">
        <f t="shared" si="11"/>
        <v>189.65476785651438</v>
      </c>
      <c r="AV11" s="363">
        <f t="shared" si="12"/>
        <v>0.13100214781661493</v>
      </c>
      <c r="AW11" s="363">
        <f t="shared" si="13"/>
        <v>913.48266505583751</v>
      </c>
      <c r="AX11" s="363">
        <f t="shared" si="14"/>
        <v>0.33532612773624715</v>
      </c>
      <c r="AY11" s="363">
        <f t="shared" si="15"/>
        <v>163.2797609035533</v>
      </c>
      <c r="AZ11" s="363">
        <f t="shared" si="16"/>
        <v>7.5166197961207437E-2</v>
      </c>
      <c r="BA11" s="363">
        <f t="shared" si="17"/>
        <v>0.25804229272419643</v>
      </c>
      <c r="BB11" s="363">
        <f t="shared" si="18"/>
        <v>0.10930186448704135</v>
      </c>
      <c r="BE11" s="228">
        <f t="shared" si="19"/>
        <v>544.61537545409556</v>
      </c>
      <c r="BF11" s="228">
        <f t="shared" si="20"/>
        <v>0.25071488895846977</v>
      </c>
      <c r="BG11" s="228">
        <f t="shared" si="21"/>
        <v>189.73645758103856</v>
      </c>
      <c r="BH11" s="362">
        <f t="shared" si="22"/>
        <v>0.13105857418273356</v>
      </c>
      <c r="BI11" s="228">
        <f t="shared" si="23"/>
        <v>40135.153894753108</v>
      </c>
      <c r="BJ11" s="363">
        <f t="shared" si="24"/>
        <v>8.6221378564351934</v>
      </c>
      <c r="BK11" s="228">
        <f t="shared" si="69"/>
        <v>189.23875103708727</v>
      </c>
      <c r="BL11" s="363">
        <f t="shared" si="25"/>
        <v>0.13105877445987815</v>
      </c>
      <c r="BM11" s="228">
        <f t="shared" si="26"/>
        <v>910.552735927757</v>
      </c>
      <c r="BN11" s="363">
        <f t="shared" si="27"/>
        <v>0.33533223493688802</v>
      </c>
      <c r="BO11" s="363">
        <f t="shared" ref="BO11:BO16" si="79">Ar36_DC-(Salt_36Ar37Ar_Ca*Ar37_DecayCor)</f>
        <v>6.8064575739468725E-2</v>
      </c>
      <c r="BP11" s="363">
        <f t="shared" si="28"/>
        <v>0.10930189947576889</v>
      </c>
      <c r="BR11" s="362">
        <f t="shared" ref="BR11:BR16" si="80">IF(Rad_Type="Continuous", BO11-((EXP(lambda_36Ar*(Run_Date-Rad_Date))-1)*Cl3638_PR*BT11),BO11*Ar36_DecayFactor)</f>
        <v>-3.9454841537906446E-2</v>
      </c>
      <c r="BS11" s="362">
        <f t="shared" si="29"/>
        <v>0.1093024887144932</v>
      </c>
      <c r="BT11" s="228">
        <f t="shared" si="72"/>
        <v>910.53993978273627</v>
      </c>
      <c r="BU11" s="362">
        <f t="shared" si="73"/>
        <v>3.3027912647176701E-2</v>
      </c>
      <c r="BV11" s="228">
        <f t="shared" si="32"/>
        <v>40146.812800427557</v>
      </c>
      <c r="BW11" s="228">
        <f t="shared" si="33"/>
        <v>33.429915648640929</v>
      </c>
      <c r="BX11" s="362">
        <f t="shared" si="34"/>
        <v>212.1490053195264</v>
      </c>
      <c r="BY11" s="362">
        <f t="shared" si="35"/>
        <v>0.22976938975116962</v>
      </c>
      <c r="BZ11" s="364">
        <f t="shared" si="36"/>
        <v>4.8115934753991656</v>
      </c>
      <c r="CA11" s="364">
        <f t="shared" si="37"/>
        <v>3.3368740326589811E-3</v>
      </c>
      <c r="CB11" s="364">
        <f t="shared" si="38"/>
        <v>2.8779273403012531</v>
      </c>
      <c r="CC11" s="364">
        <f t="shared" si="39"/>
        <v>2.3932876794050552E-3</v>
      </c>
      <c r="CD11" s="409">
        <f t="shared" si="74"/>
        <v>3.8450455409168582E-3</v>
      </c>
      <c r="CE11" s="409">
        <f t="shared" si="40"/>
        <v>1.4683849470218639E-5</v>
      </c>
      <c r="CF11" s="229">
        <f t="shared" si="41"/>
        <v>1.0165712966347018E+19</v>
      </c>
      <c r="CG11" s="239">
        <f t="shared" si="42"/>
        <v>2.33982014517948E+17</v>
      </c>
      <c r="CH11" s="229">
        <f t="shared" si="43"/>
        <v>7.1468998605457741E+17</v>
      </c>
      <c r="CI11" s="229">
        <f t="shared" si="44"/>
        <v>7081411148125630</v>
      </c>
      <c r="CJ11" s="362">
        <f t="shared" si="45"/>
        <v>14.22394767620364</v>
      </c>
      <c r="CK11" s="362">
        <f t="shared" si="46"/>
        <v>0.48171481790008897</v>
      </c>
      <c r="CL11" s="362">
        <f t="shared" si="47"/>
        <v>6.6012201071313902E-3</v>
      </c>
      <c r="CM11" s="362">
        <f t="shared" si="48"/>
        <v>25.220920823130555</v>
      </c>
      <c r="CN11" s="362">
        <f t="shared" si="49"/>
        <v>0.37626408204604572</v>
      </c>
      <c r="CO11" s="229">
        <f t="shared" si="50"/>
        <v>4.6655441131933476E-8</v>
      </c>
      <c r="CP11" s="229">
        <f t="shared" si="51"/>
        <v>4.6227402340709906E-10</v>
      </c>
      <c r="CQ11" s="229">
        <f t="shared" si="52"/>
        <v>1.1766931867567229E-6</v>
      </c>
      <c r="CR11" s="229">
        <f t="shared" si="53"/>
        <v>2.1073717492937874E-8</v>
      </c>
      <c r="CS11" s="229">
        <f t="shared" si="54"/>
        <v>2.2474617328917655E-8</v>
      </c>
      <c r="CT11" s="229">
        <f t="shared" si="55"/>
        <v>2.2682719389884616E-6</v>
      </c>
      <c r="CV11" s="330" t="str">
        <f t="shared" si="56"/>
        <v>H2</v>
      </c>
      <c r="CW11" s="330" t="str">
        <f t="shared" si="57"/>
        <v>MN2022a</v>
      </c>
      <c r="CX11" s="330">
        <f t="shared" si="58"/>
        <v>1</v>
      </c>
      <c r="CY11" s="330">
        <f t="shared" si="75"/>
        <v>36</v>
      </c>
      <c r="CZ11" s="365">
        <f t="shared" si="76"/>
        <v>3.8450455409168582E-3</v>
      </c>
      <c r="DA11" s="365">
        <f t="shared" si="59"/>
        <v>7.6724897764219122E-6</v>
      </c>
      <c r="DB11" s="365">
        <f t="shared" si="60"/>
        <v>1.4683849470218639E-5</v>
      </c>
      <c r="DC11" s="366">
        <f t="shared" si="61"/>
        <v>1.0165712966347018E+19</v>
      </c>
      <c r="DD11" s="366">
        <f t="shared" si="62"/>
        <v>2.33982014517948E+17</v>
      </c>
      <c r="DE11" s="366">
        <f t="shared" si="77"/>
        <v>7.1468998605457741E+17</v>
      </c>
      <c r="DF11" s="366">
        <f t="shared" si="78"/>
        <v>7081411148125630</v>
      </c>
      <c r="DG11" s="367">
        <f t="shared" si="65"/>
        <v>0.48171481790008897</v>
      </c>
      <c r="DH11" s="367">
        <f t="shared" si="66"/>
        <v>6.6012201071313902E-3</v>
      </c>
      <c r="DI11" s="367">
        <f t="shared" si="67"/>
        <v>25.220920823130555</v>
      </c>
      <c r="DJ11" s="367">
        <f t="shared" si="68"/>
        <v>0.37626408204604572</v>
      </c>
    </row>
    <row r="12" spans="2:114">
      <c r="B12" s="273" t="s">
        <v>866</v>
      </c>
      <c r="C12" s="273">
        <v>6.6E-4</v>
      </c>
      <c r="D12" s="389">
        <f t="shared" si="0"/>
        <v>3.3000000000000002E-6</v>
      </c>
      <c r="E12" s="327">
        <v>44711</v>
      </c>
      <c r="F12" s="273" t="s">
        <v>210</v>
      </c>
      <c r="G12" s="273" t="s">
        <v>893</v>
      </c>
      <c r="H12" s="273">
        <v>2</v>
      </c>
      <c r="I12" s="273">
        <v>2</v>
      </c>
      <c r="J12" s="327">
        <v>44644</v>
      </c>
      <c r="K12" s="273" t="s">
        <v>823</v>
      </c>
      <c r="L12" s="273" t="s">
        <v>854</v>
      </c>
      <c r="M12" s="273" t="s">
        <v>856</v>
      </c>
      <c r="N12" s="445">
        <v>110</v>
      </c>
      <c r="O12" s="328">
        <v>37204.497063000003</v>
      </c>
      <c r="P12" s="328">
        <v>8.0693710000000003</v>
      </c>
      <c r="Q12" s="68">
        <v>234.60657</v>
      </c>
      <c r="R12" s="68">
        <v>0.156834</v>
      </c>
      <c r="S12" s="328">
        <v>1067.1904569999999</v>
      </c>
      <c r="T12" s="328">
        <v>0.30125099999999999</v>
      </c>
      <c r="U12" s="68">
        <v>179.06745900000001</v>
      </c>
      <c r="V12" s="68">
        <v>9.5475000000000004E-2</v>
      </c>
      <c r="W12" s="328">
        <v>1.7515430000000001</v>
      </c>
      <c r="X12" s="446">
        <v>8.4367999999999999E-2</v>
      </c>
      <c r="Y12" s="328">
        <v>15.451036999999999</v>
      </c>
      <c r="Z12" s="328">
        <v>0.13911000000000001</v>
      </c>
      <c r="AA12" s="328">
        <v>0.23530699999999999</v>
      </c>
      <c r="AB12" s="328">
        <v>0.10610799999999999</v>
      </c>
      <c r="AC12" s="328">
        <v>1.0489999999999999E-2</v>
      </c>
      <c r="AD12" s="328">
        <v>8.2476999999999995E-2</v>
      </c>
      <c r="AE12" s="328">
        <v>9.5020999999999994E-2</v>
      </c>
      <c r="AF12" s="328">
        <v>2.6977999999999999E-2</v>
      </c>
      <c r="AG12" s="328">
        <v>0.91375099999999998</v>
      </c>
      <c r="AH12" s="328">
        <v>9.3493000000000007E-2</v>
      </c>
      <c r="AI12" s="362">
        <f t="shared" si="1"/>
        <v>37189.046026000004</v>
      </c>
      <c r="AJ12" s="362">
        <f t="shared" si="2"/>
        <v>8.0705699877853121</v>
      </c>
      <c r="AK12" s="362">
        <f t="shared" si="3"/>
        <v>234.371263</v>
      </c>
      <c r="AL12" s="362">
        <f t="shared" si="4"/>
        <v>0.1893563075791245</v>
      </c>
      <c r="AM12" s="362">
        <f t="shared" si="5"/>
        <v>1067.179967</v>
      </c>
      <c r="AN12" s="362">
        <f t="shared" si="6"/>
        <v>0.31233735052023476</v>
      </c>
      <c r="AO12" s="362">
        <f t="shared" si="7"/>
        <v>178.97243800000001</v>
      </c>
      <c r="AP12" s="362">
        <f t="shared" si="8"/>
        <v>9.921334642577076E-2</v>
      </c>
      <c r="AQ12" s="362">
        <f t="shared" si="9"/>
        <v>0.83779200000000009</v>
      </c>
      <c r="AR12" s="362">
        <f t="shared" si="10"/>
        <v>0.12593212645310173</v>
      </c>
      <c r="AS12" s="273">
        <v>301.3</v>
      </c>
      <c r="AT12" s="273">
        <v>0.9</v>
      </c>
      <c r="AU12" s="363">
        <f t="shared" si="11"/>
        <v>235.5213081145516</v>
      </c>
      <c r="AV12" s="363">
        <f t="shared" si="12"/>
        <v>0.18939358775306581</v>
      </c>
      <c r="AW12" s="363">
        <f t="shared" si="13"/>
        <v>1077.6531375729271</v>
      </c>
      <c r="AX12" s="363">
        <f t="shared" si="14"/>
        <v>0.31278078553312405</v>
      </c>
      <c r="AY12" s="363">
        <f t="shared" si="15"/>
        <v>181.6070576456853</v>
      </c>
      <c r="AZ12" s="363">
        <f t="shared" si="16"/>
        <v>9.9284702310456635E-2</v>
      </c>
      <c r="BA12" s="363">
        <f t="shared" si="17"/>
        <v>0.85423597157360409</v>
      </c>
      <c r="BB12" s="363">
        <f t="shared" si="18"/>
        <v>0.12593364321556952</v>
      </c>
      <c r="BE12" s="228">
        <f t="shared" si="19"/>
        <v>681.94348297359568</v>
      </c>
      <c r="BF12" s="228">
        <f t="shared" si="20"/>
        <v>0.37281896737562176</v>
      </c>
      <c r="BG12" s="228">
        <f t="shared" si="21"/>
        <v>235.63273449862552</v>
      </c>
      <c r="BH12" s="362">
        <f t="shared" si="22"/>
        <v>0.18948319086719187</v>
      </c>
      <c r="BI12" s="228">
        <f t="shared" si="23"/>
        <v>37158.444076140957</v>
      </c>
      <c r="BJ12" s="363">
        <f t="shared" si="24"/>
        <v>8.0706077045838462</v>
      </c>
      <c r="BK12" s="228">
        <f t="shared" si="69"/>
        <v>235.00952819675075</v>
      </c>
      <c r="BL12" s="363">
        <f t="shared" si="25"/>
        <v>0.18948349717768043</v>
      </c>
      <c r="BM12" s="228">
        <f t="shared" si="26"/>
        <v>1074.0144736011287</v>
      </c>
      <c r="BN12" s="363">
        <f t="shared" si="27"/>
        <v>0.312794471468058</v>
      </c>
      <c r="BO12" s="363">
        <f t="shared" si="79"/>
        <v>0.61635420795296414</v>
      </c>
      <c r="BP12" s="363">
        <f t="shared" si="28"/>
        <v>0.12593371036613155</v>
      </c>
      <c r="BR12" s="362">
        <f t="shared" si="80"/>
        <v>0.4770718363971207</v>
      </c>
      <c r="BS12" s="362">
        <f t="shared" si="29"/>
        <v>0.1259343591770466</v>
      </c>
      <c r="BT12" s="228">
        <f t="shared" ref="BT12:BT15" si="81">IF(Rad_Type="Continuous", BM12-(Ar3836_Air*BO12)/(1-lambda_36Ar*(Run_Date-Rad_Date)),Ar38_IC-(Ar3836_Air*Ar36_IC)/Ar36_DecayFactor)</f>
        <v>1073.8985989624744</v>
      </c>
      <c r="BU12" s="362">
        <f t="shared" ref="BU12:BU15" si="82">IF(Rad_Type ="Continuous", SQRT(BN12^2*(((EXP(lambda_36Ar*(Run_Date-Rad_Date))-1*0.188)*BP12^2))),SQRT(Ar38_ICerr^2*(((EXP(lambda_36Ar*(Ar36_DecayFactor))-1*0.188)*Ar36_ICerr^2))))</f>
        <v>3.5495981710530707E-2</v>
      </c>
      <c r="BV12" s="228">
        <f t="shared" si="32"/>
        <v>37017.469348485611</v>
      </c>
      <c r="BW12" s="228">
        <f t="shared" si="33"/>
        <v>38.078694399175824</v>
      </c>
      <c r="BX12" s="362">
        <f t="shared" si="34"/>
        <v>157.51475964623214</v>
      </c>
      <c r="BY12" s="362">
        <f t="shared" si="35"/>
        <v>0.20587160116414072</v>
      </c>
      <c r="BZ12" s="364">
        <f t="shared" si="36"/>
        <v>4.569595995543648</v>
      </c>
      <c r="CA12" s="364">
        <f t="shared" si="37"/>
        <v>3.6874687955287069E-3</v>
      </c>
      <c r="CB12" s="364">
        <f t="shared" si="38"/>
        <v>2.9017695078417005</v>
      </c>
      <c r="CC12" s="364">
        <f t="shared" si="39"/>
        <v>2.8267601858574351E-3</v>
      </c>
      <c r="CD12" s="409">
        <f t="shared" si="74"/>
        <v>5.1787057209486372E-3</v>
      </c>
      <c r="CE12" s="409">
        <f t="shared" si="40"/>
        <v>2.0136604197685459E-5</v>
      </c>
      <c r="CF12" s="229">
        <f t="shared" si="41"/>
        <v>1.3003086929422823E+19</v>
      </c>
      <c r="CG12" s="239">
        <f t="shared" si="42"/>
        <v>2.994884421304937E+17</v>
      </c>
      <c r="CH12" s="229">
        <f t="shared" si="43"/>
        <v>9.6258134789295386E+17</v>
      </c>
      <c r="CI12" s="229">
        <f t="shared" si="44"/>
        <v>9563573115338838</v>
      </c>
      <c r="CJ12" s="362">
        <f t="shared" si="45"/>
        <v>13.508558999076785</v>
      </c>
      <c r="CK12" s="362">
        <f t="shared" si="46"/>
        <v>0.48570558070853703</v>
      </c>
      <c r="CL12" s="362">
        <f t="shared" si="47"/>
        <v>6.6604680603364816E-3</v>
      </c>
      <c r="CM12" s="362">
        <f t="shared" si="48"/>
        <v>23.95244307037801</v>
      </c>
      <c r="CN12" s="362">
        <f t="shared" si="49"/>
        <v>0.35747663309970495</v>
      </c>
      <c r="CO12" s="229">
        <f t="shared" si="50"/>
        <v>6.2837955319955134E-8</v>
      </c>
      <c r="CP12" s="229">
        <f t="shared" si="51"/>
        <v>6.2430942102811683E-10</v>
      </c>
      <c r="CQ12" s="229">
        <f t="shared" si="52"/>
        <v>1.5051225474601824E-6</v>
      </c>
      <c r="CR12" s="229">
        <f t="shared" si="53"/>
        <v>2.6985275787584768E-8</v>
      </c>
      <c r="CS12" s="229">
        <f t="shared" si="54"/>
        <v>3.0520745579215913E-8</v>
      </c>
      <c r="CT12" s="229">
        <f t="shared" si="55"/>
        <v>3.0719723269265666E-6</v>
      </c>
      <c r="CV12" s="330" t="str">
        <f t="shared" si="56"/>
        <v>H3</v>
      </c>
      <c r="CW12" s="330" t="str">
        <f t="shared" si="57"/>
        <v>MN2022a</v>
      </c>
      <c r="CX12" s="330">
        <f t="shared" si="58"/>
        <v>2</v>
      </c>
      <c r="CY12" s="330">
        <f t="shared" si="75"/>
        <v>2</v>
      </c>
      <c r="CZ12" s="365">
        <f t="shared" si="76"/>
        <v>5.1787057209486372E-3</v>
      </c>
      <c r="DA12" s="365">
        <f t="shared" si="59"/>
        <v>1.1006357349315917E-5</v>
      </c>
      <c r="DB12" s="365">
        <f t="shared" si="60"/>
        <v>2.0136604197685459E-5</v>
      </c>
      <c r="DC12" s="366">
        <f t="shared" si="61"/>
        <v>1.3003086929422823E+19</v>
      </c>
      <c r="DD12" s="366">
        <f t="shared" si="62"/>
        <v>2.994884421304937E+17</v>
      </c>
      <c r="DE12" s="366">
        <f t="shared" ref="DE12:DE15" si="83">CH12</f>
        <v>9.6258134789295386E+17</v>
      </c>
      <c r="DF12" s="366">
        <f t="shared" ref="DF12:DF15" si="84">CI12</f>
        <v>9563573115338838</v>
      </c>
      <c r="DG12" s="367">
        <f t="shared" si="65"/>
        <v>0.48570558070853703</v>
      </c>
      <c r="DH12" s="367">
        <f t="shared" si="66"/>
        <v>6.6604680603364816E-3</v>
      </c>
      <c r="DI12" s="367">
        <f t="shared" si="67"/>
        <v>23.95244307037801</v>
      </c>
      <c r="DJ12" s="367">
        <f t="shared" si="68"/>
        <v>0.35747663309970495</v>
      </c>
    </row>
    <row r="13" spans="2:114">
      <c r="B13" s="273" t="s">
        <v>868</v>
      </c>
      <c r="C13" s="273">
        <v>8.5999999999999998E-4</v>
      </c>
      <c r="D13" s="389">
        <f t="shared" si="0"/>
        <v>4.3000000000000003E-6</v>
      </c>
      <c r="E13" s="327">
        <v>44711</v>
      </c>
      <c r="F13" s="273" t="s">
        <v>210</v>
      </c>
      <c r="G13" s="273" t="s">
        <v>893</v>
      </c>
      <c r="H13" s="273">
        <v>2</v>
      </c>
      <c r="I13" s="273">
        <v>39</v>
      </c>
      <c r="J13" s="327">
        <v>44644</v>
      </c>
      <c r="K13" s="273" t="s">
        <v>823</v>
      </c>
      <c r="L13" s="273" t="s">
        <v>854</v>
      </c>
      <c r="M13" s="273" t="s">
        <v>856</v>
      </c>
      <c r="N13" s="445">
        <v>110</v>
      </c>
      <c r="O13" s="328">
        <v>44936.892660999998</v>
      </c>
      <c r="P13" s="328">
        <v>12.025762</v>
      </c>
      <c r="Q13" s="68">
        <v>238.54638</v>
      </c>
      <c r="R13" s="68">
        <v>0.13491300000000001</v>
      </c>
      <c r="S13" s="328">
        <v>1127.414452</v>
      </c>
      <c r="T13" s="328">
        <v>0.32549400000000001</v>
      </c>
      <c r="U13" s="68">
        <v>190.29190199999999</v>
      </c>
      <c r="V13" s="68">
        <v>0.13577700000000001</v>
      </c>
      <c r="W13" s="328">
        <v>1.939028</v>
      </c>
      <c r="X13" s="446">
        <v>6.1327E-2</v>
      </c>
      <c r="Y13" s="328">
        <v>15.747671</v>
      </c>
      <c r="Z13" s="328">
        <v>0.20139199999999999</v>
      </c>
      <c r="AA13" s="328">
        <v>0.282028</v>
      </c>
      <c r="AB13" s="328">
        <v>7.7086000000000002E-2</v>
      </c>
      <c r="AC13" s="328">
        <v>-4.5825999999999999E-2</v>
      </c>
      <c r="AD13" s="328">
        <v>5.9673999999999998E-2</v>
      </c>
      <c r="AE13" s="328">
        <v>9.6147999999999997E-2</v>
      </c>
      <c r="AF13" s="328">
        <v>3.0224999999999998E-2</v>
      </c>
      <c r="AG13" s="328">
        <v>1.1121589999999999</v>
      </c>
      <c r="AH13" s="328">
        <v>0.15248300000000001</v>
      </c>
      <c r="AI13" s="362">
        <f t="shared" si="1"/>
        <v>44921.144990000001</v>
      </c>
      <c r="AJ13" s="362">
        <f t="shared" si="2"/>
        <v>12.027448208922291</v>
      </c>
      <c r="AK13" s="362">
        <f t="shared" si="3"/>
        <v>238.264352</v>
      </c>
      <c r="AL13" s="362">
        <f t="shared" si="4"/>
        <v>0.15538265335937598</v>
      </c>
      <c r="AM13" s="362">
        <f t="shared" si="5"/>
        <v>1127.460278</v>
      </c>
      <c r="AN13" s="362">
        <f t="shared" si="6"/>
        <v>0.33091891803280149</v>
      </c>
      <c r="AO13" s="362">
        <f t="shared" si="7"/>
        <v>190.19575399999999</v>
      </c>
      <c r="AP13" s="362">
        <f t="shared" si="8"/>
        <v>0.13910048293949234</v>
      </c>
      <c r="AQ13" s="362">
        <f t="shared" si="9"/>
        <v>0.82686900000000008</v>
      </c>
      <c r="AR13" s="362">
        <f t="shared" si="10"/>
        <v>0.16435347948248616</v>
      </c>
      <c r="AS13" s="273">
        <v>301.3</v>
      </c>
      <c r="AT13" s="273">
        <v>0.9</v>
      </c>
      <c r="AU13" s="363">
        <f t="shared" si="11"/>
        <v>239.43350025854483</v>
      </c>
      <c r="AV13" s="363">
        <f t="shared" si="12"/>
        <v>0.1554286038157135</v>
      </c>
      <c r="AW13" s="363">
        <f t="shared" si="13"/>
        <v>1138.5250319972927</v>
      </c>
      <c r="AX13" s="363">
        <f t="shared" si="14"/>
        <v>0.33138609581756823</v>
      </c>
      <c r="AY13" s="363">
        <f t="shared" si="15"/>
        <v>192.99558997258882</v>
      </c>
      <c r="AZ13" s="363">
        <f t="shared" si="16"/>
        <v>0.13915923573944042</v>
      </c>
      <c r="BA13" s="363">
        <f t="shared" si="17"/>
        <v>0.84309857766497465</v>
      </c>
      <c r="BB13" s="363">
        <f t="shared" si="18"/>
        <v>0.16435545862693071</v>
      </c>
      <c r="BE13" s="228">
        <f t="shared" si="19"/>
        <v>724.7079850895766</v>
      </c>
      <c r="BF13" s="228">
        <f t="shared" si="20"/>
        <v>0.52254981242658949</v>
      </c>
      <c r="BG13" s="228">
        <f t="shared" si="21"/>
        <v>239.54677752153879</v>
      </c>
      <c r="BH13" s="362">
        <f t="shared" si="22"/>
        <v>0.1555021379152117</v>
      </c>
      <c r="BI13" s="228">
        <f t="shared" si="23"/>
        <v>44890.038458938987</v>
      </c>
      <c r="BJ13" s="363">
        <f t="shared" si="24"/>
        <v>12.027465254050909</v>
      </c>
      <c r="BK13" s="228">
        <f t="shared" si="69"/>
        <v>238.88449011121349</v>
      </c>
      <c r="BL13" s="363">
        <f t="shared" si="25"/>
        <v>0.15550287117001113</v>
      </c>
      <c r="BM13" s="228">
        <f t="shared" si="26"/>
        <v>1134.8259269863413</v>
      </c>
      <c r="BN13" s="363">
        <f t="shared" si="27"/>
        <v>0.33139479574048036</v>
      </c>
      <c r="BO13" s="363">
        <f t="shared" si="79"/>
        <v>0.59029930923975837</v>
      </c>
      <c r="BP13" s="363">
        <f t="shared" si="28"/>
        <v>0.16435555970726351</v>
      </c>
      <c r="BR13" s="362">
        <f t="shared" si="80"/>
        <v>0.44312918580168553</v>
      </c>
      <c r="BS13" s="362">
        <f t="shared" si="29"/>
        <v>0.16435651016682065</v>
      </c>
      <c r="BT13" s="228">
        <f t="shared" si="81"/>
        <v>1134.7149506706555</v>
      </c>
      <c r="BU13" s="362">
        <f t="shared" si="82"/>
        <v>4.9080412936415969E-2</v>
      </c>
      <c r="BV13" s="228">
        <f t="shared" si="32"/>
        <v>44759.093784534591</v>
      </c>
      <c r="BW13" s="228">
        <f t="shared" si="33"/>
        <v>50.034460978996975</v>
      </c>
      <c r="BX13" s="362">
        <f t="shared" si="34"/>
        <v>187.36709848218626</v>
      </c>
      <c r="BY13" s="362">
        <f t="shared" si="35"/>
        <v>0.24237478026126863</v>
      </c>
      <c r="BZ13" s="364">
        <f t="shared" si="36"/>
        <v>4.7500570260647104</v>
      </c>
      <c r="CA13" s="364">
        <f t="shared" si="37"/>
        <v>3.098888153523484E-3</v>
      </c>
      <c r="CB13" s="364">
        <f t="shared" si="38"/>
        <v>3.0337171942480916</v>
      </c>
      <c r="CC13" s="364">
        <f t="shared" si="39"/>
        <v>2.9470072393454009E-3</v>
      </c>
      <c r="CD13" s="409">
        <f t="shared" si="74"/>
        <v>4.3536063349529095E-3</v>
      </c>
      <c r="CE13" s="409">
        <f t="shared" si="40"/>
        <v>1.6908787675871256E-5</v>
      </c>
      <c r="CF13" s="229">
        <f t="shared" si="41"/>
        <v>1.1363062819765283E+19</v>
      </c>
      <c r="CG13" s="239">
        <f t="shared" si="42"/>
        <v>2.6165097992136829E+17</v>
      </c>
      <c r="CH13" s="229">
        <f t="shared" si="43"/>
        <v>8.092176848632791E+17</v>
      </c>
      <c r="CI13" s="229">
        <f t="shared" si="44"/>
        <v>8038431945292006</v>
      </c>
      <c r="CJ13" s="362">
        <f t="shared" si="45"/>
        <v>14.042034711197793</v>
      </c>
      <c r="CK13" s="362">
        <f t="shared" si="46"/>
        <v>0.50779132097011681</v>
      </c>
      <c r="CL13" s="362">
        <f t="shared" si="47"/>
        <v>6.9632308111455569E-3</v>
      </c>
      <c r="CM13" s="362">
        <f t="shared" si="48"/>
        <v>24.898365327880175</v>
      </c>
      <c r="CN13" s="362">
        <f t="shared" si="49"/>
        <v>0.37140578198390523</v>
      </c>
      <c r="CO13" s="229">
        <f t="shared" si="50"/>
        <v>5.2826272643723732E-8</v>
      </c>
      <c r="CP13" s="229">
        <f t="shared" si="51"/>
        <v>5.2474830413349871E-10</v>
      </c>
      <c r="CQ13" s="229">
        <f t="shared" si="52"/>
        <v>1.3152878351936359E-6</v>
      </c>
      <c r="CR13" s="229">
        <f t="shared" si="53"/>
        <v>2.3572181915822054E-8</v>
      </c>
      <c r="CS13" s="229">
        <f t="shared" si="54"/>
        <v>2.682472276768402E-8</v>
      </c>
      <c r="CT13" s="229">
        <f t="shared" si="55"/>
        <v>2.7004377536852823E-6</v>
      </c>
      <c r="CV13" s="330" t="str">
        <f t="shared" si="56"/>
        <v>H5</v>
      </c>
      <c r="CW13" s="330" t="str">
        <f t="shared" si="57"/>
        <v>MN2022a</v>
      </c>
      <c r="CX13" s="330">
        <f t="shared" si="58"/>
        <v>2</v>
      </c>
      <c r="CY13" s="330">
        <f t="shared" si="75"/>
        <v>39</v>
      </c>
      <c r="CZ13" s="365">
        <f t="shared" si="76"/>
        <v>4.3536063349529095E-3</v>
      </c>
      <c r="DA13" s="365">
        <f t="shared" si="59"/>
        <v>9.2169599584457924E-6</v>
      </c>
      <c r="DB13" s="365">
        <f t="shared" si="60"/>
        <v>1.6908787675871256E-5</v>
      </c>
      <c r="DC13" s="366">
        <f t="shared" si="61"/>
        <v>1.1363062819765283E+19</v>
      </c>
      <c r="DD13" s="366">
        <f t="shared" si="62"/>
        <v>2.6165097992136829E+17</v>
      </c>
      <c r="DE13" s="366">
        <f t="shared" si="83"/>
        <v>8.092176848632791E+17</v>
      </c>
      <c r="DF13" s="366">
        <f t="shared" si="84"/>
        <v>8038431945292006</v>
      </c>
      <c r="DG13" s="367">
        <f t="shared" si="65"/>
        <v>0.50779132097011681</v>
      </c>
      <c r="DH13" s="367">
        <f t="shared" si="66"/>
        <v>6.9632308111455569E-3</v>
      </c>
      <c r="DI13" s="367">
        <f t="shared" si="67"/>
        <v>24.898365327880175</v>
      </c>
      <c r="DJ13" s="367">
        <f t="shared" si="68"/>
        <v>0.37140578198390523</v>
      </c>
    </row>
    <row r="14" spans="2:114">
      <c r="B14" s="273" t="s">
        <v>903</v>
      </c>
      <c r="C14" s="273">
        <v>1.1800000000000001E-3</v>
      </c>
      <c r="D14" s="389">
        <f t="shared" si="0"/>
        <v>5.9000000000000003E-6</v>
      </c>
      <c r="E14" s="327">
        <v>44711</v>
      </c>
      <c r="F14" s="273" t="s">
        <v>210</v>
      </c>
      <c r="G14" s="273" t="s">
        <v>893</v>
      </c>
      <c r="H14" s="273">
        <v>3</v>
      </c>
      <c r="I14" s="273">
        <v>24</v>
      </c>
      <c r="J14" s="327">
        <v>44644</v>
      </c>
      <c r="K14" s="273" t="s">
        <v>823</v>
      </c>
      <c r="L14" s="273" t="s">
        <v>854</v>
      </c>
      <c r="M14" s="273" t="s">
        <v>856</v>
      </c>
      <c r="N14" s="445">
        <v>110</v>
      </c>
      <c r="O14" s="328">
        <v>59997.206010000002</v>
      </c>
      <c r="P14" s="328">
        <v>12.882428000000001</v>
      </c>
      <c r="Q14" s="68">
        <v>358.69438700000001</v>
      </c>
      <c r="R14" s="68">
        <v>0.18326600000000001</v>
      </c>
      <c r="S14" s="328">
        <v>1609.6341339999999</v>
      </c>
      <c r="T14" s="328">
        <v>0.49746400000000002</v>
      </c>
      <c r="U14" s="68">
        <v>285.94448599999998</v>
      </c>
      <c r="V14" s="68">
        <v>0.15034700000000001</v>
      </c>
      <c r="W14" s="328">
        <v>2.3876499999999998</v>
      </c>
      <c r="X14" s="446">
        <v>6.5203999999999998E-2</v>
      </c>
      <c r="Y14" s="328">
        <v>15.339815</v>
      </c>
      <c r="Z14" s="328">
        <v>0.18568599999999999</v>
      </c>
      <c r="AA14" s="328">
        <v>0.31983</v>
      </c>
      <c r="AB14" s="328">
        <v>3.7622999999999997E-2</v>
      </c>
      <c r="AC14" s="328">
        <v>0.178318</v>
      </c>
      <c r="AD14" s="328">
        <v>6.3674999999999995E-2</v>
      </c>
      <c r="AE14" s="328">
        <v>9.2801999999999996E-2</v>
      </c>
      <c r="AF14" s="328">
        <v>1.7333999999999999E-2</v>
      </c>
      <c r="AG14" s="328">
        <v>0.90893800000000002</v>
      </c>
      <c r="AH14" s="328">
        <v>8.0522999999999997E-2</v>
      </c>
      <c r="AI14" s="362">
        <f t="shared" si="1"/>
        <v>59981.866195000002</v>
      </c>
      <c r="AJ14" s="362">
        <f t="shared" si="2"/>
        <v>12.883766160008495</v>
      </c>
      <c r="AK14" s="362">
        <f t="shared" si="3"/>
        <v>358.37455699999998</v>
      </c>
      <c r="AL14" s="362">
        <f t="shared" si="4"/>
        <v>0.18708799235921048</v>
      </c>
      <c r="AM14" s="362">
        <f t="shared" si="5"/>
        <v>1609.4558159999999</v>
      </c>
      <c r="AN14" s="362">
        <f t="shared" si="6"/>
        <v>0.50152261855373981</v>
      </c>
      <c r="AO14" s="362">
        <f t="shared" si="7"/>
        <v>285.85168399999998</v>
      </c>
      <c r="AP14" s="362">
        <f t="shared" si="8"/>
        <v>0.15134294818391772</v>
      </c>
      <c r="AQ14" s="362">
        <f t="shared" si="9"/>
        <v>1.4787119999999998</v>
      </c>
      <c r="AR14" s="362">
        <f t="shared" si="10"/>
        <v>0.1036123310470332</v>
      </c>
      <c r="AS14" s="273">
        <v>301.3</v>
      </c>
      <c r="AT14" s="273">
        <v>0.9</v>
      </c>
      <c r="AU14" s="363">
        <f t="shared" si="11"/>
        <v>360.13307851488997</v>
      </c>
      <c r="AV14" s="363">
        <f t="shared" si="12"/>
        <v>0.18717306142523063</v>
      </c>
      <c r="AW14" s="363">
        <f t="shared" si="13"/>
        <v>1625.2508138558374</v>
      </c>
      <c r="AX14" s="363">
        <f t="shared" si="14"/>
        <v>0.50215150673860853</v>
      </c>
      <c r="AY14" s="363">
        <f t="shared" si="15"/>
        <v>290.05965295228424</v>
      </c>
      <c r="AZ14" s="363">
        <f t="shared" si="16"/>
        <v>0.15146196165512846</v>
      </c>
      <c r="BA14" s="363">
        <f t="shared" si="17"/>
        <v>1.5077357888324869</v>
      </c>
      <c r="BB14" s="363">
        <f t="shared" si="18"/>
        <v>0.10361358097665721</v>
      </c>
      <c r="BE14" s="228">
        <f t="shared" si="19"/>
        <v>1089.1883419547967</v>
      </c>
      <c r="BF14" s="228">
        <f t="shared" si="20"/>
        <v>0.56874715668058995</v>
      </c>
      <c r="BG14" s="228">
        <f t="shared" si="21"/>
        <v>360.30345939059742</v>
      </c>
      <c r="BH14" s="362">
        <f t="shared" si="22"/>
        <v>0.18726161399653563</v>
      </c>
      <c r="BI14" s="228">
        <f t="shared" si="23"/>
        <v>59935.078611163335</v>
      </c>
      <c r="BJ14" s="363">
        <f t="shared" si="24"/>
        <v>12.883789235709814</v>
      </c>
      <c r="BK14" s="228">
        <f t="shared" si="69"/>
        <v>359.3080850588787</v>
      </c>
      <c r="BL14" s="363">
        <f t="shared" si="25"/>
        <v>0.18726233531290573</v>
      </c>
      <c r="BM14" s="228">
        <f t="shared" si="26"/>
        <v>1619.6869722300612</v>
      </c>
      <c r="BN14" s="363">
        <f t="shared" si="27"/>
        <v>0.50215983284225696</v>
      </c>
      <c r="BO14" s="363">
        <f t="shared" si="79"/>
        <v>1.1277951483420787</v>
      </c>
      <c r="BP14" s="363">
        <f t="shared" si="28"/>
        <v>0.10361377091687526</v>
      </c>
      <c r="BR14" s="362">
        <f t="shared" si="80"/>
        <v>0.91775268114515085</v>
      </c>
      <c r="BS14" s="362">
        <f t="shared" si="29"/>
        <v>0.10361514672436295</v>
      </c>
      <c r="BT14" s="228">
        <f t="shared" si="81"/>
        <v>1619.47494665515</v>
      </c>
      <c r="BU14" s="362">
        <f t="shared" si="82"/>
        <v>4.6885394562345896E-2</v>
      </c>
      <c r="BV14" s="228">
        <f t="shared" si="32"/>
        <v>59663.882693884945</v>
      </c>
      <c r="BW14" s="228">
        <f t="shared" si="33"/>
        <v>33.218531598018558</v>
      </c>
      <c r="BX14" s="362">
        <f t="shared" si="34"/>
        <v>166.05215739609091</v>
      </c>
      <c r="BY14" s="362">
        <f t="shared" si="35"/>
        <v>0.12663653895684523</v>
      </c>
      <c r="BZ14" s="364">
        <f t="shared" si="36"/>
        <v>4.5072043018173993</v>
      </c>
      <c r="CA14" s="364">
        <f t="shared" si="37"/>
        <v>2.3526629784879211E-3</v>
      </c>
      <c r="CB14" s="364">
        <f t="shared" si="38"/>
        <v>3.0313493830129503</v>
      </c>
      <c r="CC14" s="364">
        <f t="shared" si="39"/>
        <v>2.2364090522117327E-3</v>
      </c>
      <c r="CD14" s="409">
        <f t="shared" si="74"/>
        <v>4.9124479904709452E-3</v>
      </c>
      <c r="CE14" s="409">
        <f t="shared" si="40"/>
        <v>1.8375840058757483E-5</v>
      </c>
      <c r="CF14" s="229">
        <f t="shared" si="41"/>
        <v>1.2166135169711143E+19</v>
      </c>
      <c r="CG14" s="239">
        <f t="shared" si="42"/>
        <v>2.7981381619946419E+17</v>
      </c>
      <c r="CH14" s="229">
        <f t="shared" si="43"/>
        <v>9.1309123609660582E+17</v>
      </c>
      <c r="CI14" s="229">
        <f t="shared" si="44"/>
        <v>9019952458597928</v>
      </c>
      <c r="CJ14" s="362">
        <f t="shared" si="45"/>
        <v>13.324117775700516</v>
      </c>
      <c r="CK14" s="362">
        <f t="shared" si="46"/>
        <v>0.50739499068686567</v>
      </c>
      <c r="CL14" s="362">
        <f t="shared" si="47"/>
        <v>6.9504035637630596E-3</v>
      </c>
      <c r="CM14" s="362">
        <f t="shared" si="48"/>
        <v>23.625404642145003</v>
      </c>
      <c r="CN14" s="362">
        <f t="shared" si="49"/>
        <v>0.35229588625962521</v>
      </c>
      <c r="CO14" s="229">
        <f t="shared" si="50"/>
        <v>5.9607207663514626E-8</v>
      </c>
      <c r="CP14" s="229">
        <f t="shared" si="51"/>
        <v>5.8882182382329825E-10</v>
      </c>
      <c r="CQ14" s="229">
        <f t="shared" si="52"/>
        <v>1.4082444006388996E-6</v>
      </c>
      <c r="CR14" s="229">
        <f t="shared" si="53"/>
        <v>2.5189162589942526E-8</v>
      </c>
      <c r="CS14" s="229">
        <f t="shared" si="54"/>
        <v>3.0244398577299074E-8</v>
      </c>
      <c r="CT14" s="229">
        <f t="shared" si="55"/>
        <v>3.0616802744407613E-6</v>
      </c>
      <c r="CV14" s="330" t="str">
        <f t="shared" si="56"/>
        <v>H7</v>
      </c>
      <c r="CW14" s="330" t="str">
        <f t="shared" si="57"/>
        <v>MN2022a</v>
      </c>
      <c r="CX14" s="330">
        <f t="shared" si="58"/>
        <v>3</v>
      </c>
      <c r="CY14" s="330">
        <f t="shared" si="75"/>
        <v>24</v>
      </c>
      <c r="CZ14" s="365">
        <f t="shared" si="76"/>
        <v>4.9124479904709452E-3</v>
      </c>
      <c r="DA14" s="365">
        <f t="shared" si="59"/>
        <v>9.0451826023767234E-6</v>
      </c>
      <c r="DB14" s="365">
        <f t="shared" si="60"/>
        <v>1.8375840058757483E-5</v>
      </c>
      <c r="DC14" s="366">
        <f t="shared" si="61"/>
        <v>1.2166135169711143E+19</v>
      </c>
      <c r="DD14" s="366">
        <f t="shared" si="62"/>
        <v>2.7981381619946419E+17</v>
      </c>
      <c r="DE14" s="366">
        <f t="shared" si="83"/>
        <v>9.1309123609660582E+17</v>
      </c>
      <c r="DF14" s="366">
        <f t="shared" si="84"/>
        <v>9019952458597928</v>
      </c>
      <c r="DG14" s="367">
        <f t="shared" si="65"/>
        <v>0.50739499068686567</v>
      </c>
      <c r="DH14" s="367">
        <f t="shared" si="66"/>
        <v>6.9504035637630596E-3</v>
      </c>
      <c r="DI14" s="367">
        <f t="shared" si="67"/>
        <v>23.625404642145003</v>
      </c>
      <c r="DJ14" s="367">
        <f t="shared" si="68"/>
        <v>0.35229588625962521</v>
      </c>
    </row>
    <row r="15" spans="2:114">
      <c r="B15" s="273" t="s">
        <v>869</v>
      </c>
      <c r="C15" s="273">
        <v>1.0300000000000001E-3</v>
      </c>
      <c r="D15" s="389">
        <f t="shared" si="0"/>
        <v>5.1500000000000007E-6</v>
      </c>
      <c r="E15" s="327">
        <v>44711</v>
      </c>
      <c r="F15" s="273" t="s">
        <v>210</v>
      </c>
      <c r="G15" s="273" t="s">
        <v>893</v>
      </c>
      <c r="H15" s="273">
        <v>3</v>
      </c>
      <c r="I15" s="273">
        <v>2</v>
      </c>
      <c r="J15" s="327">
        <v>44644</v>
      </c>
      <c r="K15" s="273" t="s">
        <v>823</v>
      </c>
      <c r="L15" s="273" t="s">
        <v>854</v>
      </c>
      <c r="M15" s="273" t="s">
        <v>856</v>
      </c>
      <c r="N15" s="445">
        <v>110</v>
      </c>
      <c r="O15" s="328">
        <v>47713.138628000001</v>
      </c>
      <c r="P15" s="328">
        <v>6.4958499999999999</v>
      </c>
      <c r="Q15" s="68">
        <v>309.52050500000001</v>
      </c>
      <c r="R15" s="68">
        <v>0.14866399999999999</v>
      </c>
      <c r="S15" s="328">
        <v>1362.475964</v>
      </c>
      <c r="T15" s="328">
        <v>0.32791799999999999</v>
      </c>
      <c r="U15" s="68">
        <v>229.90429700000001</v>
      </c>
      <c r="V15" s="68">
        <v>0.16638600000000001</v>
      </c>
      <c r="W15" s="328">
        <v>2.1019030000000001</v>
      </c>
      <c r="X15" s="446">
        <v>3.7037E-2</v>
      </c>
      <c r="Y15" s="328">
        <v>18.257939</v>
      </c>
      <c r="Z15" s="328">
        <v>0.295095</v>
      </c>
      <c r="AA15" s="328">
        <v>0.226719</v>
      </c>
      <c r="AB15" s="328">
        <v>6.2544000000000002E-2</v>
      </c>
      <c r="AC15" s="328">
        <v>0.18953999999999999</v>
      </c>
      <c r="AD15" s="328">
        <v>9.2512999999999998E-2</v>
      </c>
      <c r="AE15" s="328">
        <v>0.110724</v>
      </c>
      <c r="AF15" s="328">
        <v>2.9811000000000001E-2</v>
      </c>
      <c r="AG15" s="328">
        <v>1.1252549999999999</v>
      </c>
      <c r="AH15" s="328">
        <v>7.5509000000000007E-2</v>
      </c>
      <c r="AI15" s="362">
        <f t="shared" si="1"/>
        <v>47694.880688999998</v>
      </c>
      <c r="AJ15" s="362">
        <f t="shared" si="2"/>
        <v>6.5025493678652682</v>
      </c>
      <c r="AK15" s="362">
        <f t="shared" si="3"/>
        <v>309.29378600000001</v>
      </c>
      <c r="AL15" s="362">
        <f t="shared" si="4"/>
        <v>0.16128464536960732</v>
      </c>
      <c r="AM15" s="362">
        <f t="shared" si="5"/>
        <v>1362.2864239999999</v>
      </c>
      <c r="AN15" s="362">
        <f t="shared" si="6"/>
        <v>0.3407181678352359</v>
      </c>
      <c r="AO15" s="362">
        <f t="shared" si="7"/>
        <v>229.79357300000001</v>
      </c>
      <c r="AP15" s="362">
        <f t="shared" si="8"/>
        <v>0.1690354895192131</v>
      </c>
      <c r="AQ15" s="362">
        <f t="shared" si="9"/>
        <v>0.97664800000000018</v>
      </c>
      <c r="AR15" s="362">
        <f t="shared" si="10"/>
        <v>8.4103201187588572E-2</v>
      </c>
      <c r="AS15" s="273">
        <v>301.3</v>
      </c>
      <c r="AT15" s="273">
        <v>0.9</v>
      </c>
      <c r="AU15" s="363">
        <f t="shared" si="11"/>
        <v>310.81147124433164</v>
      </c>
      <c r="AV15" s="363">
        <f t="shared" si="12"/>
        <v>0.16135814186677686</v>
      </c>
      <c r="AW15" s="363">
        <f t="shared" si="13"/>
        <v>1375.6557323912011</v>
      </c>
      <c r="AX15" s="363">
        <f t="shared" si="14"/>
        <v>0.34137888205122136</v>
      </c>
      <c r="AY15" s="363">
        <f t="shared" si="15"/>
        <v>233.17632102893401</v>
      </c>
      <c r="AZ15" s="363">
        <f t="shared" si="16"/>
        <v>0.1691061067004315</v>
      </c>
      <c r="BA15" s="363">
        <f t="shared" si="17"/>
        <v>0.99581740236886651</v>
      </c>
      <c r="BB15" s="363">
        <f t="shared" si="18"/>
        <v>8.4104215069901761E-2</v>
      </c>
      <c r="BE15" s="228">
        <f t="shared" si="19"/>
        <v>875.58861737452116</v>
      </c>
      <c r="BF15" s="228">
        <f t="shared" si="20"/>
        <v>0.6350017939302075</v>
      </c>
      <c r="BG15" s="228">
        <f t="shared" si="21"/>
        <v>310.95851780519996</v>
      </c>
      <c r="BH15" s="362">
        <f t="shared" si="22"/>
        <v>0.161434481262278</v>
      </c>
      <c r="BI15" s="228">
        <f t="shared" si="23"/>
        <v>47654.493177022516</v>
      </c>
      <c r="BJ15" s="363">
        <f t="shared" si="24"/>
        <v>6.5025833468724841</v>
      </c>
      <c r="BK15" s="228">
        <f t="shared" si="69"/>
        <v>310.15834541874614</v>
      </c>
      <c r="BL15" s="363">
        <f t="shared" si="25"/>
        <v>0.16143552427380728</v>
      </c>
      <c r="BM15" s="228">
        <f t="shared" si="26"/>
        <v>1370.8538802297467</v>
      </c>
      <c r="BN15" s="363">
        <f t="shared" si="27"/>
        <v>0.34138798396721287</v>
      </c>
      <c r="BO15" s="363">
        <f t="shared" si="79"/>
        <v>0.69038657165107598</v>
      </c>
      <c r="BP15" s="363">
        <f t="shared" si="28"/>
        <v>8.4104506763519035E-2</v>
      </c>
      <c r="BR15" s="362">
        <f t="shared" si="80"/>
        <v>0.51260656351966516</v>
      </c>
      <c r="BS15" s="362">
        <f t="shared" si="29"/>
        <v>8.4105022910661908E-2</v>
      </c>
      <c r="BT15" s="228">
        <f t="shared" si="81"/>
        <v>1370.7240875010045</v>
      </c>
      <c r="BU15" s="362">
        <f t="shared" si="82"/>
        <v>2.5872930596175629E-2</v>
      </c>
      <c r="BV15" s="228">
        <f t="shared" si="32"/>
        <v>47503.017937502453</v>
      </c>
      <c r="BW15" s="228">
        <f t="shared" si="33"/>
        <v>25.689626361895922</v>
      </c>
      <c r="BX15" s="362">
        <f t="shared" si="34"/>
        <v>153.15731025508413</v>
      </c>
      <c r="BY15" s="362">
        <f t="shared" si="35"/>
        <v>0.1149576366975064</v>
      </c>
      <c r="BZ15" s="364">
        <f t="shared" si="36"/>
        <v>4.4194331951648245</v>
      </c>
      <c r="CA15" s="364">
        <f t="shared" si="37"/>
        <v>2.3018000444432521E-3</v>
      </c>
      <c r="CB15" s="364">
        <f t="shared" si="38"/>
        <v>2.8230374268742797</v>
      </c>
      <c r="CC15" s="364">
        <f t="shared" si="39"/>
        <v>2.5200574182620782E-3</v>
      </c>
      <c r="CD15" s="409">
        <f t="shared" si="74"/>
        <v>5.3260440886249731E-3</v>
      </c>
      <c r="CE15" s="409">
        <f t="shared" si="40"/>
        <v>1.9909985218339035E-5</v>
      </c>
      <c r="CF15" s="229">
        <f t="shared" si="41"/>
        <v>1.2933580137696672E+19</v>
      </c>
      <c r="CG15" s="239">
        <f t="shared" si="42"/>
        <v>2.9745913030595667E+17</v>
      </c>
      <c r="CH15" s="229">
        <f t="shared" si="43"/>
        <v>9.8996756603246528E+17</v>
      </c>
      <c r="CI15" s="229">
        <f t="shared" si="44"/>
        <v>9778460269741880</v>
      </c>
      <c r="CJ15" s="362">
        <f t="shared" si="45"/>
        <v>13.064650379942371</v>
      </c>
      <c r="CK15" s="362">
        <f t="shared" si="46"/>
        <v>0.4725272042029835</v>
      </c>
      <c r="CL15" s="362">
        <f t="shared" si="47"/>
        <v>6.4771322506609634E-3</v>
      </c>
      <c r="CM15" s="362">
        <f t="shared" si="48"/>
        <v>23.165334991048912</v>
      </c>
      <c r="CN15" s="362">
        <f t="shared" si="49"/>
        <v>0.34543452207204617</v>
      </c>
      <c r="CO15" s="229">
        <f t="shared" si="50"/>
        <v>6.4625745988868588E-8</v>
      </c>
      <c r="CP15" s="229">
        <f t="shared" si="51"/>
        <v>6.3833715580788387E-10</v>
      </c>
      <c r="CQ15" s="229">
        <f t="shared" si="52"/>
        <v>1.4970770548785765E-6</v>
      </c>
      <c r="CR15" s="229">
        <f t="shared" si="53"/>
        <v>2.6777292987101703E-8</v>
      </c>
      <c r="CS15" s="229">
        <f t="shared" si="54"/>
        <v>3.0537423071652247E-8</v>
      </c>
      <c r="CT15" s="229">
        <f t="shared" si="55"/>
        <v>3.0916322929288055E-6</v>
      </c>
      <c r="CV15" s="330" t="str">
        <f t="shared" si="56"/>
        <v>H6</v>
      </c>
      <c r="CW15" s="330" t="str">
        <f t="shared" si="57"/>
        <v>MN2022a</v>
      </c>
      <c r="CX15" s="330">
        <f t="shared" si="58"/>
        <v>3</v>
      </c>
      <c r="CY15" s="330">
        <f t="shared" si="75"/>
        <v>2</v>
      </c>
      <c r="CZ15" s="365">
        <f t="shared" si="76"/>
        <v>5.3260440886249731E-3</v>
      </c>
      <c r="DA15" s="365">
        <f t="shared" si="59"/>
        <v>9.7803298151070112E-6</v>
      </c>
      <c r="DB15" s="365">
        <f t="shared" si="60"/>
        <v>1.9909985218339035E-5</v>
      </c>
      <c r="DC15" s="366">
        <f t="shared" si="61"/>
        <v>1.2933580137696672E+19</v>
      </c>
      <c r="DD15" s="366">
        <f t="shared" si="62"/>
        <v>2.9745913030595667E+17</v>
      </c>
      <c r="DE15" s="366">
        <f t="shared" si="83"/>
        <v>9.8996756603246528E+17</v>
      </c>
      <c r="DF15" s="366">
        <f t="shared" si="84"/>
        <v>9778460269741880</v>
      </c>
      <c r="DG15" s="367">
        <f t="shared" si="65"/>
        <v>0.4725272042029835</v>
      </c>
      <c r="DH15" s="367">
        <f t="shared" si="66"/>
        <v>6.4771322506609634E-3</v>
      </c>
      <c r="DI15" s="367">
        <f t="shared" si="67"/>
        <v>23.165334991048912</v>
      </c>
      <c r="DJ15" s="367">
        <f t="shared" si="68"/>
        <v>0.34543452207204617</v>
      </c>
    </row>
    <row r="16" spans="2:114">
      <c r="B16" s="273" t="s">
        <v>904</v>
      </c>
      <c r="C16" s="273">
        <v>7.6999999999999996E-4</v>
      </c>
      <c r="D16" s="389">
        <f t="shared" si="0"/>
        <v>3.8499999999999996E-6</v>
      </c>
      <c r="E16" s="327">
        <v>44711</v>
      </c>
      <c r="F16" s="273" t="s">
        <v>210</v>
      </c>
      <c r="G16" s="273" t="s">
        <v>893</v>
      </c>
      <c r="H16" s="273">
        <v>3</v>
      </c>
      <c r="I16" s="273">
        <v>41</v>
      </c>
      <c r="J16" s="327">
        <v>44644</v>
      </c>
      <c r="K16" s="273" t="s">
        <v>823</v>
      </c>
      <c r="L16" s="273" t="s">
        <v>854</v>
      </c>
      <c r="M16" s="273" t="s">
        <v>856</v>
      </c>
      <c r="N16" s="445">
        <v>110</v>
      </c>
      <c r="O16" s="328">
        <v>30053.599869999998</v>
      </c>
      <c r="P16" s="328">
        <v>1.993665</v>
      </c>
      <c r="Q16" s="68">
        <v>155.684291</v>
      </c>
      <c r="R16" s="68">
        <v>0.13563800000000001</v>
      </c>
      <c r="S16" s="328">
        <v>740.75840800000003</v>
      </c>
      <c r="T16" s="328">
        <v>0.29394199999999998</v>
      </c>
      <c r="U16" s="68">
        <v>124.961496</v>
      </c>
      <c r="V16" s="68">
        <v>7.1619000000000002E-2</v>
      </c>
      <c r="W16" s="328">
        <v>1.2740400000000001</v>
      </c>
      <c r="X16" s="446">
        <v>6.1192000000000003E-2</v>
      </c>
      <c r="Y16" s="328">
        <v>19.819399000000001</v>
      </c>
      <c r="Z16" s="328">
        <v>0.26863300000000001</v>
      </c>
      <c r="AA16" s="328">
        <v>0.52174500000000001</v>
      </c>
      <c r="AB16" s="328">
        <v>7.2995000000000004E-2</v>
      </c>
      <c r="AC16" s="328">
        <v>0.15724199999999999</v>
      </c>
      <c r="AD16" s="328">
        <v>4.6454000000000002E-2</v>
      </c>
      <c r="AE16" s="328">
        <v>0.16788700000000001</v>
      </c>
      <c r="AF16" s="328">
        <v>3.6943999999999998E-2</v>
      </c>
      <c r="AG16" s="328">
        <v>1.1521950000000001</v>
      </c>
      <c r="AH16" s="328">
        <v>8.1345000000000001E-2</v>
      </c>
      <c r="AI16" s="362">
        <f t="shared" si="1"/>
        <v>30033.780470999998</v>
      </c>
      <c r="AJ16" s="362">
        <f t="shared" si="2"/>
        <v>2.0116818388885456</v>
      </c>
      <c r="AK16" s="362">
        <f t="shared" si="3"/>
        <v>155.16254599999999</v>
      </c>
      <c r="AL16" s="362">
        <f t="shared" si="4"/>
        <v>0.15403225983215335</v>
      </c>
      <c r="AM16" s="362">
        <f t="shared" si="5"/>
        <v>740.60116600000003</v>
      </c>
      <c r="AN16" s="362">
        <f t="shared" si="6"/>
        <v>0.29759010984910095</v>
      </c>
      <c r="AO16" s="362">
        <f t="shared" si="7"/>
        <v>124.793609</v>
      </c>
      <c r="AP16" s="362">
        <f t="shared" si="8"/>
        <v>8.0586228953835534E-2</v>
      </c>
      <c r="AQ16" s="362">
        <f t="shared" si="9"/>
        <v>0.12184499999999998</v>
      </c>
      <c r="AR16" s="362">
        <f t="shared" si="10"/>
        <v>0.10179130556683121</v>
      </c>
      <c r="AS16" s="273">
        <v>301.3</v>
      </c>
      <c r="AT16" s="273">
        <v>0.9</v>
      </c>
      <c r="AU16" s="363">
        <f t="shared" si="11"/>
        <v>155.92391889915396</v>
      </c>
      <c r="AV16" s="363">
        <f t="shared" si="12"/>
        <v>0.15405297333074483</v>
      </c>
      <c r="AW16" s="363">
        <f t="shared" si="13"/>
        <v>747.86933311133669</v>
      </c>
      <c r="AX16" s="363">
        <f t="shared" si="14"/>
        <v>0.29781601011413023</v>
      </c>
      <c r="AY16" s="363">
        <f t="shared" si="15"/>
        <v>126.63067227969543</v>
      </c>
      <c r="AZ16" s="363">
        <f t="shared" si="16"/>
        <v>8.0629398620991694E-2</v>
      </c>
      <c r="BA16" s="363">
        <f t="shared" si="17"/>
        <v>0.1242365431472081</v>
      </c>
      <c r="BB16" s="363">
        <f t="shared" si="18"/>
        <v>0.10179253104434194</v>
      </c>
      <c r="BE16" s="228">
        <f t="shared" si="19"/>
        <v>475.50443702568913</v>
      </c>
      <c r="BF16" s="228">
        <f t="shared" si="20"/>
        <v>0.30276737940956261</v>
      </c>
      <c r="BG16" s="228">
        <f t="shared" si="21"/>
        <v>155.99768733485371</v>
      </c>
      <c r="BH16" s="362">
        <f t="shared" si="22"/>
        <v>0.1541258566121409</v>
      </c>
      <c r="BI16" s="228">
        <f t="shared" si="23"/>
        <v>30013.523694953241</v>
      </c>
      <c r="BJ16" s="363">
        <f t="shared" si="24"/>
        <v>2.0117819493738356</v>
      </c>
      <c r="BK16" s="228">
        <f t="shared" si="69"/>
        <v>155.56313906344616</v>
      </c>
      <c r="BL16" s="363">
        <f t="shared" si="25"/>
        <v>0.15412610497075088</v>
      </c>
      <c r="BM16" s="228">
        <f t="shared" si="26"/>
        <v>745.46040140752655</v>
      </c>
      <c r="BN16" s="363">
        <f t="shared" si="27"/>
        <v>0.29782552007414403</v>
      </c>
      <c r="BO16" s="363">
        <f t="shared" si="79"/>
        <v>-4.1633264121688593E-2</v>
      </c>
      <c r="BP16" s="363">
        <f t="shared" si="28"/>
        <v>0.10179258583388399</v>
      </c>
      <c r="BR16" s="362">
        <f t="shared" si="80"/>
        <v>-0.13831891291606077</v>
      </c>
      <c r="BS16" s="362">
        <f t="shared" si="29"/>
        <v>0.10179306127647117</v>
      </c>
      <c r="BT16" s="228">
        <f t="shared" ref="BT16" si="85">IF(Rad_Type="Continuous", BM16-(Ar3836_Air*BO16)/(1-lambda_36Ar*(Run_Date-Rad_Date)),Ar38_IC-(Ar3836_Air*Ar36_IC)/Ar36_DecayFactor)</f>
        <v>745.46822846439397</v>
      </c>
      <c r="BU16" s="362">
        <f t="shared" ref="BU16" si="86">IF(Rad_Type ="Continuous", SQRT(BN16^2*(((EXP(lambda_36Ar*(Run_Date-Rad_Date))-1*0.188)*BP16^2))),SQRT(Ar38_ICerr^2*(((EXP(lambda_36Ar*(Ar36_DecayFactor))-1*0.188)*Ar36_ICerr^2))))</f>
        <v>2.7318457892826796E-2</v>
      </c>
      <c r="BV16" s="228">
        <f t="shared" si="32"/>
        <v>30054.396933719938</v>
      </c>
      <c r="BW16" s="228">
        <f t="shared" si="33"/>
        <v>30.147049922064181</v>
      </c>
      <c r="BX16" s="362">
        <f t="shared" si="34"/>
        <v>193.19741884009105</v>
      </c>
      <c r="BY16" s="362">
        <f t="shared" si="35"/>
        <v>0.27238679776926611</v>
      </c>
      <c r="BZ16" s="364">
        <f t="shared" si="36"/>
        <v>4.7920621360073996</v>
      </c>
      <c r="CA16" s="364">
        <f t="shared" si="37"/>
        <v>4.7510414567152812E-3</v>
      </c>
      <c r="CB16" s="364">
        <f t="shared" si="38"/>
        <v>3.0566652221626582</v>
      </c>
      <c r="CC16" s="364">
        <f t="shared" si="39"/>
        <v>3.5999078009486818E-3</v>
      </c>
      <c r="CD16" s="409">
        <f t="shared" si="74"/>
        <v>4.2222230080049003E-3</v>
      </c>
      <c r="CE16" s="409">
        <f t="shared" si="40"/>
        <v>1.6568543671259245E-5</v>
      </c>
      <c r="CF16" s="229">
        <f t="shared" si="41"/>
        <v>1.1117599793247613E+19</v>
      </c>
      <c r="CG16" s="239">
        <f t="shared" si="42"/>
        <v>2.5620920533536154E+17</v>
      </c>
      <c r="CH16" s="229">
        <f t="shared" si="43"/>
        <v>7.8479707732948992E+17</v>
      </c>
      <c r="CI16" s="229">
        <f t="shared" si="44"/>
        <v>7808258581798149</v>
      </c>
      <c r="CJ16" s="362">
        <f t="shared" si="45"/>
        <v>14.166209475548275</v>
      </c>
      <c r="CK16" s="362">
        <f t="shared" si="46"/>
        <v>0.51163242040762891</v>
      </c>
      <c r="CL16" s="362">
        <f t="shared" si="47"/>
        <v>7.0241695032755794E-3</v>
      </c>
      <c r="CM16" s="362">
        <f t="shared" si="48"/>
        <v>25.118543436743284</v>
      </c>
      <c r="CN16" s="362">
        <f t="shared" si="49"/>
        <v>0.37515911103113098</v>
      </c>
      <c r="CO16" s="229">
        <f t="shared" si="50"/>
        <v>5.1232079022110922E-8</v>
      </c>
      <c r="CP16" s="229">
        <f t="shared" si="51"/>
        <v>5.0972262049657168E-10</v>
      </c>
      <c r="CQ16" s="229">
        <f t="shared" si="52"/>
        <v>1.2868752022715577E-6</v>
      </c>
      <c r="CR16" s="229">
        <f t="shared" si="53"/>
        <v>2.3094257226727953E-8</v>
      </c>
      <c r="CS16" s="229">
        <f t="shared" si="54"/>
        <v>2.6211992592597522E-8</v>
      </c>
      <c r="CT16" s="229">
        <f t="shared" si="55"/>
        <v>2.6345601202676619E-6</v>
      </c>
      <c r="CV16" s="330" t="str">
        <f t="shared" si="56"/>
        <v>H8</v>
      </c>
      <c r="CW16" s="330" t="str">
        <f t="shared" si="57"/>
        <v>MN2022a</v>
      </c>
      <c r="CX16" s="330">
        <f t="shared" si="58"/>
        <v>3</v>
      </c>
      <c r="CY16" s="330">
        <f t="shared" si="75"/>
        <v>41</v>
      </c>
      <c r="CZ16" s="365">
        <f t="shared" si="76"/>
        <v>4.2222230080049003E-3</v>
      </c>
      <c r="DA16" s="365">
        <f t="shared" si="59"/>
        <v>9.2470384496935664E-6</v>
      </c>
      <c r="DB16" s="365">
        <f t="shared" si="60"/>
        <v>1.6568543671259245E-5</v>
      </c>
      <c r="DC16" s="366">
        <f t="shared" si="61"/>
        <v>1.1117599793247613E+19</v>
      </c>
      <c r="DD16" s="366">
        <f t="shared" si="62"/>
        <v>2.5620920533536154E+17</v>
      </c>
      <c r="DE16" s="366">
        <f t="shared" ref="DE16" si="87">CH16</f>
        <v>7.8479707732948992E+17</v>
      </c>
      <c r="DF16" s="366">
        <f t="shared" ref="DF16" si="88">CI16</f>
        <v>7808258581798149</v>
      </c>
      <c r="DG16" s="367">
        <f t="shared" si="65"/>
        <v>0.51163242040762891</v>
      </c>
      <c r="DH16" s="367">
        <f t="shared" si="66"/>
        <v>7.0241695032755794E-3</v>
      </c>
      <c r="DI16" s="367">
        <f t="shared" si="67"/>
        <v>25.118543436743284</v>
      </c>
      <c r="DJ16" s="367">
        <f t="shared" si="68"/>
        <v>0.37515911103113098</v>
      </c>
    </row>
    <row r="17" spans="2:114">
      <c r="E17" s="273"/>
      <c r="J17" s="273"/>
      <c r="K17" s="273"/>
      <c r="O17" s="12"/>
      <c r="P17" s="12"/>
      <c r="Q17" s="12"/>
      <c r="R17" s="12"/>
      <c r="S17" s="12"/>
      <c r="T17" s="12"/>
      <c r="U17" s="12"/>
      <c r="V17" s="12"/>
      <c r="W17" s="12"/>
      <c r="Y17" s="12"/>
      <c r="Z17" s="12"/>
      <c r="AA17" s="12"/>
      <c r="AB17" s="12"/>
      <c r="AC17" s="12"/>
      <c r="AD17" s="12"/>
      <c r="AE17" s="12"/>
      <c r="AF17" s="12"/>
      <c r="AG17" s="12"/>
    </row>
    <row r="18" spans="2:114">
      <c r="E18" s="273"/>
      <c r="J18" s="273"/>
      <c r="K18" s="273"/>
      <c r="R18" s="12"/>
      <c r="U18" s="273"/>
      <c r="CZ18" s="466">
        <f>AVERAGE(CZ8:CZ16)</f>
        <v>4.6551801448849644E-3</v>
      </c>
      <c r="DA18" s="466">
        <f>STDEV(CZ8:CZ16)</f>
        <v>4.8031827431647376E-4</v>
      </c>
      <c r="DB18" s="12"/>
      <c r="DC18" s="366">
        <f>AVERAGE(DC8:DC16)</f>
        <v>1.1611559367069784E+19</v>
      </c>
      <c r="DD18" s="366">
        <f>STDEV(DC8:DC16)</f>
        <v>1.040942599512031E+18</v>
      </c>
      <c r="DE18" s="366">
        <f>AVERAGE(DE8:DE16)</f>
        <v>8.6527210079182822E+17</v>
      </c>
      <c r="DF18" s="366">
        <f>STDEV(DE8:DE16)</f>
        <v>8.9278178143800032E+16</v>
      </c>
      <c r="DG18" s="367">
        <f>AVERAGE(DG8,DG10:DG16)</f>
        <v>0.49865169925804054</v>
      </c>
      <c r="DH18" s="367">
        <f>STDEV(DG8,DG10:DG16)</f>
        <v>2.7936431740382541E-2</v>
      </c>
      <c r="DI18" s="459">
        <f>AVERAGE(DI8,DI10:DI16)</f>
        <v>24.337069265073254</v>
      </c>
      <c r="DJ18" s="459">
        <f>STDEV(DI8,DI10:DI16)</f>
        <v>0.74264427477540718</v>
      </c>
    </row>
    <row r="19" spans="2:114">
      <c r="E19" s="273"/>
      <c r="J19" s="273"/>
      <c r="K19" s="273"/>
      <c r="U19" s="273"/>
    </row>
    <row r="20" spans="2:114">
      <c r="E20" s="273"/>
      <c r="J20" s="273"/>
      <c r="K20" s="273"/>
      <c r="U20" s="273"/>
      <c r="CY20" s="330" t="s">
        <v>915</v>
      </c>
      <c r="CZ20" s="365">
        <f>AVERAGE(CZ8,CZ10:CZ11)</f>
        <v>4.3388992576112772E-3</v>
      </c>
      <c r="DA20" s="466">
        <f>STDEV(CZ8,CZ10:CZ11)</f>
        <v>4.599614611052152E-4</v>
      </c>
      <c r="DC20" s="366">
        <f>AVERAGE(DC8,DC10:DC11)</f>
        <v>1.1197726560265773E+19</v>
      </c>
      <c r="DD20" s="366">
        <f>STDEV(DC8,DC10:DC11)</f>
        <v>1.0507708720928626E+18</v>
      </c>
      <c r="DE20" s="366">
        <f>AVERAGE(DE8,DE10:DE11)</f>
        <v>8.0648403690297715E+17</v>
      </c>
      <c r="DF20" s="366">
        <f>STDEV(DE8,DE10:DE11)</f>
        <v>8.5494397068842768E+16</v>
      </c>
      <c r="DG20" s="367">
        <f>AVERAGE(DG8,DG10:DG11)</f>
        <v>0.50138735902939768</v>
      </c>
      <c r="DH20" s="367">
        <f>STDEV(DG8,DG10:DG11)</f>
        <v>4.6163242122653235E-2</v>
      </c>
      <c r="DI20" s="459">
        <f>AVERAGE(DI8,DI10:DI11)</f>
        <v>24.645487550796872</v>
      </c>
      <c r="DJ20" s="459">
        <f>STDEV(DI8,DI10:DI11)</f>
        <v>0.55774452479792958</v>
      </c>
    </row>
    <row r="21" spans="2:114">
      <c r="E21" s="273"/>
      <c r="J21" s="273"/>
      <c r="K21" s="273"/>
      <c r="U21" s="273"/>
      <c r="CY21" s="330" t="s">
        <v>914</v>
      </c>
      <c r="CZ21" s="365">
        <f>AVERAGE(CZ9,CZ12:CZ13)</f>
        <v>4.806402814676679E-3</v>
      </c>
      <c r="DA21" s="466">
        <f>STDEV(CZ9,CZ12:CZ13)</f>
        <v>4.1839773029727771E-4</v>
      </c>
      <c r="DC21" s="366">
        <f>AVERAGE(DC9,DC12:DC13)</f>
        <v>1.1564513174058437E+19</v>
      </c>
      <c r="DD21" s="366">
        <f>STDEV(DC9,DC12:DC13)</f>
        <v>1.3491758603581089E+18</v>
      </c>
      <c r="DE21" s="366">
        <f>AVERAGE(DE9,DE12:DE13)</f>
        <v>8.9338030565298701E+17</v>
      </c>
      <c r="DF21" s="366">
        <f>STDEV(DE9,DE12:DE13)</f>
        <v>7.776882350270552E+16</v>
      </c>
      <c r="DG21" s="367">
        <f>AVERAGE(DG9,DG12:DG13)</f>
        <v>0.45789425810471746</v>
      </c>
      <c r="DH21" s="367">
        <f>STDEV(DG9,DG12:DG13)</f>
        <v>6.8197432942157632E-2</v>
      </c>
      <c r="DI21" s="459">
        <f>AVERAGE(DI12:DI13)</f>
        <v>24.42540419912909</v>
      </c>
      <c r="DJ21" s="459">
        <f>STDEV(DI12:DI13)</f>
        <v>0.66886804275506828</v>
      </c>
    </row>
    <row r="22" spans="2:114">
      <c r="CY22" s="330" t="s">
        <v>916</v>
      </c>
      <c r="CZ22" s="365">
        <f>AVERAGE(CZ14:CZ16)</f>
        <v>4.8202383623669395E-3</v>
      </c>
      <c r="DA22" s="466">
        <f>STDEV(CZ14:CZ16)</f>
        <v>5.5765778587017474E-4</v>
      </c>
      <c r="DC22" s="366">
        <f>AVERAGE(DC14:DC16)</f>
        <v>1.2072438366885143E+19</v>
      </c>
      <c r="DD22" s="366">
        <f>STDEV(DC14:DC16)</f>
        <v>9.116087269224617E+17</v>
      </c>
      <c r="DE22" s="366">
        <f>AVERAGE(DE14:DE16)</f>
        <v>8.9595195981952038E+17</v>
      </c>
      <c r="DF22" s="366">
        <f>STDEV(DE14:DE16)</f>
        <v>1.0365350188069448E+17</v>
      </c>
      <c r="DG22" s="367">
        <f>AVERAGE(DG14:DG16)</f>
        <v>0.49718487176582604</v>
      </c>
      <c r="DH22" s="367">
        <f>STDEV(DG14:DG16)</f>
        <v>2.1459016284288156E-2</v>
      </c>
      <c r="DI22" s="459">
        <f>AVERAGE(DI14:DI16)</f>
        <v>23.969761023312401</v>
      </c>
      <c r="DJ22" s="459">
        <f>STDEV(DI14:DI16)</f>
        <v>1.0211228114291566</v>
      </c>
    </row>
    <row r="29" spans="2:114" ht="17.399999999999999">
      <c r="B29" s="12"/>
      <c r="C29" s="12"/>
      <c r="D29" s="12"/>
      <c r="E29" s="12"/>
      <c r="F29" s="12"/>
      <c r="G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</row>
    <row r="34" spans="8:8" s="12" customFormat="1" ht="17.399999999999999">
      <c r="H34" s="273"/>
    </row>
  </sheetData>
  <sortState xmlns:xlrd2="http://schemas.microsoft.com/office/spreadsheetml/2017/richdata2" ref="A14:DH20">
    <sortCondition ref="I14:I20"/>
  </sortState>
  <mergeCells count="20">
    <mergeCell ref="BC5:BH5"/>
    <mergeCell ref="BQ5:BW5"/>
    <mergeCell ref="B6:F6"/>
    <mergeCell ref="G6:K6"/>
    <mergeCell ref="L6:N6"/>
    <mergeCell ref="O6:X6"/>
    <mergeCell ref="Y6:AH6"/>
    <mergeCell ref="BI6:BP6"/>
    <mergeCell ref="BR6:BS6"/>
    <mergeCell ref="BT6:BW6"/>
    <mergeCell ref="AI6:AR6"/>
    <mergeCell ref="AS6:AT6"/>
    <mergeCell ref="AU6:BA6"/>
    <mergeCell ref="CO6:CT6"/>
    <mergeCell ref="CV6:CX6"/>
    <mergeCell ref="CZ6:DJ6"/>
    <mergeCell ref="BC6:BD6"/>
    <mergeCell ref="BE6:BH6"/>
    <mergeCell ref="BZ6:CC6"/>
    <mergeCell ref="CD6:CN6"/>
  </mergeCells>
  <pageMargins left="0.25" right="0.25" top="0.75" bottom="0.75" header="0.3" footer="0.3"/>
  <pageSetup paperSize="9" orientation="landscape" horizontalDpi="4294967292" verticalDpi="429496729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pageSetUpPr autoPageBreaks="0"/>
  </sheetPr>
  <dimension ref="A1:MJ56"/>
  <sheetViews>
    <sheetView topLeftCell="LL1" zoomScale="70" zoomScaleNormal="70" zoomScalePageLayoutView="70" workbookViewId="0">
      <selection activeCell="MA25" sqref="MA25"/>
    </sheetView>
  </sheetViews>
  <sheetFormatPr defaultColWidth="17.6640625" defaultRowHeight="18"/>
  <cols>
    <col min="1" max="1" width="17.6640625" style="1"/>
    <col min="2" max="2" width="26.44140625" style="5" customWidth="1"/>
    <col min="3" max="3" width="30.88671875" style="5" customWidth="1"/>
    <col min="4" max="4" width="27.44140625" style="5" customWidth="1"/>
    <col min="5" max="5" width="20.6640625" style="67" customWidth="1"/>
    <col min="6" max="6" width="20.6640625" style="5" customWidth="1"/>
    <col min="7" max="7" width="17.6640625" style="5"/>
    <col min="8" max="8" width="18" style="5" bestFit="1" customWidth="1"/>
    <col min="9" max="9" width="17.88671875" style="5" bestFit="1" customWidth="1"/>
    <col min="10" max="10" width="18" style="67" bestFit="1" customWidth="1"/>
    <col min="11" max="11" width="42.44140625" style="67" bestFit="1" customWidth="1"/>
    <col min="12" max="13" width="17.6640625" style="5"/>
    <col min="14" max="14" width="19.6640625" style="5" customWidth="1"/>
    <col min="15" max="20" width="18" style="5" bestFit="1" customWidth="1"/>
    <col min="21" max="21" width="18" style="6" bestFit="1" customWidth="1"/>
    <col min="22" max="34" width="18" style="5" bestFit="1" customWidth="1"/>
    <col min="35" max="44" width="18" style="134" bestFit="1" customWidth="1"/>
    <col min="45" max="46" width="18" style="5" bestFit="1" customWidth="1"/>
    <col min="47" max="54" width="18" style="134" bestFit="1" customWidth="1"/>
    <col min="55" max="56" width="18" style="5" bestFit="1" customWidth="1"/>
    <col min="57" max="68" width="18" style="134" bestFit="1" customWidth="1"/>
    <col min="69" max="69" width="23.109375" style="5" customWidth="1"/>
    <col min="70" max="75" width="18" style="134" bestFit="1" customWidth="1"/>
    <col min="76" max="77" width="18" style="5" bestFit="1" customWidth="1"/>
    <col min="78" max="91" width="18" style="134" bestFit="1" customWidth="1"/>
    <col min="92" max="93" width="18" style="5" bestFit="1" customWidth="1"/>
    <col min="94" max="94" width="20" style="5" customWidth="1"/>
    <col min="95" max="95" width="26" style="5" customWidth="1"/>
    <col min="96" max="96" width="21.44140625" style="5" customWidth="1"/>
    <col min="97" max="97" width="19" style="5" customWidth="1"/>
    <col min="98" max="101" width="18" style="5" bestFit="1" customWidth="1"/>
    <col min="102" max="133" width="18" style="134" bestFit="1" customWidth="1"/>
    <col min="134" max="134" width="21.44140625" style="134" bestFit="1" customWidth="1"/>
    <col min="135" max="135" width="22.6640625" style="134" bestFit="1" customWidth="1"/>
    <col min="136" max="142" width="18" style="134" bestFit="1" customWidth="1"/>
    <col min="143" max="148" width="18" style="5" bestFit="1" customWidth="1"/>
    <col min="149" max="150" width="17.88671875" style="5" bestFit="1" customWidth="1"/>
    <col min="151" max="156" width="18" style="5" bestFit="1" customWidth="1"/>
    <col min="157" max="158" width="17.88671875" style="5" bestFit="1" customWidth="1"/>
    <col min="159" max="174" width="18" style="134" bestFit="1" customWidth="1"/>
    <col min="175" max="178" width="18" style="5" bestFit="1" customWidth="1"/>
    <col min="179" max="184" width="18" style="134" bestFit="1" customWidth="1"/>
    <col min="185" max="186" width="17.88671875" style="134" bestFit="1" customWidth="1"/>
    <col min="187" max="210" width="18" style="134" bestFit="1" customWidth="1"/>
    <col min="211" max="212" width="17.6640625" style="5"/>
    <col min="213" max="214" width="18" style="134" bestFit="1" customWidth="1"/>
    <col min="215" max="216" width="17.6640625" style="5"/>
    <col min="217" max="218" width="18" style="134" bestFit="1" customWidth="1"/>
    <col min="219" max="246" width="18" style="5" bestFit="1" customWidth="1"/>
    <col min="247" max="272" width="18" style="134" bestFit="1" customWidth="1"/>
    <col min="273" max="276" width="18" style="5" bestFit="1" customWidth="1"/>
    <col min="277" max="279" width="18" style="134" bestFit="1" customWidth="1"/>
    <col min="280" max="280" width="19.44140625" style="134" bestFit="1" customWidth="1"/>
    <col min="281" max="282" width="17.6640625" style="5"/>
    <col min="283" max="286" width="18" style="134" bestFit="1" customWidth="1"/>
    <col min="287" max="287" width="13" style="134" bestFit="1" customWidth="1"/>
    <col min="288" max="288" width="14.109375" style="134" bestFit="1" customWidth="1"/>
    <col min="289" max="289" width="18.109375" style="134" bestFit="1" customWidth="1"/>
    <col min="290" max="290" width="20" style="134" bestFit="1" customWidth="1"/>
    <col min="291" max="291" width="22" style="134" bestFit="1" customWidth="1"/>
    <col min="292" max="292" width="23.44140625" style="134" bestFit="1" customWidth="1"/>
    <col min="293" max="294" width="17.6640625" style="117"/>
    <col min="295" max="298" width="18" style="134" bestFit="1" customWidth="1"/>
    <col min="299" max="299" width="16.44140625" style="134" bestFit="1" customWidth="1"/>
    <col min="300" max="300" width="18.109375" style="134" bestFit="1" customWidth="1"/>
    <col min="301" max="301" width="19.44140625" style="134" bestFit="1" customWidth="1"/>
    <col min="302" max="302" width="21.6640625" style="134" bestFit="1" customWidth="1"/>
    <col min="303" max="303" width="13" style="134" bestFit="1" customWidth="1"/>
    <col min="304" max="304" width="13.6640625" style="134" bestFit="1" customWidth="1"/>
    <col min="305" max="305" width="11.6640625" style="134" bestFit="1" customWidth="1"/>
    <col min="306" max="306" width="12.44140625" style="134" bestFit="1" customWidth="1"/>
    <col min="307" max="308" width="18" style="134" bestFit="1" customWidth="1"/>
    <col min="309" max="310" width="18" style="161" bestFit="1" customWidth="1"/>
    <col min="311" max="314" width="18" style="134" bestFit="1" customWidth="1"/>
    <col min="315" max="315" width="17.6640625" style="1"/>
    <col min="316" max="316" width="33.33203125" style="215" bestFit="1" customWidth="1"/>
    <col min="317" max="317" width="16" style="215" bestFit="1" customWidth="1"/>
    <col min="318" max="318" width="9" style="215" bestFit="1" customWidth="1"/>
    <col min="319" max="319" width="12.109375" style="63" bestFit="1" customWidth="1"/>
    <col min="320" max="320" width="13.44140625" style="63" bestFit="1" customWidth="1"/>
    <col min="321" max="321" width="12.88671875" style="63" bestFit="1" customWidth="1"/>
    <col min="322" max="322" width="14.109375" style="63" bestFit="1" customWidth="1"/>
    <col min="323" max="323" width="13.6640625" style="63" bestFit="1" customWidth="1"/>
    <col min="324" max="324" width="14.88671875" style="63" bestFit="1" customWidth="1"/>
    <col min="325" max="325" width="15.44140625" style="63" bestFit="1" customWidth="1"/>
    <col min="326" max="326" width="14.6640625" style="63" bestFit="1" customWidth="1"/>
    <col min="327" max="327" width="15.44140625" style="63" bestFit="1" customWidth="1"/>
    <col min="328" max="328" width="14.6640625" style="63" bestFit="1" customWidth="1"/>
    <col min="329" max="330" width="11.44140625" style="63" bestFit="1" customWidth="1"/>
    <col min="331" max="331" width="9.33203125" style="63" customWidth="1"/>
    <col min="332" max="332" width="11.88671875" style="63" customWidth="1"/>
    <col min="333" max="333" width="11.33203125" style="63" bestFit="1" customWidth="1"/>
    <col min="334" max="334" width="8.6640625" style="63" customWidth="1"/>
    <col min="335" max="335" width="13.88671875" style="63" bestFit="1" customWidth="1"/>
    <col min="336" max="336" width="14.109375" style="63" bestFit="1" customWidth="1"/>
    <col min="337" max="338" width="13.88671875" style="63" bestFit="1" customWidth="1"/>
    <col min="339" max="340" width="11.33203125" style="63" bestFit="1" customWidth="1"/>
    <col min="341" max="341" width="14.6640625" style="63" bestFit="1" customWidth="1"/>
    <col min="342" max="342" width="16.44140625" style="63" bestFit="1" customWidth="1"/>
    <col min="343" max="346" width="11.33203125" style="63" bestFit="1" customWidth="1"/>
    <col min="347" max="347" width="14.44140625" style="63" bestFit="1" customWidth="1"/>
    <col min="348" max="348" width="16.33203125" style="63" bestFit="1" customWidth="1"/>
    <col min="349" max="16384" width="17.6640625" style="1"/>
  </cols>
  <sheetData>
    <row r="1" spans="1:348" ht="24.9" customHeight="1">
      <c r="B1" s="101" t="s">
        <v>379</v>
      </c>
    </row>
    <row r="2" spans="1:348" ht="24.9" customHeight="1">
      <c r="B2" s="65" t="s">
        <v>380</v>
      </c>
      <c r="EM2" s="5" t="s">
        <v>906</v>
      </c>
      <c r="EO2" s="5" t="s">
        <v>864</v>
      </c>
      <c r="EQ2" s="376" t="s">
        <v>846</v>
      </c>
      <c r="EY2" s="5" t="s">
        <v>846</v>
      </c>
      <c r="HE2" s="147"/>
      <c r="HF2" s="147"/>
      <c r="HG2" s="6"/>
      <c r="HH2" s="6"/>
    </row>
    <row r="3" spans="1:348" ht="24.9" customHeight="1" thickBot="1">
      <c r="B3" s="160" t="s">
        <v>499</v>
      </c>
      <c r="BC3" s="105" t="s">
        <v>403</v>
      </c>
      <c r="BQ3" s="105" t="s">
        <v>403</v>
      </c>
      <c r="CN3" s="222" t="s">
        <v>898</v>
      </c>
      <c r="FC3" s="377" t="s">
        <v>847</v>
      </c>
      <c r="FU3" s="245"/>
      <c r="HC3" s="223" t="s">
        <v>791</v>
      </c>
      <c r="HG3" s="223" t="s">
        <v>790</v>
      </c>
      <c r="JU3" s="223" t="s">
        <v>644</v>
      </c>
      <c r="KG3" s="223" t="s">
        <v>787</v>
      </c>
    </row>
    <row r="4" spans="1:348" ht="24.9" customHeight="1" thickBot="1">
      <c r="K4" s="190" t="s">
        <v>378</v>
      </c>
      <c r="BC4" s="767" t="s">
        <v>330</v>
      </c>
      <c r="BD4" s="768"/>
      <c r="BE4" s="768"/>
      <c r="BF4" s="768"/>
      <c r="BG4" s="768"/>
      <c r="BH4" s="769"/>
      <c r="BQ4" s="773" t="s">
        <v>330</v>
      </c>
      <c r="BR4" s="774"/>
      <c r="BS4" s="774"/>
      <c r="BT4" s="774"/>
      <c r="BU4" s="774"/>
      <c r="BV4" s="774"/>
      <c r="BW4" s="775"/>
      <c r="GM4" s="767" t="s">
        <v>795</v>
      </c>
      <c r="GN4" s="768"/>
      <c r="GO4" s="768"/>
      <c r="GP4" s="768"/>
      <c r="GQ4" s="768"/>
      <c r="GR4" s="768"/>
      <c r="GS4" s="768"/>
      <c r="GT4" s="769"/>
      <c r="GU4" s="767" t="s">
        <v>795</v>
      </c>
      <c r="GV4" s="768"/>
      <c r="GW4" s="768"/>
      <c r="GX4" s="768"/>
      <c r="GY4" s="768"/>
      <c r="GZ4" s="768"/>
      <c r="HA4" s="768"/>
      <c r="HB4" s="769"/>
      <c r="HC4" s="111"/>
      <c r="HD4" s="111"/>
      <c r="KU4" s="767" t="s">
        <v>341</v>
      </c>
      <c r="KV4" s="768"/>
      <c r="KW4" s="768"/>
      <c r="KX4" s="768"/>
      <c r="KY4" s="768"/>
      <c r="KZ4" s="768"/>
      <c r="LA4" s="768"/>
      <c r="LB4" s="769"/>
    </row>
    <row r="5" spans="1:348" s="12" customFormat="1" ht="24.9" customHeight="1" thickBot="1">
      <c r="B5" s="745" t="s">
        <v>377</v>
      </c>
      <c r="C5" s="746"/>
      <c r="D5" s="746"/>
      <c r="E5" s="746"/>
      <c r="F5" s="747"/>
      <c r="G5" s="745" t="s">
        <v>323</v>
      </c>
      <c r="H5" s="746"/>
      <c r="I5" s="746"/>
      <c r="J5" s="746"/>
      <c r="K5" s="747"/>
      <c r="L5" s="745" t="s">
        <v>325</v>
      </c>
      <c r="M5" s="746"/>
      <c r="N5" s="747"/>
      <c r="O5" s="745" t="s">
        <v>347</v>
      </c>
      <c r="P5" s="746"/>
      <c r="Q5" s="746"/>
      <c r="R5" s="746"/>
      <c r="S5" s="746"/>
      <c r="T5" s="746"/>
      <c r="U5" s="746"/>
      <c r="V5" s="746"/>
      <c r="W5" s="746"/>
      <c r="X5" s="747"/>
      <c r="Y5" s="745" t="s">
        <v>348</v>
      </c>
      <c r="Z5" s="746"/>
      <c r="AA5" s="746"/>
      <c r="AB5" s="746"/>
      <c r="AC5" s="746"/>
      <c r="AD5" s="746"/>
      <c r="AE5" s="746"/>
      <c r="AF5" s="746"/>
      <c r="AG5" s="746"/>
      <c r="AH5" s="747"/>
      <c r="AI5" s="742" t="s">
        <v>349</v>
      </c>
      <c r="AJ5" s="743"/>
      <c r="AK5" s="743"/>
      <c r="AL5" s="743"/>
      <c r="AM5" s="743"/>
      <c r="AN5" s="743"/>
      <c r="AO5" s="743"/>
      <c r="AP5" s="743"/>
      <c r="AQ5" s="743"/>
      <c r="AR5" s="744"/>
      <c r="AS5" s="758"/>
      <c r="AT5" s="758"/>
      <c r="AU5" s="748" t="s">
        <v>27</v>
      </c>
      <c r="AV5" s="756"/>
      <c r="AW5" s="756"/>
      <c r="AX5" s="756"/>
      <c r="AY5" s="756"/>
      <c r="AZ5" s="756"/>
      <c r="BA5" s="756"/>
      <c r="BB5" s="135"/>
      <c r="BC5" s="757" t="s">
        <v>402</v>
      </c>
      <c r="BD5" s="759"/>
      <c r="BE5" s="748" t="s">
        <v>26</v>
      </c>
      <c r="BF5" s="756"/>
      <c r="BG5" s="756"/>
      <c r="BH5" s="749"/>
      <c r="BI5" s="756" t="s">
        <v>116</v>
      </c>
      <c r="BJ5" s="756"/>
      <c r="BK5" s="756"/>
      <c r="BL5" s="756"/>
      <c r="BM5" s="756"/>
      <c r="BN5" s="756"/>
      <c r="BO5" s="756"/>
      <c r="BP5" s="756"/>
      <c r="BQ5" s="88" t="s">
        <v>411</v>
      </c>
      <c r="BR5" s="748" t="s">
        <v>467</v>
      </c>
      <c r="BS5" s="756"/>
      <c r="BT5" s="756" t="s">
        <v>468</v>
      </c>
      <c r="BU5" s="756"/>
      <c r="BV5" s="756"/>
      <c r="BW5" s="749"/>
      <c r="BX5" s="746" t="s">
        <v>311</v>
      </c>
      <c r="BY5" s="747"/>
      <c r="BZ5" s="748" t="s">
        <v>313</v>
      </c>
      <c r="CA5" s="756"/>
      <c r="CB5" s="756"/>
      <c r="CC5" s="756"/>
      <c r="CD5" s="756"/>
      <c r="CE5" s="756"/>
      <c r="CF5" s="756"/>
      <c r="CG5" s="756"/>
      <c r="CH5" s="756"/>
      <c r="CI5" s="749"/>
      <c r="CJ5" s="748" t="s">
        <v>338</v>
      </c>
      <c r="CK5" s="756"/>
      <c r="CL5" s="756"/>
      <c r="CM5" s="749"/>
      <c r="CN5" s="757" t="s">
        <v>381</v>
      </c>
      <c r="CO5" s="758"/>
      <c r="CP5" s="758"/>
      <c r="CQ5" s="758"/>
      <c r="CR5" s="758"/>
      <c r="CS5" s="758"/>
      <c r="CT5" s="758"/>
      <c r="CU5" s="758"/>
      <c r="CV5" s="758"/>
      <c r="CW5" s="759"/>
      <c r="CX5" s="748" t="s">
        <v>226</v>
      </c>
      <c r="CY5" s="756"/>
      <c r="CZ5" s="756"/>
      <c r="DA5" s="756"/>
      <c r="DB5" s="756"/>
      <c r="DC5" s="749"/>
      <c r="DD5" s="780" t="s">
        <v>119</v>
      </c>
      <c r="DE5" s="781"/>
      <c r="DF5" s="781"/>
      <c r="DG5" s="781"/>
      <c r="DH5" s="781"/>
      <c r="DI5" s="781"/>
      <c r="DJ5" s="780" t="s">
        <v>123</v>
      </c>
      <c r="DK5" s="781"/>
      <c r="DL5" s="781"/>
      <c r="DM5" s="781"/>
      <c r="DN5" s="781"/>
      <c r="DO5" s="781"/>
      <c r="DP5" s="780" t="s">
        <v>120</v>
      </c>
      <c r="DQ5" s="781"/>
      <c r="DR5" s="781"/>
      <c r="DS5" s="781"/>
      <c r="DT5" s="781"/>
      <c r="DU5" s="782"/>
      <c r="DV5" s="780" t="s">
        <v>220</v>
      </c>
      <c r="DW5" s="781"/>
      <c r="DX5" s="781"/>
      <c r="DY5" s="781"/>
      <c r="DZ5" s="781"/>
      <c r="EA5" s="781"/>
      <c r="EB5" s="781"/>
      <c r="EC5" s="781"/>
      <c r="ED5" s="781"/>
      <c r="EE5" s="782"/>
      <c r="EF5" s="748" t="s">
        <v>207</v>
      </c>
      <c r="EG5" s="756"/>
      <c r="EH5" s="756"/>
      <c r="EI5" s="756"/>
      <c r="EJ5" s="756"/>
      <c r="EK5" s="756"/>
      <c r="EL5" s="749"/>
      <c r="EM5" s="745" t="s">
        <v>344</v>
      </c>
      <c r="EN5" s="746"/>
      <c r="EO5" s="746"/>
      <c r="EP5" s="746"/>
      <c r="EQ5" s="746"/>
      <c r="ER5" s="746"/>
      <c r="ES5" s="746"/>
      <c r="ET5" s="747"/>
      <c r="EU5" s="745" t="s">
        <v>345</v>
      </c>
      <c r="EV5" s="746"/>
      <c r="EW5" s="746"/>
      <c r="EX5" s="746"/>
      <c r="EY5" s="746"/>
      <c r="EZ5" s="746"/>
      <c r="FA5" s="746"/>
      <c r="FB5" s="747"/>
      <c r="FC5" s="742" t="s">
        <v>346</v>
      </c>
      <c r="FD5" s="743"/>
      <c r="FE5" s="743"/>
      <c r="FF5" s="743"/>
      <c r="FG5" s="743"/>
      <c r="FH5" s="743"/>
      <c r="FI5" s="743"/>
      <c r="FJ5" s="744"/>
      <c r="FK5" s="760" t="s">
        <v>580</v>
      </c>
      <c r="FL5" s="761"/>
      <c r="FM5" s="742" t="s">
        <v>208</v>
      </c>
      <c r="FN5" s="743"/>
      <c r="FO5" s="743"/>
      <c r="FP5" s="743"/>
      <c r="FQ5" s="743"/>
      <c r="FR5" s="744"/>
      <c r="FS5" s="745" t="s">
        <v>337</v>
      </c>
      <c r="FT5" s="746"/>
      <c r="FU5" s="746"/>
      <c r="FV5" s="747"/>
      <c r="FW5" s="742" t="s">
        <v>312</v>
      </c>
      <c r="FX5" s="743"/>
      <c r="FY5" s="743"/>
      <c r="FZ5" s="743"/>
      <c r="GA5" s="743"/>
      <c r="GB5" s="743"/>
      <c r="GC5" s="743"/>
      <c r="GD5" s="744"/>
      <c r="GE5" s="742" t="s">
        <v>320</v>
      </c>
      <c r="GF5" s="743"/>
      <c r="GG5" s="743"/>
      <c r="GH5" s="743"/>
      <c r="GI5" s="743"/>
      <c r="GJ5" s="743"/>
      <c r="GK5" s="743"/>
      <c r="GL5" s="744"/>
      <c r="GM5" s="742" t="s">
        <v>548</v>
      </c>
      <c r="GN5" s="743"/>
      <c r="GO5" s="743"/>
      <c r="GP5" s="743"/>
      <c r="GQ5" s="743"/>
      <c r="GR5" s="743"/>
      <c r="GS5" s="743"/>
      <c r="GT5" s="744"/>
      <c r="GU5" s="742" t="s">
        <v>549</v>
      </c>
      <c r="GV5" s="743"/>
      <c r="GW5" s="743"/>
      <c r="GX5" s="743"/>
      <c r="GY5" s="743"/>
      <c r="GZ5" s="743"/>
      <c r="HA5" s="743"/>
      <c r="HB5" s="743"/>
      <c r="HC5" s="779" t="s">
        <v>343</v>
      </c>
      <c r="HD5" s="762"/>
      <c r="HE5" s="762"/>
      <c r="HF5" s="762"/>
      <c r="HG5" s="762"/>
      <c r="HH5" s="762"/>
      <c r="HI5" s="762"/>
      <c r="HJ5" s="763"/>
      <c r="HK5" s="745" t="s">
        <v>350</v>
      </c>
      <c r="HL5" s="746"/>
      <c r="HM5" s="746"/>
      <c r="HN5" s="746"/>
      <c r="HO5" s="746"/>
      <c r="HP5" s="746"/>
      <c r="HQ5" s="746"/>
      <c r="HR5" s="746"/>
      <c r="HS5" s="746"/>
      <c r="HT5" s="746"/>
      <c r="HU5" s="746"/>
      <c r="HV5" s="746"/>
      <c r="HW5" s="746"/>
      <c r="HX5" s="747"/>
      <c r="HY5" s="745" t="s">
        <v>351</v>
      </c>
      <c r="HZ5" s="746"/>
      <c r="IA5" s="746"/>
      <c r="IB5" s="746"/>
      <c r="IC5" s="746"/>
      <c r="ID5" s="746"/>
      <c r="IE5" s="746"/>
      <c r="IF5" s="746"/>
      <c r="IG5" s="746"/>
      <c r="IH5" s="746"/>
      <c r="II5" s="746"/>
      <c r="IJ5" s="746"/>
      <c r="IK5" s="746"/>
      <c r="IL5" s="747"/>
      <c r="IM5" s="742" t="s">
        <v>352</v>
      </c>
      <c r="IN5" s="743"/>
      <c r="IO5" s="743"/>
      <c r="IP5" s="743"/>
      <c r="IQ5" s="743"/>
      <c r="IR5" s="743"/>
      <c r="IS5" s="743"/>
      <c r="IT5" s="743"/>
      <c r="IU5" s="743"/>
      <c r="IV5" s="743"/>
      <c r="IW5" s="743"/>
      <c r="IX5" s="743"/>
      <c r="IY5" s="743"/>
      <c r="IZ5" s="744"/>
      <c r="JA5" s="742" t="s">
        <v>353</v>
      </c>
      <c r="JB5" s="743"/>
      <c r="JC5" s="743"/>
      <c r="JD5" s="743"/>
      <c r="JE5" s="743"/>
      <c r="JF5" s="743"/>
      <c r="JG5" s="743"/>
      <c r="JH5" s="743"/>
      <c r="JI5" s="743"/>
      <c r="JJ5" s="743"/>
      <c r="JK5" s="743"/>
      <c r="JL5" s="744"/>
      <c r="JM5" s="745" t="s">
        <v>358</v>
      </c>
      <c r="JN5" s="746"/>
      <c r="JO5" s="746"/>
      <c r="JP5" s="747"/>
      <c r="JQ5" s="742" t="s">
        <v>206</v>
      </c>
      <c r="JR5" s="743"/>
      <c r="JS5" s="743"/>
      <c r="JT5" s="743"/>
      <c r="JU5" s="743"/>
      <c r="JV5" s="743"/>
      <c r="JW5" s="743"/>
      <c r="JX5" s="743"/>
      <c r="JY5" s="743"/>
      <c r="JZ5" s="744"/>
      <c r="KA5" s="779" t="s">
        <v>369</v>
      </c>
      <c r="KB5" s="762"/>
      <c r="KC5" s="762"/>
      <c r="KD5" s="762"/>
      <c r="KE5" s="762"/>
      <c r="KF5" s="762"/>
      <c r="KG5" s="762"/>
      <c r="KH5" s="762"/>
      <c r="KI5" s="762"/>
      <c r="KJ5" s="762"/>
      <c r="KK5" s="762"/>
      <c r="KL5" s="762"/>
      <c r="KM5" s="742" t="s">
        <v>368</v>
      </c>
      <c r="KN5" s="743"/>
      <c r="KO5" s="743"/>
      <c r="KP5" s="743"/>
      <c r="KQ5" s="743"/>
      <c r="KR5" s="743"/>
      <c r="KS5" s="743"/>
      <c r="KT5" s="744"/>
      <c r="KU5" s="742" t="s">
        <v>372</v>
      </c>
      <c r="KV5" s="743"/>
      <c r="KW5" s="743"/>
      <c r="KX5" s="743"/>
      <c r="KY5" s="743"/>
      <c r="KZ5" s="743"/>
      <c r="LA5" s="743"/>
      <c r="LB5" s="744"/>
      <c r="LD5" s="764" t="s">
        <v>377</v>
      </c>
      <c r="LE5" s="765"/>
      <c r="LF5" s="765"/>
      <c r="LG5" s="764" t="s">
        <v>770</v>
      </c>
      <c r="LH5" s="765"/>
      <c r="LI5" s="765"/>
      <c r="LJ5" s="765"/>
      <c r="LK5" s="765"/>
      <c r="LL5" s="765"/>
      <c r="LM5" s="765"/>
      <c r="LN5" s="765"/>
      <c r="LO5" s="765"/>
      <c r="LP5" s="765"/>
      <c r="LQ5" s="765"/>
      <c r="LR5" s="765"/>
      <c r="LS5" s="764" t="s">
        <v>772</v>
      </c>
      <c r="LT5" s="765"/>
      <c r="LU5" s="765"/>
      <c r="LV5" s="765"/>
      <c r="LW5" s="765"/>
      <c r="LX5" s="765"/>
      <c r="LY5" s="765"/>
      <c r="LZ5" s="765"/>
      <c r="MA5" s="765"/>
      <c r="MB5" s="765"/>
      <c r="MC5" s="765"/>
      <c r="MD5" s="766"/>
      <c r="ME5" s="764" t="s">
        <v>771</v>
      </c>
      <c r="MF5" s="765"/>
      <c r="MG5" s="765"/>
      <c r="MH5" s="765"/>
      <c r="MI5" s="765"/>
      <c r="MJ5" s="766"/>
    </row>
    <row r="6" spans="1:348" ht="24.9" customHeight="1" thickBot="1">
      <c r="B6" s="88" t="s">
        <v>339</v>
      </c>
      <c r="C6" s="92" t="s">
        <v>318</v>
      </c>
      <c r="D6" s="92" t="s">
        <v>319</v>
      </c>
      <c r="E6" s="99" t="s">
        <v>109</v>
      </c>
      <c r="F6" s="100" t="s">
        <v>113</v>
      </c>
      <c r="G6" s="82" t="s">
        <v>29</v>
      </c>
      <c r="H6" s="82" t="s">
        <v>0</v>
      </c>
      <c r="I6" s="82" t="s">
        <v>835</v>
      </c>
      <c r="J6" s="94" t="s">
        <v>321</v>
      </c>
      <c r="K6" s="94" t="s">
        <v>329</v>
      </c>
      <c r="L6" s="82" t="s">
        <v>111</v>
      </c>
      <c r="M6" s="82" t="s">
        <v>324</v>
      </c>
      <c r="N6" s="95" t="s">
        <v>112</v>
      </c>
      <c r="O6" s="96" t="s">
        <v>404</v>
      </c>
      <c r="P6" s="75" t="s">
        <v>405</v>
      </c>
      <c r="Q6" s="97" t="s">
        <v>400</v>
      </c>
      <c r="R6" s="75" t="s">
        <v>406</v>
      </c>
      <c r="S6" s="98" t="s">
        <v>407</v>
      </c>
      <c r="T6" s="83" t="s">
        <v>408</v>
      </c>
      <c r="U6" s="74" t="s">
        <v>399</v>
      </c>
      <c r="V6" s="73" t="s">
        <v>409</v>
      </c>
      <c r="W6" s="74" t="s">
        <v>398</v>
      </c>
      <c r="X6" s="76" t="s">
        <v>410</v>
      </c>
      <c r="Y6" s="96" t="s">
        <v>404</v>
      </c>
      <c r="Z6" s="75" t="s">
        <v>405</v>
      </c>
      <c r="AA6" s="97" t="s">
        <v>400</v>
      </c>
      <c r="AB6" s="75" t="s">
        <v>406</v>
      </c>
      <c r="AC6" s="98" t="s">
        <v>407</v>
      </c>
      <c r="AD6" s="83" t="s">
        <v>408</v>
      </c>
      <c r="AE6" s="74" t="s">
        <v>399</v>
      </c>
      <c r="AF6" s="73" t="s">
        <v>409</v>
      </c>
      <c r="AG6" s="74" t="s">
        <v>398</v>
      </c>
      <c r="AH6" s="76" t="s">
        <v>410</v>
      </c>
      <c r="AI6" s="125" t="s">
        <v>457</v>
      </c>
      <c r="AJ6" s="126" t="s">
        <v>458</v>
      </c>
      <c r="AK6" s="127" t="s">
        <v>459</v>
      </c>
      <c r="AL6" s="126" t="s">
        <v>460</v>
      </c>
      <c r="AM6" s="128" t="s">
        <v>461</v>
      </c>
      <c r="AN6" s="129" t="s">
        <v>462</v>
      </c>
      <c r="AO6" s="130" t="s">
        <v>463</v>
      </c>
      <c r="AP6" s="131" t="s">
        <v>464</v>
      </c>
      <c r="AQ6" s="130" t="s">
        <v>465</v>
      </c>
      <c r="AR6" s="132" t="s">
        <v>466</v>
      </c>
      <c r="AS6" s="92" t="s">
        <v>401</v>
      </c>
      <c r="AT6" s="93" t="s">
        <v>2</v>
      </c>
      <c r="AU6" s="136" t="s">
        <v>459</v>
      </c>
      <c r="AV6" s="137" t="s">
        <v>460</v>
      </c>
      <c r="AW6" s="136" t="s">
        <v>461</v>
      </c>
      <c r="AX6" s="137" t="s">
        <v>462</v>
      </c>
      <c r="AY6" s="136" t="s">
        <v>463</v>
      </c>
      <c r="AZ6" s="137" t="s">
        <v>464</v>
      </c>
      <c r="BA6" s="136" t="s">
        <v>465</v>
      </c>
      <c r="BB6" s="138" t="s">
        <v>466</v>
      </c>
      <c r="BC6" s="90" t="s">
        <v>399</v>
      </c>
      <c r="BD6" s="91" t="s">
        <v>400</v>
      </c>
      <c r="BE6" s="140" t="s">
        <v>463</v>
      </c>
      <c r="BF6" s="141" t="s">
        <v>464</v>
      </c>
      <c r="BG6" s="142" t="s">
        <v>459</v>
      </c>
      <c r="BH6" s="135" t="s">
        <v>460</v>
      </c>
      <c r="BI6" s="142" t="s">
        <v>457</v>
      </c>
      <c r="BJ6" s="141" t="s">
        <v>458</v>
      </c>
      <c r="BK6" s="142" t="s">
        <v>459</v>
      </c>
      <c r="BL6" s="141" t="s">
        <v>460</v>
      </c>
      <c r="BM6" s="142" t="s">
        <v>461</v>
      </c>
      <c r="BN6" s="141" t="s">
        <v>462</v>
      </c>
      <c r="BO6" s="142" t="s">
        <v>465</v>
      </c>
      <c r="BP6" s="141" t="s">
        <v>466</v>
      </c>
      <c r="BQ6" s="89" t="s">
        <v>398</v>
      </c>
      <c r="BR6" s="144" t="s">
        <v>469</v>
      </c>
      <c r="BS6" s="145" t="s">
        <v>470</v>
      </c>
      <c r="BT6" s="142" t="s">
        <v>471</v>
      </c>
      <c r="BU6" s="141" t="s">
        <v>472</v>
      </c>
      <c r="BV6" s="145" t="s">
        <v>473</v>
      </c>
      <c r="BW6" s="146" t="s">
        <v>474</v>
      </c>
      <c r="BX6" s="86" t="s">
        <v>396</v>
      </c>
      <c r="BY6" s="87" t="s">
        <v>397</v>
      </c>
      <c r="BZ6" s="149" t="s">
        <v>465</v>
      </c>
      <c r="CA6" s="150" t="s">
        <v>475</v>
      </c>
      <c r="CB6" s="151" t="s">
        <v>476</v>
      </c>
      <c r="CC6" s="150" t="s">
        <v>464</v>
      </c>
      <c r="CD6" s="152" t="s">
        <v>477</v>
      </c>
      <c r="CE6" s="150" t="s">
        <v>478</v>
      </c>
      <c r="CF6" s="152" t="s">
        <v>479</v>
      </c>
      <c r="CG6" s="150" t="s">
        <v>460</v>
      </c>
      <c r="CH6" s="152" t="s">
        <v>480</v>
      </c>
      <c r="CI6" s="153" t="s">
        <v>474</v>
      </c>
      <c r="CJ6" s="152" t="s">
        <v>477</v>
      </c>
      <c r="CK6" s="150" t="s">
        <v>478</v>
      </c>
      <c r="CL6" s="152" t="s">
        <v>481</v>
      </c>
      <c r="CM6" s="153" t="s">
        <v>482</v>
      </c>
      <c r="CN6" s="81" t="s">
        <v>18</v>
      </c>
      <c r="CO6" s="82" t="s">
        <v>127</v>
      </c>
      <c r="CP6" s="82" t="s">
        <v>392</v>
      </c>
      <c r="CQ6" s="82" t="s">
        <v>393</v>
      </c>
      <c r="CR6" s="82" t="s">
        <v>394</v>
      </c>
      <c r="CS6" s="82" t="s">
        <v>395</v>
      </c>
      <c r="CT6" s="83" t="s">
        <v>63</v>
      </c>
      <c r="CU6" s="83" t="s">
        <v>64</v>
      </c>
      <c r="CV6" s="83" t="s">
        <v>65</v>
      </c>
      <c r="CW6" s="84" t="s">
        <v>209</v>
      </c>
      <c r="CX6" s="148" t="s">
        <v>493</v>
      </c>
      <c r="CY6" s="141" t="s">
        <v>494</v>
      </c>
      <c r="CZ6" s="141" t="s">
        <v>495</v>
      </c>
      <c r="DA6" s="141" t="s">
        <v>496</v>
      </c>
      <c r="DB6" s="141" t="s">
        <v>497</v>
      </c>
      <c r="DC6" s="135" t="s">
        <v>498</v>
      </c>
      <c r="DD6" s="148" t="s">
        <v>118</v>
      </c>
      <c r="DE6" s="141" t="s">
        <v>165</v>
      </c>
      <c r="DF6" s="141" t="s">
        <v>117</v>
      </c>
      <c r="DG6" s="141" t="s">
        <v>166</v>
      </c>
      <c r="DH6" s="141" t="s">
        <v>164</v>
      </c>
      <c r="DI6" s="141" t="s">
        <v>167</v>
      </c>
      <c r="DJ6" s="148" t="s">
        <v>124</v>
      </c>
      <c r="DK6" s="141" t="s">
        <v>587</v>
      </c>
      <c r="DL6" s="141" t="s">
        <v>125</v>
      </c>
      <c r="DM6" s="141" t="s">
        <v>588</v>
      </c>
      <c r="DN6" s="141" t="s">
        <v>126</v>
      </c>
      <c r="DO6" s="141" t="s">
        <v>589</v>
      </c>
      <c r="DP6" s="148" t="s">
        <v>121</v>
      </c>
      <c r="DQ6" s="141" t="s">
        <v>590</v>
      </c>
      <c r="DR6" s="141" t="s">
        <v>122</v>
      </c>
      <c r="DS6" s="141" t="s">
        <v>591</v>
      </c>
      <c r="DT6" s="141" t="s">
        <v>211</v>
      </c>
      <c r="DU6" s="135" t="s">
        <v>592</v>
      </c>
      <c r="DV6" s="141" t="s">
        <v>221</v>
      </c>
      <c r="DW6" s="141" t="s">
        <v>222</v>
      </c>
      <c r="DX6" s="141" t="s">
        <v>223</v>
      </c>
      <c r="DY6" s="141" t="s">
        <v>224</v>
      </c>
      <c r="DZ6" s="141" t="s">
        <v>314</v>
      </c>
      <c r="EA6" s="141" t="s">
        <v>315</v>
      </c>
      <c r="EB6" s="141" t="s">
        <v>316</v>
      </c>
      <c r="EC6" s="141" t="s">
        <v>317</v>
      </c>
      <c r="ED6" s="141" t="s">
        <v>593</v>
      </c>
      <c r="EE6" s="135" t="s">
        <v>594</v>
      </c>
      <c r="EF6" s="149" t="s">
        <v>483</v>
      </c>
      <c r="EG6" s="150" t="s">
        <v>484</v>
      </c>
      <c r="EH6" s="152" t="s">
        <v>595</v>
      </c>
      <c r="EI6" s="150" t="s">
        <v>596</v>
      </c>
      <c r="EJ6" s="155" t="s">
        <v>71</v>
      </c>
      <c r="EK6" s="155" t="s">
        <v>72</v>
      </c>
      <c r="EL6" s="156" t="s">
        <v>225</v>
      </c>
      <c r="EM6" s="72" t="s">
        <v>384</v>
      </c>
      <c r="EN6" s="73" t="s">
        <v>385</v>
      </c>
      <c r="EO6" s="74" t="s">
        <v>386</v>
      </c>
      <c r="EP6" s="75" t="s">
        <v>387</v>
      </c>
      <c r="EQ6" s="74" t="s">
        <v>388</v>
      </c>
      <c r="ER6" s="73" t="s">
        <v>389</v>
      </c>
      <c r="ES6" s="74" t="s">
        <v>390</v>
      </c>
      <c r="ET6" s="76" t="s">
        <v>391</v>
      </c>
      <c r="EU6" s="77" t="s">
        <v>384</v>
      </c>
      <c r="EV6" s="78" t="s">
        <v>385</v>
      </c>
      <c r="EW6" s="79" t="s">
        <v>386</v>
      </c>
      <c r="EX6" s="73" t="s">
        <v>387</v>
      </c>
      <c r="EY6" s="79" t="s">
        <v>388</v>
      </c>
      <c r="EZ6" s="78" t="s">
        <v>389</v>
      </c>
      <c r="FA6" s="79" t="s">
        <v>390</v>
      </c>
      <c r="FB6" s="80" t="s">
        <v>391</v>
      </c>
      <c r="FC6" s="187" t="s">
        <v>581</v>
      </c>
      <c r="FD6" s="181" t="s">
        <v>582</v>
      </c>
      <c r="FE6" s="180" t="s">
        <v>583</v>
      </c>
      <c r="FF6" s="188" t="s">
        <v>584</v>
      </c>
      <c r="FG6" s="180" t="s">
        <v>554</v>
      </c>
      <c r="FH6" s="181" t="s">
        <v>555</v>
      </c>
      <c r="FI6" s="180" t="s">
        <v>556</v>
      </c>
      <c r="FJ6" s="182" t="s">
        <v>557</v>
      </c>
      <c r="FK6" s="125" t="s">
        <v>554</v>
      </c>
      <c r="FL6" s="189" t="s">
        <v>555</v>
      </c>
      <c r="FM6" s="125" t="s">
        <v>550</v>
      </c>
      <c r="FN6" s="126" t="s">
        <v>551</v>
      </c>
      <c r="FO6" s="127" t="s">
        <v>552</v>
      </c>
      <c r="FP6" s="126" t="s">
        <v>553</v>
      </c>
      <c r="FQ6" s="127" t="s">
        <v>585</v>
      </c>
      <c r="FR6" s="126" t="s">
        <v>586</v>
      </c>
      <c r="FS6" s="69" t="s">
        <v>382</v>
      </c>
      <c r="FT6" s="70" t="s">
        <v>383</v>
      </c>
      <c r="FU6" s="70" t="s">
        <v>356</v>
      </c>
      <c r="FV6" s="71" t="s">
        <v>357</v>
      </c>
      <c r="FW6" s="125" t="s">
        <v>550</v>
      </c>
      <c r="FX6" s="126" t="s">
        <v>551</v>
      </c>
      <c r="FY6" s="127" t="s">
        <v>552</v>
      </c>
      <c r="FZ6" s="126" t="s">
        <v>553</v>
      </c>
      <c r="GA6" s="180" t="s">
        <v>554</v>
      </c>
      <c r="GB6" s="181" t="s">
        <v>555</v>
      </c>
      <c r="GC6" s="180" t="s">
        <v>556</v>
      </c>
      <c r="GD6" s="182" t="s">
        <v>557</v>
      </c>
      <c r="GE6" s="183" t="s">
        <v>558</v>
      </c>
      <c r="GF6" s="184" t="s">
        <v>559</v>
      </c>
      <c r="GG6" s="185" t="s">
        <v>560</v>
      </c>
      <c r="GH6" s="184" t="s">
        <v>561</v>
      </c>
      <c r="GI6" s="185" t="s">
        <v>562</v>
      </c>
      <c r="GJ6" s="184" t="s">
        <v>563</v>
      </c>
      <c r="GK6" s="128" t="s">
        <v>564</v>
      </c>
      <c r="GL6" s="186" t="s">
        <v>565</v>
      </c>
      <c r="GM6" s="179" t="s">
        <v>566</v>
      </c>
      <c r="GN6" s="162" t="s">
        <v>567</v>
      </c>
      <c r="GO6" s="162" t="s">
        <v>568</v>
      </c>
      <c r="GP6" s="162" t="s">
        <v>569</v>
      </c>
      <c r="GQ6" s="166" t="s">
        <v>21</v>
      </c>
      <c r="GR6" s="162" t="s">
        <v>570</v>
      </c>
      <c r="GS6" s="141" t="s">
        <v>571</v>
      </c>
      <c r="GT6" s="135" t="s">
        <v>572</v>
      </c>
      <c r="GU6" s="179" t="s">
        <v>573</v>
      </c>
      <c r="GV6" s="162" t="s">
        <v>574</v>
      </c>
      <c r="GW6" s="162" t="s">
        <v>575</v>
      </c>
      <c r="GX6" s="162" t="s">
        <v>576</v>
      </c>
      <c r="GY6" s="166" t="s">
        <v>340</v>
      </c>
      <c r="GZ6" s="162" t="s">
        <v>577</v>
      </c>
      <c r="HA6" s="141" t="s">
        <v>578</v>
      </c>
      <c r="HB6" s="141" t="s">
        <v>579</v>
      </c>
      <c r="HC6" s="110" t="s">
        <v>414</v>
      </c>
      <c r="HD6" s="110" t="s">
        <v>415</v>
      </c>
      <c r="HE6" s="162" t="s">
        <v>547</v>
      </c>
      <c r="HF6" s="162" t="s">
        <v>342</v>
      </c>
      <c r="HG6" s="110" t="s">
        <v>412</v>
      </c>
      <c r="HH6" s="110" t="s">
        <v>413</v>
      </c>
      <c r="HI6" s="162" t="s">
        <v>546</v>
      </c>
      <c r="HJ6" s="163" t="s">
        <v>342</v>
      </c>
      <c r="HK6" s="112" t="s">
        <v>416</v>
      </c>
      <c r="HL6" s="113" t="s">
        <v>417</v>
      </c>
      <c r="HM6" s="114" t="s">
        <v>418</v>
      </c>
      <c r="HN6" s="113" t="s">
        <v>419</v>
      </c>
      <c r="HO6" s="114" t="s">
        <v>420</v>
      </c>
      <c r="HP6" s="113" t="s">
        <v>421</v>
      </c>
      <c r="HQ6" s="114" t="s">
        <v>422</v>
      </c>
      <c r="HR6" s="113" t="s">
        <v>423</v>
      </c>
      <c r="HS6" s="114" t="s">
        <v>424</v>
      </c>
      <c r="HT6" s="113" t="s">
        <v>425</v>
      </c>
      <c r="HU6" s="114" t="s">
        <v>426</v>
      </c>
      <c r="HV6" s="115" t="s">
        <v>427</v>
      </c>
      <c r="HW6" s="114" t="s">
        <v>428</v>
      </c>
      <c r="HX6" s="116" t="s">
        <v>429</v>
      </c>
      <c r="HY6" s="112" t="s">
        <v>416</v>
      </c>
      <c r="HZ6" s="113" t="s">
        <v>417</v>
      </c>
      <c r="IA6" s="114" t="s">
        <v>418</v>
      </c>
      <c r="IB6" s="113" t="s">
        <v>419</v>
      </c>
      <c r="IC6" s="114" t="s">
        <v>420</v>
      </c>
      <c r="ID6" s="113" t="s">
        <v>421</v>
      </c>
      <c r="IE6" s="114" t="s">
        <v>422</v>
      </c>
      <c r="IF6" s="113" t="s">
        <v>423</v>
      </c>
      <c r="IG6" s="114" t="s">
        <v>424</v>
      </c>
      <c r="IH6" s="113" t="s">
        <v>425</v>
      </c>
      <c r="II6" s="114" t="s">
        <v>426</v>
      </c>
      <c r="IJ6" s="115" t="s">
        <v>427</v>
      </c>
      <c r="IK6" s="114" t="s">
        <v>428</v>
      </c>
      <c r="IL6" s="116" t="s">
        <v>429</v>
      </c>
      <c r="IM6" s="172" t="s">
        <v>516</v>
      </c>
      <c r="IN6" s="173" t="s">
        <v>517</v>
      </c>
      <c r="IO6" s="174" t="s">
        <v>518</v>
      </c>
      <c r="IP6" s="173" t="s">
        <v>519</v>
      </c>
      <c r="IQ6" s="174" t="s">
        <v>520</v>
      </c>
      <c r="IR6" s="173" t="s">
        <v>521</v>
      </c>
      <c r="IS6" s="174" t="s">
        <v>522</v>
      </c>
      <c r="IT6" s="173" t="s">
        <v>523</v>
      </c>
      <c r="IU6" s="174" t="s">
        <v>524</v>
      </c>
      <c r="IV6" s="173" t="s">
        <v>525</v>
      </c>
      <c r="IW6" s="174" t="s">
        <v>526</v>
      </c>
      <c r="IX6" s="175" t="s">
        <v>527</v>
      </c>
      <c r="IY6" s="174" t="s">
        <v>528</v>
      </c>
      <c r="IZ6" s="176" t="s">
        <v>529</v>
      </c>
      <c r="JA6" s="177" t="s">
        <v>530</v>
      </c>
      <c r="JB6" s="162" t="s">
        <v>531</v>
      </c>
      <c r="JC6" s="178" t="s">
        <v>532</v>
      </c>
      <c r="JD6" s="162" t="s">
        <v>533</v>
      </c>
      <c r="JE6" s="178" t="s">
        <v>534</v>
      </c>
      <c r="JF6" s="162" t="s">
        <v>535</v>
      </c>
      <c r="JG6" s="178" t="s">
        <v>536</v>
      </c>
      <c r="JH6" s="162" t="s">
        <v>537</v>
      </c>
      <c r="JI6" s="178" t="s">
        <v>538</v>
      </c>
      <c r="JJ6" s="162" t="s">
        <v>539</v>
      </c>
      <c r="JK6" s="178" t="s">
        <v>540</v>
      </c>
      <c r="JL6" s="163" t="s">
        <v>541</v>
      </c>
      <c r="JM6" s="69" t="s">
        <v>430</v>
      </c>
      <c r="JN6" s="70" t="s">
        <v>431</v>
      </c>
      <c r="JO6" s="70" t="s">
        <v>354</v>
      </c>
      <c r="JP6" s="70" t="s">
        <v>355</v>
      </c>
      <c r="JQ6" s="179" t="s">
        <v>542</v>
      </c>
      <c r="JR6" s="162" t="s">
        <v>543</v>
      </c>
      <c r="JS6" s="162" t="s">
        <v>544</v>
      </c>
      <c r="JT6" s="162" t="s">
        <v>545</v>
      </c>
      <c r="JU6" s="110" t="s">
        <v>432</v>
      </c>
      <c r="JV6" s="110" t="s">
        <v>433</v>
      </c>
      <c r="JW6" s="162" t="s">
        <v>364</v>
      </c>
      <c r="JX6" s="162" t="s">
        <v>365</v>
      </c>
      <c r="JY6" s="162" t="s">
        <v>359</v>
      </c>
      <c r="JZ6" s="162" t="s">
        <v>360</v>
      </c>
      <c r="KA6" s="171" t="s">
        <v>510</v>
      </c>
      <c r="KB6" s="165" t="s">
        <v>511</v>
      </c>
      <c r="KC6" s="164" t="s">
        <v>512</v>
      </c>
      <c r="KD6" s="165" t="s">
        <v>513</v>
      </c>
      <c r="KE6" s="164" t="s">
        <v>514</v>
      </c>
      <c r="KF6" s="165" t="s">
        <v>515</v>
      </c>
      <c r="KG6" s="110" t="s">
        <v>434</v>
      </c>
      <c r="KH6" s="110" t="s">
        <v>435</v>
      </c>
      <c r="KI6" s="162" t="s">
        <v>370</v>
      </c>
      <c r="KJ6" s="162" t="s">
        <v>371</v>
      </c>
      <c r="KK6" s="162" t="s">
        <v>366</v>
      </c>
      <c r="KL6" s="163" t="s">
        <v>367</v>
      </c>
      <c r="KM6" s="164" t="s">
        <v>500</v>
      </c>
      <c r="KN6" s="165" t="s">
        <v>501</v>
      </c>
      <c r="KO6" s="164" t="s">
        <v>683</v>
      </c>
      <c r="KP6" s="165" t="s">
        <v>502</v>
      </c>
      <c r="KQ6" s="165" t="s">
        <v>373</v>
      </c>
      <c r="KR6" s="162" t="s">
        <v>376</v>
      </c>
      <c r="KS6" s="162" t="s">
        <v>374</v>
      </c>
      <c r="KT6" s="162" t="s">
        <v>375</v>
      </c>
      <c r="KU6" s="162" t="s">
        <v>503</v>
      </c>
      <c r="KV6" s="162" t="s">
        <v>504</v>
      </c>
      <c r="KW6" s="162" t="s">
        <v>505</v>
      </c>
      <c r="KX6" s="162" t="s">
        <v>506</v>
      </c>
      <c r="KY6" s="166" t="s">
        <v>22</v>
      </c>
      <c r="KZ6" s="162" t="s">
        <v>507</v>
      </c>
      <c r="LA6" s="141" t="s">
        <v>508</v>
      </c>
      <c r="LB6" s="135" t="s">
        <v>509</v>
      </c>
      <c r="LC6" s="11"/>
      <c r="LD6" s="231" t="s">
        <v>773</v>
      </c>
      <c r="LE6" s="255" t="s">
        <v>29</v>
      </c>
      <c r="LF6" s="255" t="s">
        <v>0</v>
      </c>
      <c r="LG6" s="106" t="s">
        <v>117</v>
      </c>
      <c r="LH6" s="107" t="s">
        <v>166</v>
      </c>
      <c r="LI6" s="107" t="s">
        <v>125</v>
      </c>
      <c r="LJ6" s="107" t="s">
        <v>620</v>
      </c>
      <c r="LK6" s="107" t="s">
        <v>122</v>
      </c>
      <c r="LL6" s="107" t="s">
        <v>621</v>
      </c>
      <c r="LM6" s="209" t="s">
        <v>622</v>
      </c>
      <c r="LN6" s="209" t="s">
        <v>342</v>
      </c>
      <c r="LO6" s="209" t="s">
        <v>623</v>
      </c>
      <c r="LP6" s="209" t="s">
        <v>342</v>
      </c>
      <c r="LQ6" s="209" t="s">
        <v>359</v>
      </c>
      <c r="LR6" s="209" t="s">
        <v>360</v>
      </c>
      <c r="LS6" s="253" t="s">
        <v>624</v>
      </c>
      <c r="LT6" s="209" t="s">
        <v>625</v>
      </c>
      <c r="LU6" s="210" t="s">
        <v>21</v>
      </c>
      <c r="LV6" s="209" t="s">
        <v>626</v>
      </c>
      <c r="LW6" s="107" t="s">
        <v>627</v>
      </c>
      <c r="LX6" s="107" t="s">
        <v>628</v>
      </c>
      <c r="LY6" s="209" t="s">
        <v>629</v>
      </c>
      <c r="LZ6" s="209" t="s">
        <v>630</v>
      </c>
      <c r="MA6" s="210" t="s">
        <v>340</v>
      </c>
      <c r="MB6" s="209" t="s">
        <v>631</v>
      </c>
      <c r="MC6" s="107" t="s">
        <v>632</v>
      </c>
      <c r="MD6" s="108" t="s">
        <v>633</v>
      </c>
      <c r="ME6" s="209" t="s">
        <v>634</v>
      </c>
      <c r="MF6" s="209" t="s">
        <v>635</v>
      </c>
      <c r="MG6" s="210" t="s">
        <v>22</v>
      </c>
      <c r="MH6" s="209" t="s">
        <v>636</v>
      </c>
      <c r="MI6" s="107" t="s">
        <v>637</v>
      </c>
      <c r="MJ6" s="108" t="s">
        <v>638</v>
      </c>
    </row>
    <row r="7" spans="1:348" s="271" customFormat="1" ht="24.9" hidden="1" customHeight="1">
      <c r="A7" s="271" t="s">
        <v>839</v>
      </c>
      <c r="B7" s="271" t="s">
        <v>794</v>
      </c>
      <c r="C7" s="271">
        <v>9.3000000000000005E-4</v>
      </c>
      <c r="D7" s="298">
        <f>C7*2%</f>
        <v>1.8600000000000001E-5</v>
      </c>
      <c r="E7" s="299">
        <v>44232</v>
      </c>
      <c r="F7" s="271" t="s">
        <v>210</v>
      </c>
      <c r="G7" s="271" t="s">
        <v>834</v>
      </c>
      <c r="H7" s="271">
        <v>4</v>
      </c>
      <c r="I7" s="271">
        <v>66</v>
      </c>
      <c r="J7" s="299">
        <v>43831</v>
      </c>
      <c r="K7" s="299" t="s">
        <v>322</v>
      </c>
      <c r="L7" s="271" t="s">
        <v>832</v>
      </c>
      <c r="M7" s="309"/>
      <c r="N7" s="271">
        <v>120</v>
      </c>
      <c r="O7" s="268">
        <v>703.47415699999999</v>
      </c>
      <c r="P7" s="268">
        <v>0.453044</v>
      </c>
      <c r="Q7" s="268">
        <v>2052.1099979999999</v>
      </c>
      <c r="R7" s="268">
        <v>6.8541730000000003</v>
      </c>
      <c r="S7" s="268">
        <v>5992.0946199999998</v>
      </c>
      <c r="T7" s="268">
        <v>20.515650999999998</v>
      </c>
      <c r="U7" s="268">
        <v>0.71486700000000003</v>
      </c>
      <c r="V7" s="268">
        <v>4.2035000000000003E-2</v>
      </c>
      <c r="W7" s="268">
        <v>5.2450720000000004</v>
      </c>
      <c r="X7" s="268">
        <v>0.121327</v>
      </c>
      <c r="Y7" s="300">
        <v>67.307451</v>
      </c>
      <c r="Z7" s="268">
        <v>0.16755200000000001</v>
      </c>
      <c r="AA7" s="300">
        <v>0.41285500000000003</v>
      </c>
      <c r="AB7" s="268">
        <v>4.1896999999999997E-2</v>
      </c>
      <c r="AC7" s="300">
        <v>8.0638000000000001E-2</v>
      </c>
      <c r="AD7" s="268">
        <v>2.7191E-2</v>
      </c>
      <c r="AE7" s="300">
        <v>0.126581</v>
      </c>
      <c r="AF7" s="268">
        <v>2.1512E-2</v>
      </c>
      <c r="AG7" s="300">
        <v>0.18970600000000001</v>
      </c>
      <c r="AH7" s="268">
        <v>4.6836000000000003E-2</v>
      </c>
      <c r="AI7" s="270">
        <f>Ar40Raw-Ar40Blank</f>
        <v>636.16670599999998</v>
      </c>
      <c r="AJ7" s="270">
        <f>SQRT(Ar40Blankerr^2+Ar40Rawerr^2)</f>
        <v>0.48303471784127483</v>
      </c>
      <c r="AK7" s="270">
        <f>Ar39Raw-Ar39Blank</f>
        <v>2051.6971429999999</v>
      </c>
      <c r="AL7" s="270">
        <f>SQRT(Ar39Blankerr^2+Ar39Rawerr^2)</f>
        <v>6.8543010491616139</v>
      </c>
      <c r="AM7" s="270">
        <f>Ar38Raw-Ar38Blank</f>
        <v>5992.0139819999995</v>
      </c>
      <c r="AN7" s="270">
        <f>SQRT(Ar38Blankerr^2+Ar38Rawerr^2)</f>
        <v>20.515669019173661</v>
      </c>
      <c r="AO7" s="270">
        <f>Ar37Raw-Ar37Blank</f>
        <v>0.58828600000000009</v>
      </c>
      <c r="AP7" s="270">
        <f>SQRT(Ar37Blankerr^2+Ar37Rawerr^2)</f>
        <v>4.721977730781881E-2</v>
      </c>
      <c r="AQ7" s="270">
        <f>Ar36Raw-Ar36Blank</f>
        <v>5.0553660000000002</v>
      </c>
      <c r="AR7" s="270">
        <f>SQRT(Ar36Blankerr^2+Ar36Rawerr^2)</f>
        <v>0.13005326533770692</v>
      </c>
      <c r="AS7" s="271">
        <v>303</v>
      </c>
      <c r="AT7" s="271">
        <v>0.5</v>
      </c>
      <c r="AU7" s="270">
        <f>Ar39BC*(1+(Ar4036_Aircal/Ar4036_Air-1)/4)</f>
        <v>2064.7155258870557</v>
      </c>
      <c r="AV7" s="270">
        <f>SQRT(Ar39BCerr^2+(Ar39BC*(Ar4036_Aircal/Ar4036_Air-1)/4)^2*((Ar4036_Aircalerr/Ar4036_Aircal)^2+(Ar39BCerr/Ar39BC)^2+(Ar4036_airerr/Ar4036_Air)^2))</f>
        <v>6.8544862988588608</v>
      </c>
      <c r="AW7" s="270">
        <f>Ar38BC*(1+2*(Ar4036_Aircal/Ar4036_Air-1)/4)</f>
        <v>6068.0547685736028</v>
      </c>
      <c r="AX7" s="270">
        <f>SQRT(Ar38BCerr^2+(Ar38BC*(Ar4036_Aircal/Ar4036_Air-1)/4)^2*((Ar4036_Aircalerr/Ar4036_Aircal)^2+(Ar38BCerr/Ar38BC)^2+(Ar4036_airerr/Ar4036_Air)^2))</f>
        <v>20.516216712037703</v>
      </c>
      <c r="AY7" s="270">
        <f>Ar37BC*(1+3*(Ar4036_Aircal/Ar4036_Air-1)/4)</f>
        <v>0.59948433756345187</v>
      </c>
      <c r="AZ7" s="270">
        <f>SQRT(Ar37BCerr^2+(Ar37BC*(Ar4036_Aircal/Ar4036_Air-1)/3)^2*((Ar4036_Aircalerr/Ar4036_Aircal)^2+(Ar37BCerr/Ar37BC)^2+(Ar4036_airerr/Ar4036_Air)^2))</f>
        <v>4.7221468172589161E-2</v>
      </c>
      <c r="BA7" s="270">
        <f>Ar36BC*(1+4*(Ar4036_Aircal/Ar4036_Air-1)/4)</f>
        <v>5.1836747817258884</v>
      </c>
      <c r="BB7" s="270">
        <f>SQRT(Ar36BCerr^2+(Ar36BC*(Ar4036_Aircal/Ar4036_Air-1)/4)^2*((Ar4036_Aircalerr/Ar4036_Aircal)^2+(Ar36BCerr/Ar36BC)^2+(Ar4036_airerr/Ar4036_Air)^2))</f>
        <v>0.13005589849210233</v>
      </c>
      <c r="BC7" s="268">
        <v>2279.2032462607435</v>
      </c>
      <c r="BD7" s="269">
        <v>1.0027995366556639</v>
      </c>
      <c r="BE7" s="270">
        <f>IF(Rad_Type="Continuous", Ar37_DC*EXP(lambda_37Ar*(Run_Date-Rad_Date)),Ar37_DC*Ar37_DecayFactor)</f>
        <v>1366.3466482570909</v>
      </c>
      <c r="BF7" s="270">
        <f>IF(Rad_Type="Continuous", (Ar37_DCerr*EXP(lambda_37Ar*(Run_Date-Rad_Date))), Ar37_DCerr*Ar37_DecayFactor)</f>
        <v>107.6273235521636</v>
      </c>
      <c r="BG7" s="270">
        <f>IF(Rad_Type="Continuous", Ar39_DC*EXP(lambda_39Ar*(Run_Date-Rad_Date)), Ar39_DC*Ar39_DecayFactor)</f>
        <v>2070.4957726852949</v>
      </c>
      <c r="BH7" s="270">
        <f>IF(Rad_Type="Continuous", (Ar39_DCerr*EXP(lambda_39Ar*(Run_Date-Rad_Date))), Ar39_DCerr*Ar39_DecayFactor)</f>
        <v>6.8736756845082621</v>
      </c>
      <c r="BI7" s="302">
        <f>Ar40BC-(Salt_40Ar39Ar_K*Ar39_IC)</f>
        <v>366.71807189083404</v>
      </c>
      <c r="BJ7" s="270">
        <f>SQRT(Ar40BCerr^2+(Ar39_ICerr*Salt_40Ar39Ar_K)^2)</f>
        <v>1.0171631556150407</v>
      </c>
      <c r="BK7" s="302">
        <f>Ar39_DecayCor-(Salt_39Ar37Ar_Ca*Ar37_DecayCor)</f>
        <v>2069.2471122566826</v>
      </c>
      <c r="BL7" s="270">
        <f>SQRT(Ar39_DecayCorerr^2+(Ar37_DecayCorerr*Salt_39Ar37Ar_Ca)^2)</f>
        <v>6.8743793572443872</v>
      </c>
      <c r="BM7" s="302">
        <f>Ar38_DC-(Salt_38Ar39Ar_K*Ar39_DecayCor)</f>
        <v>6036.081968241504</v>
      </c>
      <c r="BN7" s="270">
        <f>SQRT(Ar38_DCerr^2+(Ar39_DecayCorerr*Salt_38Ar39Ar_K)^2)</f>
        <v>20.516491286757912</v>
      </c>
      <c r="BO7" s="270">
        <f>Ar36_DC-(Salt_36Ar37Ar_Ca*Ar37_DecayCor)</f>
        <v>4.7070532456020047</v>
      </c>
      <c r="BP7" s="270">
        <f>SQRT(Ar36_DCerr^2+(Ar37_DecayCorerr*Salt_36Ar37Ar_Ca)^2)</f>
        <v>0.13536637208304286</v>
      </c>
      <c r="BQ7" s="310">
        <v>1.0000023837007155</v>
      </c>
      <c r="BR7" s="268">
        <f>IF(Rad_Type="Continuous", BO7-((EXP(lambda_36Ar*(Run_Date-Rad_Date))-1)*Cl3638_PR*BT7),BO7*Ar36_DecayFactor)</f>
        <v>4.7070644658081937</v>
      </c>
      <c r="BS7" s="268">
        <f>IF(K:K="Continuous", SQRT(BP7^2+(((EXP(lambda_36Ar*(Run_Date-Rad_Date))-1)*Cl3638_PR)*BU7^2)), Ar36_ICerr*Ar36_DecayFactor)</f>
        <v>0.13536669475596086</v>
      </c>
      <c r="BT7" s="302">
        <f>IF(Rad_Type="Continuous", BM7-(Ar3836_Air*BO7)/(1-lambda_36Ar*(Run_Date-Rad_Date)),Ar38_IC-(Ar3836_Air*Ar36_IC)/Ar36_DecayFactor)</f>
        <v>6035.1970443407245</v>
      </c>
      <c r="BU7" s="268">
        <f>IF(Rad_Type ="Continuous", SQRT(BN7^2*(((EXP(lambda_36Ar*(Run_Date-Rad_Date))-1*0.188)*BP7^2))),SQRT(Ar38_ICerr^2*(((EXP(lambda_36Ar*(Ar36_DecayFactor))-1*0.188)*Ar36_ICerr^2))))</f>
        <v>2.5026026265313415</v>
      </c>
      <c r="BV7" s="302">
        <f>Ar40_IC-(Ar36_ClCor*Ar4036_Air)</f>
        <v>-1024.2194777554873</v>
      </c>
      <c r="BW7" s="302">
        <f>SQRT(Ar40_ICerr^2+(Ar36_ClCorerr*Ar4036_Air)^2)</f>
        <v>40.013788694058142</v>
      </c>
      <c r="BX7" s="303">
        <v>1.3539467276583303E-12</v>
      </c>
      <c r="BY7" s="303">
        <v>6.1488073529408856E-15</v>
      </c>
      <c r="BZ7" s="303">
        <f>Ar_Sensitivity*Ar36_ClCor</f>
        <v>6.3731145303578107E-12</v>
      </c>
      <c r="CA7" s="303">
        <f>Ar36CC*SQRT((Ar36_ClCorerr/Ar36_ClCor)^2+(Ar_sensitivityerr/Ar_Sensitivity)^2)</f>
        <v>1.8555049702857447E-13</v>
      </c>
      <c r="CB7" s="303">
        <f>Ar37_DecayCor*Ar_Sensitivity</f>
        <v>1.8499605732546159E-9</v>
      </c>
      <c r="CC7" s="311">
        <f>Ar37CC*SQRT((Ar37_DecayCorerr/Ar37_DecayCor)^2+(Ar_sensitivityerr/Ar_Sensitivity)^2)</f>
        <v>1.4596364784229465E-10</v>
      </c>
      <c r="CD7" s="303">
        <f>Ar_Sensitivity*Ar38_Cl</f>
        <v>8.1713352889583517E-9</v>
      </c>
      <c r="CE7" s="303">
        <f>Ar38CC*SQRT((Ar38_Clerr/Ar38_Cl)^2+(Ar_sensitivityerr/Ar_Sensitivity)^2)</f>
        <v>3.726363727496623E-11</v>
      </c>
      <c r="CF7" s="303">
        <f>Ar_Sensitivity*Ar39_IC</f>
        <v>2.8016503563563853E-9</v>
      </c>
      <c r="CG7" s="303">
        <f>Ar39CC*SQRT((Ar39_ICerr/Ar39_IC)^2+(Ar_sensitivityerr/Ar_Sensitivity)^2)</f>
        <v>1.5764368673221066E-11</v>
      </c>
      <c r="CH7" s="303">
        <f>Ar_Sensitivity*BV7</f>
        <v>-1.3867386103109661E-9</v>
      </c>
      <c r="CI7" s="303">
        <f>Ar40CC*SQRT((BW7/BV7)^2+(Ar_sensitivityerr/Ar_Sensitivity)^2)</f>
        <v>-5.454134834604336E-11</v>
      </c>
      <c r="CJ7" s="303">
        <f>Ar38CC/MV</f>
        <v>3.6456451960426951E-13</v>
      </c>
      <c r="CK7" s="303">
        <f>Ar38_mole*SQRT((Ar38CCerr/Ar38CC)^2+(MVerr/MV)^2)</f>
        <v>1.6625189949171093E-15</v>
      </c>
      <c r="CL7" s="303">
        <f>Ar40CC/MV</f>
        <v>-6.1869410250225554E-14</v>
      </c>
      <c r="CM7" s="303">
        <f>Ar40_mole*SQRT((Ar40CCerrr/Ar40CC)^2+(MVerr/MV)^2)</f>
        <v>-2.4333648978245674E-15</v>
      </c>
      <c r="CN7" s="298">
        <f>[7]Hb3Gr!CY10</f>
        <v>3.375159538894975E-2</v>
      </c>
      <c r="CO7" s="298">
        <f>[7]Hb3Gr!CZ10</f>
        <v>1.5451844425933516E-4</v>
      </c>
      <c r="CP7" s="303">
        <f>[7]Hb3Gr!DA10</f>
        <v>3.2991058936537144E+18</v>
      </c>
      <c r="CQ7" s="303">
        <f>[7]Hb3Gr!DB10</f>
        <v>7.6891636724989296E+16</v>
      </c>
      <c r="CR7" s="303">
        <f>[7]Hb3Gr!DC10</f>
        <v>6.2996205309471345E+18</v>
      </c>
      <c r="CS7" s="303">
        <f>[7]Hb3Gr!DD10</f>
        <v>6.6547763374471656E+16</v>
      </c>
      <c r="CT7" s="268">
        <f>[7]Hb3Gr!DE10</f>
        <v>0.54237067956270024</v>
      </c>
      <c r="CU7" s="268">
        <f>[7]Hb3Gr!DF10</f>
        <v>7.9831469058481257E-3</v>
      </c>
      <c r="CV7" s="268">
        <f>[7]Hb3Gr!DG10</f>
        <v>0.92858712665260035</v>
      </c>
      <c r="CW7" s="268">
        <f>[7]Hb3Gr!DH10</f>
        <v>1.3853885755983909E-2</v>
      </c>
      <c r="CX7" s="303">
        <f>J*(lambda_e/lambda)*K40_Abun</f>
        <v>4.0953886111905281E-7</v>
      </c>
      <c r="CY7" s="303">
        <f>K39_Prod*SQRT((Jerr/J)^2+(lambda_eerr/lambda_e)^2+(lambda_err/lambda)^2+(K40_Abunerr/K40_Abun)^2)</f>
        <v>4.1874940631638797E-9</v>
      </c>
      <c r="CZ7" s="303">
        <f>K39_Prod*Beta</f>
        <v>3.8029251429911961E-7</v>
      </c>
      <c r="DA7" s="303">
        <f>Cl38_Prod*SQRT((K39_Proderr/K39_Prod)^2+(Betaerr/Beta)^2)</f>
        <v>6.8782985673651652E-9</v>
      </c>
      <c r="DB7" s="303">
        <f>K39_Prod*alpha</f>
        <v>2.2212187041247499E-7</v>
      </c>
      <c r="DC7" s="303">
        <f>Ca37_Prod*SQRT((K39_Prod/K39_Proderr)^2+(alphaerr/alpha)^2)</f>
        <v>2.1723622170307995E-5</v>
      </c>
      <c r="DD7" s="303">
        <f>K_constant*Ar39CC/J</f>
        <v>3.0521100237947574E-7</v>
      </c>
      <c r="DE7" s="303">
        <f>K_mole*SQRT((Ar39ccerr/Ar39CC)^2+(Jerr/J)^2+(K_Constanterr/K_constant)^2)</f>
        <v>3.5620835577358221E-9</v>
      </c>
      <c r="DF7" s="302">
        <f>K_mole*MW_K/Sample_Mass*10^6</f>
        <v>12831.431542294038</v>
      </c>
      <c r="DG7" s="302">
        <f>K_ppm*SQRT((Sample_Masserr/Sample_Mass)^2+(MW_Kerr/MW_K)^2)+(K_moleerr/K_mole)^2</f>
        <v>256.62876707650213</v>
      </c>
      <c r="DH7" s="301">
        <f>K_ppm/10^4</f>
        <v>1.2831431542294038</v>
      </c>
      <c r="DI7" s="269">
        <f>K_ppmerr/10^4</f>
        <v>2.5662876707650214E-2</v>
      </c>
      <c r="DJ7" s="303">
        <f>Cl_Constant*Ar38CC/(J*Beta)</f>
        <v>1.0572105949301113E-6</v>
      </c>
      <c r="DK7" s="303">
        <f>Cl_mole*SQRT((Ar38CCerr/Ar38CC)^2+(Jerr/J)^2+(Betaerr/Beta)^2+(Cl_Constanterr/Cl_Constant)^2)</f>
        <v>1.9720048722152676E-8</v>
      </c>
      <c r="DL7" s="302">
        <f>Cl_mole*MW_Cl/Sample_Mass*10^6</f>
        <v>40302.459378556166</v>
      </c>
      <c r="DM7" s="302">
        <f>Cl_ppm*SQRT((Sample_Masserr/Sample_Mass)^2+(MW_Clerr/MW_Cl)^2)+(Cl_moleerr/Cl_mole)^2</f>
        <v>806.04956756656611</v>
      </c>
      <c r="DN7" s="301">
        <f>Cl_ppm/10^4</f>
        <v>4.030245937855617</v>
      </c>
      <c r="DO7" s="269">
        <f>Cl_ppmerr/10^4</f>
        <v>8.0604956756656618E-2</v>
      </c>
      <c r="DP7" s="303">
        <f>Ca_Constant*Ar37CC/(J*alpha)</f>
        <v>3.6247885833328199E-7</v>
      </c>
      <c r="DQ7" s="303">
        <f>Ca_mole*SQRT((Ar37CCerr/Ar37CC)^2+(Jerr/J)^2+(alphaerr/alpha)^2+(Ca_Constanterr/Ca_Constant)^2)</f>
        <v>2.9328475858365208E-8</v>
      </c>
      <c r="DR7" s="302">
        <f>Ca_mole*MW_Ca/Sample_Mass*10^6</f>
        <v>15621.669507524666</v>
      </c>
      <c r="DS7" s="302">
        <f>Ca_ppm*SQRT((Sample_Masserr/Sample_Mass)^2+(MW_Caerr/MW_Ca)^2)+(Ca_moleerr/Ca_mole)^2</f>
        <v>312.44382653585825</v>
      </c>
      <c r="DT7" s="268">
        <f>Ca_ppm/10^4</f>
        <v>1.5621669507524667</v>
      </c>
      <c r="DU7" s="268">
        <f>Ca_ppmerr/10^4</f>
        <v>3.1244382653585825E-2</v>
      </c>
      <c r="DV7" s="268">
        <f>K_mole/Cl_mole</f>
        <v>0.28869461188066531</v>
      </c>
      <c r="DW7" s="268">
        <f>KCl_mol*SQRT(K_moleerr/K_mole)^2+(Cl_moleerr/Cl_mole)^2</f>
        <v>3.7172534693508735E-3</v>
      </c>
      <c r="DX7" s="268">
        <f>K_mole/Ca_mole</f>
        <v>0.84201049347503965</v>
      </c>
      <c r="DY7" s="268">
        <f>KCa_mol*SQRT(K_moleerr/K_mole)^2+(Ca_moleerr/Ca_mole)^2</f>
        <v>1.6373577661453888E-2</v>
      </c>
      <c r="DZ7" s="268">
        <f>K_ppm/Cl_ppm</f>
        <v>0.3183783754179848</v>
      </c>
      <c r="EA7" s="268">
        <f>KCl_wt*SQRT(K_ppmerr/K_ppm)^2+(Cl_ppmerr/Cl_ppm)^2</f>
        <v>6.7675712657096175E-3</v>
      </c>
      <c r="EB7" s="268">
        <f>K_ppm/Ca_ppm</f>
        <v>0.82138669852882096</v>
      </c>
      <c r="EC7" s="268">
        <f>KCa_wt*SQRT(K_ppmerr/K_ppm)^2+(Ca_ppmerr/Ca_ppm)^2</f>
        <v>1.6827769414483863E-2</v>
      </c>
      <c r="ED7" s="303">
        <f>Ar40_mole/Cl_mole</f>
        <v>-5.8521367972400553E-8</v>
      </c>
      <c r="EE7" s="303">
        <f>Ar40Cl_mol*SQRT((Ar40_moleerr/Ar40_mole)^2+(Cl_moleerr/Cl_mole)^2)</f>
        <v>-2.5474156409731957E-9</v>
      </c>
      <c r="EF7" s="268">
        <f>Ar40_IC/Ar39_IC</f>
        <v>0.17722294728293619</v>
      </c>
      <c r="EG7" s="268">
        <f>Ar40Ar39*SQRT((CG7/CF7)^2+(CI7/CH7)^2)</f>
        <v>7.0412665643575702E-3</v>
      </c>
      <c r="EH7" s="303">
        <f>(CH7/MV)/K_mole</f>
        <v>-2.027102881871274E-7</v>
      </c>
      <c r="EI7" s="303">
        <f>Ar40K*SQRT((CI7/CH7)^2+(K_moleerr/K_mole)^2+(MVerr/MV)^2)</f>
        <v>-8.3163378795813262E-9</v>
      </c>
      <c r="EJ7" s="302">
        <f>(1/lambda/10^6)*LN(1+(J*Ar40Ar39))</f>
        <v>10.747024285641196</v>
      </c>
      <c r="EK7" s="268">
        <f>SQRT((J^2*Ar40Ar39^2*((Ar40Ar39err/Ar40Ar39*100)^2))/(Age^2*0.00055305^2*((1+Ar40Ar39*J)^2)))*Age/100</f>
        <v>0.42716009709218489</v>
      </c>
      <c r="EL7" s="268">
        <f>SQRT((J^2*Ar40Ar39^2*((Ar40Ar39err/Ar40Ar39*100)^2+(Jerr/J*100)^2))/(Age^2*0.00055305^2*((1+Ar40Ar39*J)^2)))*Age/100</f>
        <v>0.42998651657847747</v>
      </c>
      <c r="EM7" s="312">
        <v>500.70051699999999</v>
      </c>
      <c r="EN7" s="312">
        <v>3.342679</v>
      </c>
      <c r="EO7" s="312">
        <v>160.15163799999999</v>
      </c>
      <c r="EP7" s="312">
        <v>0.98601399999999995</v>
      </c>
      <c r="EQ7" s="312">
        <v>-1.3795999999999999E-2</v>
      </c>
      <c r="ER7" s="312">
        <v>0.10399600000000001</v>
      </c>
      <c r="ES7" s="300"/>
      <c r="ET7" s="300"/>
      <c r="EU7" s="268">
        <v>-0.21437500000000001</v>
      </c>
      <c r="EV7" s="268">
        <v>6.2983999999999998E-2</v>
      </c>
      <c r="EW7" s="268">
        <v>7.0879999999999997E-3</v>
      </c>
      <c r="EX7" s="268">
        <v>4.0000000000000002E-4</v>
      </c>
      <c r="EY7" s="268">
        <v>-7.2563000000000002E-2</v>
      </c>
      <c r="EZ7" s="268">
        <v>2.8532999999999999E-2</v>
      </c>
      <c r="FA7" s="298"/>
      <c r="FB7" s="298"/>
      <c r="FC7" s="268">
        <f>Kr80Raw-Kr80Blank</f>
        <v>500.91489200000001</v>
      </c>
      <c r="FD7" s="268">
        <f>SQRT(Kr80Rawerr^2+Kr80Blankerr^2)</f>
        <v>3.3432723313091022</v>
      </c>
      <c r="FE7" s="268">
        <f>Kr82Raw-Kr82Blank</f>
        <v>160.14454999999998</v>
      </c>
      <c r="FF7" s="268">
        <f>SQRT(Kr82Rawerr^2+Kr82Blankerr^2)</f>
        <v>0.9860140811347472</v>
      </c>
      <c r="FG7" s="268">
        <f>Kr84Raw-Kr84Blank</f>
        <v>5.8767E-2</v>
      </c>
      <c r="FH7" s="268">
        <f>SQRT(Kr84Rawerr^2+Kr84Blankerr^2)</f>
        <v>0.10783923267994817</v>
      </c>
      <c r="FI7" s="268">
        <f>Kr86Raw-Kr86Blank</f>
        <v>0</v>
      </c>
      <c r="FJ7" s="268">
        <f>SQRT(Kr86Rawerr^2+Kr86Blankerr^2)</f>
        <v>0</v>
      </c>
      <c r="FK7" s="268">
        <f>Kr84BC-((Y86Kr*Kr8684_nf)/(Y134Xe*Xe134136_nf)*Xe134AC)</f>
        <v>5.8710786018251832E-2</v>
      </c>
      <c r="FL7" s="268">
        <f>Kr84U*SQRT((Kr84BCerr/Kr84BC)^2+(Y86Kr_err/Y86Kr)^2+(Kr8684_nferr/Kr8684_nf)^2+(Y134Xeerr/Y134Xe)^2+(Xe134136_nferr/Xe134136_nf)^2+(Xe134ACerr/Xe134AC)^2)</f>
        <v>0.21015215368802731</v>
      </c>
      <c r="FM7" s="302">
        <f>Kr80BC-(Kr84U*Kr8084_Air)</f>
        <v>500.91256705287367</v>
      </c>
      <c r="FN7" s="302">
        <f>SQRT(Kr80BCerr^2+(Kr84Uerr*Kr8084_Air)^2)</f>
        <v>3.3432826888257385</v>
      </c>
      <c r="FO7" s="302">
        <f>Kr82BC-(Kr84U*Kr8284_Air)</f>
        <v>160.13267867906708</v>
      </c>
      <c r="FP7" s="302">
        <f>SQRT(Kr82BCerr^2+(Kr84Uerr*Kr8284_Air)^2)</f>
        <v>0.98692927979352918</v>
      </c>
      <c r="FQ7" s="268">
        <f>Kr86BC-(Kr84U*Kr8684_Air)</f>
        <v>-1.791853189277046E-2</v>
      </c>
      <c r="FR7" s="268">
        <f>SQRT(Kr86BCerr^2+(Kr84Uerr*Kr8684_Air)^2)</f>
        <v>6.4138437305585938E-2</v>
      </c>
      <c r="FS7" s="303">
        <v>1.3380462282714104E-12</v>
      </c>
      <c r="FT7" s="303">
        <v>6.763342243574739E-14</v>
      </c>
      <c r="FU7" s="268">
        <v>1.1499999999999999</v>
      </c>
      <c r="FV7" s="268">
        <v>5.0000000000000001E-3</v>
      </c>
      <c r="FW7" s="303">
        <f>(Kr80AC*Kr_sensitivity)/YKr</f>
        <v>5.8282101829465007E-10</v>
      </c>
      <c r="FX7" s="303">
        <f>Kr80cc*SQRT((Kr_sensitivityerr/Kr_sensitivity)^2+(YKrerr/YKr)^2+(Kr80ACerr/Kr80AC)^2)</f>
        <v>2.9823070168652758E-11</v>
      </c>
      <c r="FY7" s="303">
        <f>(Kr82AC*Kr_sensitivity)/YKr</f>
        <v>1.8631732759088995E-10</v>
      </c>
      <c r="FZ7" s="303">
        <f>Kr82cc*SQRT((Kr_sensitivityerr/Kr_sensitivity)^2+(YKrerr/YKr)^2+(Kr82ACerr/Kr82AC)^2)</f>
        <v>9.5219408216307591E-12</v>
      </c>
      <c r="GA7" s="303">
        <f>(Kr84U*Kr_sensitivity)/YKr</f>
        <v>6.8311083296149329E-14</v>
      </c>
      <c r="GB7" s="303">
        <f>Kr84cc*SQRT((Kr_sensitivityerr/Kr_sensitivity)^2+(YKrerr/YKr)^2+(Kr84Uerr/Kr84U)^2)</f>
        <v>2.4454046879071537E-13</v>
      </c>
      <c r="GC7" s="303">
        <f>(Kr86AC*Kr_sensitivity)/YKr</f>
        <v>-2.0848542621984778E-14</v>
      </c>
      <c r="GD7" s="303">
        <f>Kr86cc*SQRT((Kr_sensitivityerr/Kr_sensitivity)^2+(YKrerr/YKr)^2+(Kr86ACerr/Kr86AC)^2)</f>
        <v>-7.4633751074926356E-14</v>
      </c>
      <c r="GE7" s="303">
        <f>Kr80cc/MV</f>
        <v>2.6002587953644701E-14</v>
      </c>
      <c r="GF7" s="303">
        <f>Kr80_mole*SQRT((MVerr/MV)^2+(Kr80ccerr/Kr80cc)^2)</f>
        <v>1.3305577198073461E-15</v>
      </c>
      <c r="GG7" s="303">
        <f>Kr82cc/MV</f>
        <v>8.3125565926671042E-15</v>
      </c>
      <c r="GH7" s="303">
        <f>Kr82_mole*SQRT((MVerr/MV)^2+(Kr82ccerr/Kr82cc)^2)</f>
        <v>4.2482185087330642E-16</v>
      </c>
      <c r="GI7" s="303">
        <f>Kr84cc/MV</f>
        <v>3.047702289142336E-18</v>
      </c>
      <c r="GJ7" s="303">
        <f>Kr84_mole*SQRT((MVerr/MV)^2+(Kr84ccerr/Kr84cc)^2)</f>
        <v>1.0910184856685247E-17</v>
      </c>
      <c r="GK7" s="268">
        <f>Kr80_mole/Kr82_mole</f>
        <v>3.1281095850322154</v>
      </c>
      <c r="GL7" s="268">
        <f>Kr8082_mole*SQRT(Kr80_moleerr/Kr80_mole)^2+(Kr82_moleerr/Kr82_mole)^2</f>
        <v>0.16267783169890579</v>
      </c>
      <c r="GM7" s="303">
        <f>(Kr80_mole/Ar38_mole)*Br79_Constant</f>
        <v>3.3331795571655536E-3</v>
      </c>
      <c r="GN7" s="303">
        <f>Br79_Cl_meas*SQRT((Kr80_moleerr/Kr80_mole)^2+(Ar38CCerr/Ar38CC)^2+(MVerr/MV)^2+(Br79_Constanterr/Br79_Constant)^2)</f>
        <v>1.7860381973566942E-4</v>
      </c>
      <c r="GO7" s="305">
        <f>IF(Scapolite="BB2",Br79_Cl_meas/BB2_SP_BrCl,Br79_Cl_meas/BB1_BrCl)</f>
        <v>3.4362675847067563</v>
      </c>
      <c r="GP7" s="305">
        <f>IF(Scapolite="BB2",Br79_Factor*SQRT((Br79_Cl_measerr/Br79_Cl_meas)^2+(BB2_SP_BrClerr/BB2_SP_BrCl)^2),Br79_Factor*SQRT((Br79_Cl_measerr/Br79_Cl_meas)^2+(BB1_BrClerr/BB1_BrCl)^2))</f>
        <v>0.28121453282070236</v>
      </c>
      <c r="GQ7" s="313">
        <f>IF(Scapolite="BB2",(Kr80cc/Ar38CC)*(BB2_SP_Cl/BB2_SP_Br),(Kr80cc/Ar38CC)*(BB1_Cl/BB1_Br))</f>
        <v>73.108191333092307</v>
      </c>
      <c r="GR7" s="313">
        <f>IF(Scapolite="BB2",Pi*SQRT((Kr80ccerr/Kr80cc)^2+(Ar38CCerr/Ar38CC)^2+(BB2_SP_Brerr/BB2_SP_Br)^2+(BB2_SP_Clerr/BB2_SP_Cl)^2),Pi*SQRT((Kr80ccerr/Kr80cc)^2+(Ar38CCerr/Ar38CC)^2+(BB1_Brerr/BB1_Br)^2+(BB1_Clerr/BB1_Cl)^2))</f>
        <v>7.1641084894771581</v>
      </c>
      <c r="GS7" s="303">
        <f>Pi*Cl38_Prod</f>
        <v>2.780249789792278E-5</v>
      </c>
      <c r="GT7" s="303">
        <f>GS7*SQRT((Pi_err/Pi)^2+(Cl38_Proderr/Cl38_Prod)^2)</f>
        <v>2.7704752600612092E-6</v>
      </c>
      <c r="GU7" s="303">
        <f>(Kr82_mole/Ar38_mole)*Br81_Constant</f>
        <v>4.6349948049839284E-3</v>
      </c>
      <c r="GV7" s="303">
        <f>GU7*SQRT((Kr82_moleerr/Kr82_mole)^2+(Ar38_moleerr/Ar38_mole)^2+(Br81_Constanterr/Br81_Constant)^2)</f>
        <v>2.5409161475788828E-4</v>
      </c>
      <c r="GW7" s="305">
        <f>IF(Scapolite="BB2",GU7/BB2_SP_BrCl,GU7/BB1_BrCl)</f>
        <v>4.7783451597772455</v>
      </c>
      <c r="GX7" s="305">
        <f>IF(Scapolite="BB2",GW7*SQRT((GV7/GU7)^2+(BB2_SP_BrClerr/BB2_SP_BrCl)^2),GW7*SQRT((GV7/GU7)^2+(BB1_BrClerr/BB1_BrCl)^2))</f>
        <v>0.39494069744534982</v>
      </c>
      <c r="GY7" s="313">
        <f>IF(Scapolite="BB2",(Kr82cc/Ar38CC)*(BB2_SP_Cl/BB2_SP_Br),(Kr82cc/Ar38CC)*(BB1_Cl/BB1_Br))</f>
        <v>23.371365147471135</v>
      </c>
      <c r="GZ7" s="313">
        <f>IF(Scapolite="BB2",Pi_prime*SQRT((Kr82ccerr/Kr82cc)^2+(Ar38CCerr/Ar38CC)^2+(BB2_SP_Brerr/BB2_SP_Br)^2+(BB2_SP_Clerr/BB2_SP_Cl)^2),Pi_prime*SQRT((Kr82ccerr/Kr82cc)^2+(Ar38CCerr/Ar38CC)^2+(BB1_Brerr/BB1_Br)^2+(BB1_Clerr/BB1_Cl)^2))</f>
        <v>2.2894530791197374</v>
      </c>
      <c r="HA7" s="303">
        <f>Pi_prime*Cl38_Prod</f>
        <v>8.8879552145346131E-6</v>
      </c>
      <c r="HB7" s="303">
        <f>Br81_Prod*SQRT((Pi_primeerr/Pi_prime)^2+(Cl38_Proderr/Cl38_Prod)^2)</f>
        <v>8.8537807248107713E-7</v>
      </c>
      <c r="HC7" s="268"/>
      <c r="HD7" s="268"/>
      <c r="HE7" s="302" t="e">
        <f>(Kr80_mole/Br79_FactorSW)/(Y_79Br*Br79_Abun*(Therm_CS_79Br*Therm_Flux))*(MW_Br/Sample_Mass*10^6)</f>
        <v>#DIV/0!</v>
      </c>
      <c r="HF7" s="302" t="e">
        <f>HE7*SQRT((Kr80_moleerr/Kr80_mole)^2+(Sample_Masserr/Sample_Mass)^2+(Br79Factor_SWerr/Br79_FactorSW)^2+(Therm_CS_79Brerr/Therm_CS_79Br)^2+(Br79_Abunerr/Br79_Abun)^2+(Therm_Fluxerr/Therm_Flux)^2)</f>
        <v>#DIV/0!</v>
      </c>
      <c r="HG7" s="268"/>
      <c r="HH7" s="268"/>
      <c r="HI7" s="302" t="e">
        <f>(Kr82_mole/Br81_FactorSW)/(Y_81Br*Br81_Abun*(Therm_CS_81Br*Therm_Flux))*(MW_Br/Sample_Mass*10^6)</f>
        <v>#DIV/0!</v>
      </c>
      <c r="HJ7" s="302" t="e">
        <f>HI7*SQRT((Kr82_moleerr/Kr82_mole)^2+(Sample_Masserr/Sample_Mass)^2+(Br81_FactorSWerr/Br81_FactorSW)^2+(Therm_CS_81Brerr/Therm_CS_81Br)^2+(Br81_Abunerr/Br81_Abun)^2+(Therm_Fluxerr/Therm_Flux)^2)</f>
        <v>#DIV/0!</v>
      </c>
      <c r="HK7" s="314">
        <v>0.77443399999999996</v>
      </c>
      <c r="HL7" s="314">
        <v>9.691E-3</v>
      </c>
      <c r="HM7" s="314">
        <v>5.1060000000000003E-3</v>
      </c>
      <c r="HN7" s="314">
        <v>5.0900000000000001E-4</v>
      </c>
      <c r="HO7" s="314">
        <v>2.3530000000000001E-3</v>
      </c>
      <c r="HP7" s="314">
        <v>4.4000000000000002E-4</v>
      </c>
      <c r="HQ7" s="314">
        <v>0.38422299999999998</v>
      </c>
      <c r="HR7" s="314">
        <v>7.273E-3</v>
      </c>
      <c r="HS7" s="314">
        <v>4.1840000000000002E-3</v>
      </c>
      <c r="HT7" s="314">
        <v>4.3199999999999998E-4</v>
      </c>
      <c r="HU7" s="314">
        <v>3.3930000000000002E-3</v>
      </c>
      <c r="HV7" s="314">
        <v>5.0299999999999997E-4</v>
      </c>
      <c r="HW7" s="314">
        <v>4.3579999999999999E-3</v>
      </c>
      <c r="HX7" s="314">
        <v>2.7099999999999997E-4</v>
      </c>
      <c r="HY7" s="314">
        <v>3.722E-3</v>
      </c>
      <c r="HZ7" s="269">
        <v>1.8699999999999999E-4</v>
      </c>
      <c r="IA7" s="314">
        <v>2.7859999999999998E-3</v>
      </c>
      <c r="IB7" s="269">
        <v>2.0100000000000001E-4</v>
      </c>
      <c r="IC7" s="314">
        <v>1.8500000000000001E-3</v>
      </c>
      <c r="ID7" s="269">
        <v>2.1800000000000001E-4</v>
      </c>
      <c r="IE7" s="314">
        <v>2.885E-3</v>
      </c>
      <c r="IF7" s="269">
        <v>2.3499999999999999E-4</v>
      </c>
      <c r="IG7" s="314">
        <v>2.4169999999999999E-3</v>
      </c>
      <c r="IH7" s="269">
        <v>2.5300000000000002E-4</v>
      </c>
      <c r="II7" s="314">
        <v>1.6540000000000001E-3</v>
      </c>
      <c r="IJ7" s="269">
        <v>1.11E-4</v>
      </c>
      <c r="IK7" s="314">
        <v>1.7489999999999999E-3</v>
      </c>
      <c r="IL7" s="269">
        <v>2.05E-4</v>
      </c>
      <c r="IM7" s="269">
        <f>Xe128Raw-Xe128Blank</f>
        <v>0.77071199999999995</v>
      </c>
      <c r="IN7" s="269">
        <f>SQRT(Xe128Rawerr^2+Xe128Blankerr^2)</f>
        <v>9.6928040318578611E-3</v>
      </c>
      <c r="IO7" s="269">
        <f>Xe129Raw-Xe129Blank</f>
        <v>2.3200000000000004E-3</v>
      </c>
      <c r="IP7" s="269">
        <f>SQRT(Xe129Rawerr^2+Xe129Blankerr^2)</f>
        <v>5.4724948606645583E-4</v>
      </c>
      <c r="IQ7" s="269">
        <f>Xe130Raw-Xe130Blank</f>
        <v>5.0299999999999997E-4</v>
      </c>
      <c r="IR7" s="269">
        <f>SQRT(Xe130Rawerr^2+Xe130Blankerr^2)</f>
        <v>4.9104378623499555E-4</v>
      </c>
      <c r="IS7" s="269">
        <f>Xe131Raw-Xe131Blank</f>
        <v>0.38133799999999995</v>
      </c>
      <c r="IT7" s="269">
        <f>SQRT(Xe131Rawerr^2+Xe131Blankerr^2)</f>
        <v>7.2767955859705169E-3</v>
      </c>
      <c r="IU7" s="269">
        <f>Xe132Raw-Xe132Blank</f>
        <v>1.7670000000000003E-3</v>
      </c>
      <c r="IV7" s="269">
        <f>SQRT(Xe132Rawerr^2+Xe132Blankerr^2)</f>
        <v>5.0063259981747096E-4</v>
      </c>
      <c r="IW7" s="269">
        <f>Xe134Raw-Xe134Blank</f>
        <v>1.7390000000000001E-3</v>
      </c>
      <c r="IX7" s="269">
        <f>SQRT(Xe134Rawerr^2+Xe134Blankerr^2)</f>
        <v>5.1510193166013274E-4</v>
      </c>
      <c r="IY7" s="269">
        <f>Xe136Raw-Xe136Blank</f>
        <v>2.6090000000000002E-3</v>
      </c>
      <c r="IZ7" s="269">
        <f>SQRT(Xe136Rawerr^2+Xe136Blankerr^2)</f>
        <v>3.3980288403720173E-4</v>
      </c>
      <c r="JA7" s="269">
        <f>Xe128BC-(Xe130BC*Xe128130_Air)</f>
        <v>0.77047478599725494</v>
      </c>
      <c r="JB7" s="269">
        <f>SQRT(Xe128BCerr^2+(Xe130BCerr*Xe128130_Air)^2)</f>
        <v>9.6955699780312266E-3</v>
      </c>
      <c r="JC7" s="269">
        <f>Xe129BC-(Xe130BC*Xe129130_Air)</f>
        <v>-9.4584544243399944E-4</v>
      </c>
      <c r="JD7" s="269">
        <f>SQRT(Xe129BCerr^2+(Xe130BCerr*Xe129130_Air)^2)</f>
        <v>3.2348429847460017E-3</v>
      </c>
      <c r="JE7" s="269">
        <f>Xe131BC-(Xe130BC*Xe131130_Air)</f>
        <v>0.37871668560109795</v>
      </c>
      <c r="JF7" s="269">
        <f>SQRT(Xe131BCerr^2+(Xe130BCerr*Xe131130_Air)^2)</f>
        <v>7.7136416188568367E-3</v>
      </c>
      <c r="JG7" s="269">
        <f>Xe132BC-(Xe130BC*Xe132130_Air)</f>
        <v>-1.5553249669449996E-3</v>
      </c>
      <c r="JH7" s="269">
        <f>SQRT(Xe132BCerr^2+(Xe130BCerr*Xe132130_Air)^2)</f>
        <v>3.2817644290662586E-3</v>
      </c>
      <c r="JI7" s="269">
        <f>Xe134BC-(Xe130BC*Xe134130_Air)</f>
        <v>4.4428996033400009E-4</v>
      </c>
      <c r="JJ7" s="269">
        <f>SQRT(Xe134BCerr^2+(Xe130BCerr*Xe134130_Air)^2)</f>
        <v>1.3648669383415706E-3</v>
      </c>
      <c r="JK7" s="269">
        <f>Xe136BC-(Xe130BC*Xe136130_Air)</f>
        <v>1.5146261559190002E-3</v>
      </c>
      <c r="JL7" s="269">
        <f>SQRT(Xe136BCerr^2+(Xe130BCerr*Xe136130_Air)^2)</f>
        <v>1.1210980205114372E-3</v>
      </c>
      <c r="JM7" s="303">
        <v>1.0646974269079652E-12</v>
      </c>
      <c r="JN7" s="303">
        <v>1.7365359098361633E-14</v>
      </c>
      <c r="JO7" s="301">
        <v>1</v>
      </c>
      <c r="JP7" s="301">
        <v>0</v>
      </c>
      <c r="JQ7" s="303">
        <f>(Xe128AC*Xe_Sensitivity)/YXe</f>
        <v>8.2032252214874248E-13</v>
      </c>
      <c r="JR7" s="303">
        <f>Xe128CC*SQRT((Xe_Sensitivityerr/Xe_Sensitivity)^2+(YXeerr/YXe)^2+(Xe128ACerr/Xe128AC)^2)</f>
        <v>1.6898938675705527E-14</v>
      </c>
      <c r="JS7" s="303">
        <f>Xe128CC/MV</f>
        <v>3.6598729048828696E-17</v>
      </c>
      <c r="JT7" s="303">
        <f>Xe128mole*SQRT((Xe128CCerr/Xe128CC)^2+(MVerr/MV)^2)</f>
        <v>7.5394696762684275E-19</v>
      </c>
      <c r="JU7" s="268"/>
      <c r="JV7" s="268"/>
      <c r="JW7" s="303" t="e">
        <f>(Xe128mole/IFactor_SW)/((Therm_CS_127I*Therm_Flux)*I127_Abun*Y_127I)</f>
        <v>#DIV/0!</v>
      </c>
      <c r="JX7" s="303" t="e">
        <f>I_mole*SQRT((Xe128CCerr/Xe128CC)^2+(IFactor_SWerr/IFactor_SW)^2+(Therm_CS_127Ierr/Therm_CS_127I)^2+(Therm_Fluxerr/Therm_Flux)^2)</f>
        <v>#DIV/0!</v>
      </c>
      <c r="JY7" s="302" t="e">
        <f>I_mole*MW_I/Sample_Mass*10^9</f>
        <v>#DIV/0!</v>
      </c>
      <c r="JZ7" s="302" t="e">
        <f>JY7*SQRT(I_moleerr/I_mole)^2+(MVerr/MV)^2+(Sample_Masserr/Sample_Mass)</f>
        <v>#DIV/0!</v>
      </c>
      <c r="KA7" s="268">
        <f>Xe131AC-Xe131136_nf/Xe134136_nf*Xe134AC</f>
        <v>0.37855515803124939</v>
      </c>
      <c r="KB7" s="268">
        <f>SQRT(Xe131ACerr^2+(Xe131136_nf/Xe134136_nf*Xe134AC)^2*((Xe131136_nferr/Xe131136_nf)^2+(Xe134136_nferr/Xe134136_nf)^2+(Xe134ACerr/Xe134AC)^2))</f>
        <v>7.7295886230462039E-3</v>
      </c>
      <c r="KC7" s="303">
        <f>(Xe131Ba*Xe_Sensitivity)/YXe</f>
        <v>4.030467026986094E-13</v>
      </c>
      <c r="KD7" s="303">
        <f>Xe131Bacc*SQRT((Xe_Sensitivityerr/Xe_Sensitivity)^2+(YXeerr/YXe)^2+(Xe131Baerr/Xe131Ba)^2)</f>
        <v>1.0532884670907891E-14</v>
      </c>
      <c r="KE7" s="303">
        <f>Xe131Bacc/MV</f>
        <v>1.7981948157965532E-17</v>
      </c>
      <c r="KF7" s="303">
        <f>Xe131mole*SQRT((Xe131CCerr/Xe131CC)^2+(MVerr/MV)^2)</f>
        <v>4.6992515975096094E-19</v>
      </c>
      <c r="KG7" s="305"/>
      <c r="KH7" s="305"/>
      <c r="KI7" s="303" t="e">
        <f>(Xe131mole/Ba_FactorSW)/((Therm_CS_130Ba*Therm_Flux)*Ba130_Abun*Y_130Ba)</f>
        <v>#DIV/0!</v>
      </c>
      <c r="KJ7" s="303" t="e">
        <f>Ba_mole*SQRT((Xe131moleerr/Xe131mole)^2+(Ba_FactorSWerr/Ba_FactorSW)^2+(Therm_CS_130Baerr/Therm_CS_130Ba)^2+(Therm_Fluxerr/Therm_Flux)^2)</f>
        <v>#DIV/0!</v>
      </c>
      <c r="KK7" s="302" t="e">
        <f>Ba_mole*MW_Ba/Sample_Mass*10^6</f>
        <v>#DIV/0!</v>
      </c>
      <c r="KL7" s="302" t="e">
        <f>KK7*SQRT(I_moleerr/I_mole)^2+(MVerr/MV)^2+(Sample_Masserr/Sample_Mass)</f>
        <v>#DIV/0!</v>
      </c>
      <c r="KM7" s="303">
        <f>(Xe134AC*Xe_Sensitivity)/YXe</f>
        <v>4.7303437756865182E-16</v>
      </c>
      <c r="KN7" s="303">
        <f>Xe134CC*SQRT((Xe_Sensitivityerr/Xe_Sensitivity)^2+(YXeerr/YXe)^2+(Xe134ACerr/Xe134AC)^2)</f>
        <v>1.4531907983147853E-15</v>
      </c>
      <c r="KO7" s="303">
        <f>Xe134CC/MV</f>
        <v>2.1104451661364102E-20</v>
      </c>
      <c r="KP7" s="303">
        <f>Xe134mole*SQRT((Xe134CCerr/Xe134CC)^2+(MVerr/MV)^2)</f>
        <v>6.4834177835886907E-20</v>
      </c>
      <c r="KQ7" s="303">
        <f>Xe134mole/((Therm_CS_235U*Therm_Flux)*U235_Abun*Y_235U)</f>
        <v>1.8907831533205681E-14</v>
      </c>
      <c r="KR7" s="303">
        <f>U_mole*SQRT((Xe134moleerr/Xe134mole)^2+(Therm_CS_235Uerr/Therm_CS_235U)^2+(Therm_Fluxerr/Therm_Flux)^2)</f>
        <v>5.8087696885390425E-14</v>
      </c>
      <c r="KS7" s="302">
        <f>U_mole*MW_U/Sample_Mass*10^9</f>
        <v>4.839366161626427</v>
      </c>
      <c r="KT7" s="302">
        <f>KS7*SQRT((U_moleerr/U_mole)^2+(MVerr/MV)^2+(Sample_Masserr/Sample_Mass)^2)</f>
        <v>14.867574371092715</v>
      </c>
      <c r="KU7" s="303">
        <f>(Xe128mole/Ar38_mole)*I127_Constant</f>
        <v>6.5136974450702063E-6</v>
      </c>
      <c r="KV7" s="303">
        <f>KU7*SQRT((Xe128moleerr/Xe128mole)^2+(Ar38_moleerr/Ar38_mole)^2+(I127_Constanterr/I127_Constant)^2)</f>
        <v>1.7188843824860188E-7</v>
      </c>
      <c r="KW7" s="305">
        <f>IF(Scapolite="BB2",KU7/BB2_SP_ICl,KU7/BB1_ICl)</f>
        <v>5.4736953319917694</v>
      </c>
      <c r="KX7" s="305">
        <f>IF(Scapolite="BB2",KW7*SQRT((KV7/KU7)^2+(BB2_SP_IClerr/BB2_SP_ICl)^2),KW7*SQRT((KV7/KU7)^2+(BB1_IClerr/BB1_ICl)^2))</f>
        <v>0.17125170361627695</v>
      </c>
      <c r="KY7" s="313">
        <f>IF(Scapolite="BB2",(Xe128CC/Ar38CC)*(BB2_SP_Cl/BB2_SP_I),(Xe128CC/Ar38CC)*(BB1_Cl/BB1_I))</f>
        <v>84.361567955648766</v>
      </c>
      <c r="KZ7" s="313">
        <f>IF(Scapolite="BB2",Omega*SQRT((Xe128CCerr/Xe128CC)^2+(Ar38CCerr/Ar38CC)^2+(BB2_SP_Ierr/BB2_SP_I)^2+(BB2_SP_Clerr/BB2_SP_Cl)^2),Omega*SQRT((Xe128CCerr/Xe128CC)^2+(Ar38CCerr/Ar38CC)^2+(BB1_Ierr/BB1_I)^2+(BB1_Ierr/BB1_I)^2))</f>
        <v>4.9224197353248673</v>
      </c>
      <c r="LA7" s="303">
        <f>Omega*Cl38_Prod</f>
        <v>3.2082072788069709E-5</v>
      </c>
      <c r="LB7" s="303">
        <f>I127_Prod*SQRT((Omegaerr/Omega)^2+(Cl38_Proderr/Cl38_Prod)^2)</f>
        <v>1.9598311869580499E-6</v>
      </c>
      <c r="LC7" s="303"/>
      <c r="LD7" s="266" t="str">
        <f>Scapolite</f>
        <v>BB2</v>
      </c>
      <c r="LE7" s="266" t="str">
        <f>Irradiation</f>
        <v>MN19a</v>
      </c>
      <c r="LF7" s="315">
        <f>Tube</f>
        <v>4</v>
      </c>
      <c r="LG7" s="315">
        <f>K_ppm</f>
        <v>12831.431542294038</v>
      </c>
      <c r="LH7" s="315">
        <f>K_ppmerr</f>
        <v>256.62876707650213</v>
      </c>
      <c r="LI7" s="315">
        <f>Cl_ppm</f>
        <v>40302.459378556166</v>
      </c>
      <c r="LJ7" s="315">
        <f>Cl_ppmerr</f>
        <v>806.04956756656611</v>
      </c>
      <c r="LK7" s="315">
        <f>Ca_ppm</f>
        <v>15621.669507524666</v>
      </c>
      <c r="LL7" s="315">
        <f>Ca_ppmerr</f>
        <v>312.44382653585825</v>
      </c>
      <c r="LM7" s="315" t="e">
        <f>Br79_ppm</f>
        <v>#DIV/0!</v>
      </c>
      <c r="LN7" s="315" t="e">
        <f>Br79_ppmerr</f>
        <v>#DIV/0!</v>
      </c>
      <c r="LO7" s="315" t="e">
        <f>Br81_ppm</f>
        <v>#DIV/0!</v>
      </c>
      <c r="LP7" s="315" t="e">
        <f>Br81_ppmerr</f>
        <v>#DIV/0!</v>
      </c>
      <c r="LQ7" s="315" t="e">
        <f>I_ppb</f>
        <v>#DIV/0!</v>
      </c>
      <c r="LR7" s="315" t="e">
        <f>I_ppberr</f>
        <v>#DIV/0!</v>
      </c>
      <c r="LS7" s="308">
        <f>Br79_Factor</f>
        <v>3.4362675847067563</v>
      </c>
      <c r="LT7" s="308">
        <f>Br79_Factorerr</f>
        <v>0.28121453282070236</v>
      </c>
      <c r="LU7" s="316">
        <f>Pi</f>
        <v>73.108191333092307</v>
      </c>
      <c r="LV7" s="316">
        <f>Pi_err</f>
        <v>7.1641084894771581</v>
      </c>
      <c r="LW7" s="266">
        <f>Br79_Prod</f>
        <v>2.780249789792278E-5</v>
      </c>
      <c r="LX7" s="266">
        <f>Br79_Proderr</f>
        <v>2.7704752600612092E-6</v>
      </c>
      <c r="LY7" s="308">
        <f>Br81_Factor</f>
        <v>4.7783451597772455</v>
      </c>
      <c r="LZ7" s="308">
        <f>Br81_Factorerr</f>
        <v>0.39494069744534982</v>
      </c>
      <c r="MA7" s="307">
        <f>Pi_prime</f>
        <v>23.371365147471135</v>
      </c>
      <c r="MB7" s="307">
        <f>Pi_primeerr</f>
        <v>2.2894530791197374</v>
      </c>
      <c r="MC7" s="266">
        <f>Br81_Prod</f>
        <v>8.8879552145346131E-6</v>
      </c>
      <c r="MD7" s="266">
        <f>Br81_Proderr</f>
        <v>8.8537807248107713E-7</v>
      </c>
      <c r="ME7" s="308">
        <f>I_Factor</f>
        <v>5.4736953319917694</v>
      </c>
      <c r="MF7" s="308">
        <f>I_Factorerr</f>
        <v>0.17125170361627695</v>
      </c>
      <c r="MG7" s="315">
        <f>Omega</f>
        <v>84.361567955648766</v>
      </c>
      <c r="MH7" s="315">
        <f>Omegaerr</f>
        <v>4.9224197353248673</v>
      </c>
      <c r="MI7" s="266">
        <f>I127_Prod</f>
        <v>3.2082072788069709E-5</v>
      </c>
      <c r="MJ7" s="266">
        <f>I127_Proderr</f>
        <v>1.9598311869580499E-6</v>
      </c>
    </row>
    <row r="8" spans="1:348" s="271" customFormat="1" hidden="1">
      <c r="A8" s="271" t="s">
        <v>840</v>
      </c>
      <c r="B8" s="271" t="s">
        <v>49</v>
      </c>
      <c r="C8" s="271">
        <v>6.3000000000000003E-4</v>
      </c>
      <c r="D8" s="298">
        <f>C8*2%</f>
        <v>1.2600000000000001E-5</v>
      </c>
      <c r="E8" s="299">
        <v>44232</v>
      </c>
      <c r="F8" s="271" t="s">
        <v>210</v>
      </c>
      <c r="G8" s="271" t="s">
        <v>834</v>
      </c>
      <c r="H8" s="271">
        <v>4</v>
      </c>
      <c r="I8" s="271">
        <v>56</v>
      </c>
      <c r="J8" s="299">
        <v>43831</v>
      </c>
      <c r="K8" s="299" t="s">
        <v>322</v>
      </c>
      <c r="L8" s="271" t="s">
        <v>832</v>
      </c>
      <c r="M8" s="309"/>
      <c r="N8" s="271">
        <v>120</v>
      </c>
      <c r="O8" s="312">
        <v>15509.12804</v>
      </c>
      <c r="P8" s="312">
        <v>50.806381999999999</v>
      </c>
      <c r="Q8" s="312">
        <v>1495.3213040000001</v>
      </c>
      <c r="R8" s="312">
        <v>4.8976379999999997</v>
      </c>
      <c r="S8" s="312">
        <v>3077.9834129999999</v>
      </c>
      <c r="T8" s="312">
        <v>10.692303000000001</v>
      </c>
      <c r="U8" s="312">
        <v>1.6297889999999999</v>
      </c>
      <c r="V8" s="312">
        <v>2.6526999999999998E-2</v>
      </c>
      <c r="W8" s="312">
        <v>3.8400919999999998</v>
      </c>
      <c r="X8" s="312">
        <v>9.9506999999999998E-2</v>
      </c>
      <c r="Y8" s="300">
        <v>67.307451</v>
      </c>
      <c r="Z8" s="268">
        <v>0.16755200000000001</v>
      </c>
      <c r="AA8" s="300">
        <v>0.41285500000000003</v>
      </c>
      <c r="AB8" s="268">
        <v>4.1896999999999997E-2</v>
      </c>
      <c r="AC8" s="300">
        <v>8.0638000000000001E-2</v>
      </c>
      <c r="AD8" s="268">
        <v>2.7191E-2</v>
      </c>
      <c r="AE8" s="300">
        <v>0.126581</v>
      </c>
      <c r="AF8" s="268">
        <v>2.1512E-2</v>
      </c>
      <c r="AG8" s="300">
        <v>0.18970600000000001</v>
      </c>
      <c r="AH8" s="268">
        <v>4.6836000000000003E-2</v>
      </c>
      <c r="AI8" s="270">
        <f>Ar40Raw-Ar40Blank</f>
        <v>15441.820588999999</v>
      </c>
      <c r="AJ8" s="270">
        <f>SQRT(Ar40Blankerr^2+Ar40Rawerr^2)</f>
        <v>50.806658280215871</v>
      </c>
      <c r="AK8" s="270">
        <f>Ar39Raw-Ar39Blank</f>
        <v>1494.908449</v>
      </c>
      <c r="AL8" s="270">
        <f>SQRT(Ar39Blankerr^2+Ar39Rawerr^2)</f>
        <v>4.8978172013309154</v>
      </c>
      <c r="AM8" s="270">
        <f>Ar38Raw-Ar38Blank</f>
        <v>3077.902775</v>
      </c>
      <c r="AN8" s="270">
        <f>SQRT(Ar38Blankerr^2+Ar38Rawerr^2)</f>
        <v>10.692337573902632</v>
      </c>
      <c r="AO8" s="270">
        <f>Ar37Raw-Ar37Blank</f>
        <v>1.5032079999999999</v>
      </c>
      <c r="AP8" s="270">
        <f>SQRT(Ar37Blankerr^2+Ar37Rawerr^2)</f>
        <v>3.4153299591693914E-2</v>
      </c>
      <c r="AQ8" s="270">
        <f>Ar36Raw-Ar36Blank</f>
        <v>3.6503859999999997</v>
      </c>
      <c r="AR8" s="270">
        <f>SQRT(Ar36Blankerr^2+Ar36Rawerr^2)</f>
        <v>0.10997842490688799</v>
      </c>
      <c r="AS8" s="271">
        <v>303</v>
      </c>
      <c r="AT8" s="271">
        <v>0.5</v>
      </c>
      <c r="AU8" s="270">
        <f>Ar39BC*(1+(Ar4036_Aircal/Ar4036_Air-1)/4)</f>
        <v>1504.3939087017766</v>
      </c>
      <c r="AV8" s="270">
        <f>SQRT(Ar39BCerr^2+(Ar39BC*(Ar4036_Aircal/Ar4036_Air-1)/4)^2*((Ar4036_Aircalerr/Ar4036_Aircal)^2+(Ar39BCerr/Ar39BC)^2+(Ar4036_airerr/Ar4036_Air)^2))</f>
        <v>4.8979509157915206</v>
      </c>
      <c r="AW8" s="270">
        <f>Ar38BC*(1+2*(Ar4036_Aircal/Ar4036_Air-1)/4)</f>
        <v>3116.9624548857864</v>
      </c>
      <c r="AX8" s="270">
        <f>SQRT(Ar38BCerr^2+(Ar38BC*(Ar4036_Aircal/Ar4036_Air-1)/4)^2*((Ar4036_Aircalerr/Ar4036_Aircal)^2+(Ar38BCerr/Ar38BC)^2+(Ar4036_airerr/Ar4036_Air)^2))</f>
        <v>10.692621010881375</v>
      </c>
      <c r="AY8" s="270">
        <f>Ar37BC*(1+3*(Ar4036_Aircal/Ar4036_Air-1)/4)</f>
        <v>1.5318223654822334</v>
      </c>
      <c r="AZ8" s="270">
        <f>SQRT(Ar37BCerr^2+(Ar37BC*(Ar4036_Aircal/Ar4036_Air-1)/3)^2*((Ar4036_Aircalerr/Ar4036_Aircal)^2+(Ar37BCerr/Ar37BC)^2+(Ar4036_airerr/Ar4036_Air)^2))</f>
        <v>3.4154530894498859E-2</v>
      </c>
      <c r="BA8" s="270">
        <f>Ar36BC*(1+4*(Ar4036_Aircal/Ar4036_Air-1)/4)</f>
        <v>3.7430353908629437</v>
      </c>
      <c r="BB8" s="270">
        <f>SQRT(Ar36BCerr^2+(Ar36BC*(Ar4036_Aircal/Ar4036_Air-1)/4)^2*((Ar4036_Aircalerr/Ar4036_Aircal)^2+(Ar36BCerr/Ar36BC)^2+(Ar4036_airerr/Ar4036_Air)^2))</f>
        <v>0.10998064814655331</v>
      </c>
      <c r="BC8" s="268">
        <v>2279.2032462607435</v>
      </c>
      <c r="BD8" s="269">
        <v>1.0027995366556639</v>
      </c>
      <c r="BE8" s="270">
        <f>IF(Rad_Type="Continuous", Ar37_DC*EXP(lambda_37Ar*(Run_Date-Rad_Date)),Ar37_DC*Ar37_DecayFactor)</f>
        <v>3491.3345081019174</v>
      </c>
      <c r="BF8" s="270">
        <f>IF(Rad_Type="Continuous", (Ar37_DCerr*EXP(lambda_37Ar*(Run_Date-Rad_Date))), Ar37_DCerr*Ar37_DecayFactor)</f>
        <v>77.84511768925465</v>
      </c>
      <c r="BG8" s="270">
        <f>IF(Rad_Type="Continuous", Ar39_DC*EXP(lambda_39Ar*(Run_Date-Rad_Date)), Ar39_DC*Ar39_DecayFactor)</f>
        <v>1508.6055145937446</v>
      </c>
      <c r="BH8" s="270">
        <f>IF(Rad_Type="Continuous", (Ar39_DCerr*EXP(lambda_39Ar*(Run_Date-Rad_Date))), Ar39_DCerr*Ar39_DecayFactor)</f>
        <v>4.911662908917922</v>
      </c>
      <c r="BI8" s="302">
        <f>Ar40BC-(Salt_40Ar39Ar_K*Ar39_IC)</f>
        <v>15245.791808750229</v>
      </c>
      <c r="BJ8" s="270">
        <f>SQRT(Ar40BCerr^2+(Ar39_ICerr*Salt_40Ar39Ar_K)^2)</f>
        <v>50.810684594089238</v>
      </c>
      <c r="BK8" s="302">
        <f>Ar39_DecayCor-(Salt_39Ar37Ar_Ca*Ar37_DecayCor)</f>
        <v>1505.4148958376061</v>
      </c>
      <c r="BL8" s="270">
        <f>SQRT(Ar39_DecayCorerr^2+(Ar37_DecayCorerr*Salt_39Ar37Ar_Ca)^2)</f>
        <v>4.9121780762798899</v>
      </c>
      <c r="BM8" s="302">
        <f>Ar38_DC-(Salt_38Ar39Ar_K*Ar39_DecayCor)</f>
        <v>3093.666419446191</v>
      </c>
      <c r="BN8" s="270">
        <f>SQRT(Ar38_DCerr^2+(Ar39_DecayCorerr*Salt_38Ar39Ar_K)^2)</f>
        <v>10.692890009548899</v>
      </c>
      <c r="BO8" s="270">
        <f>Ar36_DC-(Salt_36Ar37Ar_Ca*Ar37_DecayCor)</f>
        <v>2.5251561517280479</v>
      </c>
      <c r="BP8" s="270">
        <f>SQRT(Ar36_DCerr^2+(Ar37_DecayCorerr*Salt_36Ar37Ar_Ca)^2)</f>
        <v>0.11328335167692677</v>
      </c>
      <c r="BQ8" s="310">
        <v>1.0000023837007155</v>
      </c>
      <c r="BR8" s="268">
        <f>IF(Rad_Type="Continuous", BO8-((EXP(lambda_36Ar*(Run_Date-Rad_Date))-1)*Cl3638_PR*BT8),BO8*Ar36_DecayFactor)</f>
        <v>2.5251621709445735</v>
      </c>
      <c r="BS8" s="268">
        <f>IF(K:K="Continuous", SQRT(BP8^2+(((EXP(lambda_36Ar*(Run_Date-Rad_Date))-1)*Cl3638_PR)*BU8^2)), Ar36_ICerr*Ar36_DecayFactor)</f>
        <v>0.11328362171053322</v>
      </c>
      <c r="BT8" s="302">
        <f>IF(Rad_Type="Continuous", BM8-(Ar3836_Air*BO8)/(1-lambda_36Ar*(Run_Date-Rad_Date)),Ar38_IC-(Ar3836_Air*Ar36_IC)/Ar36_DecayFactor)</f>
        <v>3093.191691221276</v>
      </c>
      <c r="BU8" s="268">
        <f>IF(Rad_Type ="Continuous", SQRT(BN8^2*(((EXP(lambda_36Ar*(Run_Date-Rad_Date))-1*0.188)*BP8^2))),SQRT(Ar38_ICerr^2*(((EXP(lambda_36Ar*(Ar36_DecayFactor))-1*0.188)*Ar36_ICerr^2))))</f>
        <v>1.0915388700265585</v>
      </c>
      <c r="BV8" s="302">
        <f>Ar40_IC-(Ar36_ClCor*Ar4036_Air)</f>
        <v>14499.606387236108</v>
      </c>
      <c r="BW8" s="302">
        <f>SQRT(Ar40_ICerr^2+(Ar36_ClCorerr*Ar4036_Air)^2)</f>
        <v>60.846709549009056</v>
      </c>
      <c r="BX8" s="303">
        <v>1.3539467276583303E-12</v>
      </c>
      <c r="BY8" s="303">
        <v>6.1488073529408856E-15</v>
      </c>
      <c r="BZ8" s="303">
        <f>Ar_Sensitivity*Ar36_ClCor</f>
        <v>3.4189350581570105E-12</v>
      </c>
      <c r="CA8" s="303">
        <f>Ar36CC*SQRT((Ar36_ClCorerr/Ar36_ClCor)^2+(Ar_sensitivityerr/Ar_Sensitivity)^2)</f>
        <v>1.5416387553824135E-13</v>
      </c>
      <c r="CB8" s="303">
        <f>Ar37_DecayCor*Ar_Sensitivity</f>
        <v>4.7270809324051976E-9</v>
      </c>
      <c r="CC8" s="311">
        <f>Ar37CC*SQRT((Ar37_DecayCorerr/Ar37_DecayCor)^2+(Ar_sensitivityerr/Ar_Sensitivity)^2)</f>
        <v>1.075621858645737E-10</v>
      </c>
      <c r="CD8" s="303">
        <f>Ar_Sensitivity*Ar38_Cl</f>
        <v>4.1880167683489831E-9</v>
      </c>
      <c r="CE8" s="303">
        <f>Ar38CC*SQRT((Ar38_Clerr/Ar38_Cl)^2+(Ar_sensitivityerr/Ar_Sensitivity)^2)</f>
        <v>1.9076772168616772E-11</v>
      </c>
      <c r="CF8" s="303">
        <f>Ar_Sensitivity*Ar39_IC</f>
        <v>2.0382515719874328E-9</v>
      </c>
      <c r="CG8" s="303">
        <f>Ar39CC*SQRT((Ar39_ICerr/Ar39_IC)^2+(Ar_sensitivityerr/Ar_Sensitivity)^2)</f>
        <v>1.1398088094293826E-11</v>
      </c>
      <c r="CH8" s="303">
        <f>Ar_Sensitivity*BV8</f>
        <v>1.9631694620332154E-8</v>
      </c>
      <c r="CI8" s="303">
        <f>Ar40CC*SQRT((BW8/BV8)^2+(Ar_sensitivityerr/Ar_Sensitivity)^2)</f>
        <v>1.2139051557093035E-10</v>
      </c>
      <c r="CJ8" s="303">
        <f>Ar38CC/MV</f>
        <v>1.8684857091972331E-13</v>
      </c>
      <c r="CK8" s="303">
        <f>Ar38_mole*SQRT((Ar38CCerr/Ar38CC)^2+(MVerr/MV)^2)</f>
        <v>8.5111112097272982E-16</v>
      </c>
      <c r="CL8" s="303">
        <f>Ar40CC/MV</f>
        <v>8.7586900612806226E-13</v>
      </c>
      <c r="CM8" s="303">
        <f>Ar40_mole*SQRT((Ar40CCerrr/Ar40CC)^2+(MVerr/MV)^2)</f>
        <v>5.4158437542162968E-15</v>
      </c>
      <c r="CN8" s="298">
        <f>[7]Hb3Gr!CY10</f>
        <v>3.375159538894975E-2</v>
      </c>
      <c r="CO8" s="298">
        <f>[7]Hb3Gr!CZ10</f>
        <v>1.5451844425933516E-4</v>
      </c>
      <c r="CP8" s="303">
        <f>[7]Hb3Gr!DA10</f>
        <v>3.2991058936537144E+18</v>
      </c>
      <c r="CQ8" s="303">
        <f>[7]Hb3Gr!DB10</f>
        <v>7.6891636724989296E+16</v>
      </c>
      <c r="CR8" s="303">
        <f>[7]Hb3Gr!DC10</f>
        <v>6.2996205309471345E+18</v>
      </c>
      <c r="CS8" s="303">
        <f>[7]Hb3Gr!DD10</f>
        <v>6.6547763374471656E+16</v>
      </c>
      <c r="CT8" s="268">
        <f>[7]Hb3Gr!DE10</f>
        <v>0.54237067956270024</v>
      </c>
      <c r="CU8" s="268">
        <f>[7]Hb3Gr!DF10</f>
        <v>7.9831469058481257E-3</v>
      </c>
      <c r="CV8" s="268">
        <f>[7]Hb3Gr!DG10</f>
        <v>0.92858712665260035</v>
      </c>
      <c r="CW8" s="268">
        <f>[7]Hb3Gr!DH10</f>
        <v>1.3853885755983909E-2</v>
      </c>
      <c r="CX8" s="303">
        <f>J*(lambda_e/lambda)*K40_Abun</f>
        <v>4.0953886111905281E-7</v>
      </c>
      <c r="CY8" s="303">
        <f>K39_Prod*SQRT((Jerr/J)^2+(lambda_eerr/lambda_e)^2+(lambda_err/lambda)^2+(K40_Abunerr/K40_Abun)^2)</f>
        <v>4.1874940631638797E-9</v>
      </c>
      <c r="CZ8" s="303">
        <f>K39_Prod*Beta</f>
        <v>3.8029251429911961E-7</v>
      </c>
      <c r="DA8" s="303">
        <f>Cl38_Prod*SQRT((K39_Proderr/K39_Prod)^2+(Betaerr/Beta)^2)</f>
        <v>6.8782985673651652E-9</v>
      </c>
      <c r="DB8" s="303">
        <f>K39_Prod*alpha</f>
        <v>2.2212187041247499E-7</v>
      </c>
      <c r="DC8" s="303">
        <f>Ca37_Prod*SQRT((K39_Prod/K39_Proderr)^2+(alphaerr/alpha)^2)</f>
        <v>2.1723622170307995E-5</v>
      </c>
      <c r="DD8" s="303">
        <f>K_constant*Ar39CC/J</f>
        <v>2.2204655337394728E-7</v>
      </c>
      <c r="DE8" s="303">
        <f>K_mole*SQRT((Ar39ccerr/Ar39CC)^2+(Jerr/J)^2+(K_Constanterr/K_constant)^2)</f>
        <v>2.5877720009852923E-9</v>
      </c>
      <c r="DF8" s="302">
        <f>K_mole*MW_K/Sample_Mass*10^6</f>
        <v>13780.38532981048</v>
      </c>
      <c r="DG8" s="302">
        <f>K_ppm*SQRT((Sample_Masserr/Sample_Mass)^2+(MW_Kerr/MW_K)^2)+(K_moleerr/K_mole)^2</f>
        <v>275.60784243881494</v>
      </c>
      <c r="DH8" s="301">
        <f>K_ppm/10^4</f>
        <v>1.3780385329810481</v>
      </c>
      <c r="DI8" s="269">
        <f>K_ppmerr/10^4</f>
        <v>2.7560784243881493E-2</v>
      </c>
      <c r="DJ8" s="303">
        <f>Cl_Constant*Ar38CC/(J*Beta)</f>
        <v>5.418472676340178E-7</v>
      </c>
      <c r="DK8" s="303">
        <f>Cl_mole*SQRT((Ar38CCerr/Ar38CC)^2+(Jerr/J)^2+(Betaerr/Beta)^2+(Cl_Constanterr/Cl_Constant)^2)</f>
        <v>1.01063367666862E-8</v>
      </c>
      <c r="DL8" s="302">
        <f>Cl_mole*MW_Cl/Sample_Mass*10^6</f>
        <v>30492.239967347352</v>
      </c>
      <c r="DM8" s="302">
        <f>Cl_ppm*SQRT((Sample_Masserr/Sample_Mass)^2+(MW_Clerr/MW_Cl)^2)+(Cl_moleerr/Cl_mole)^2</f>
        <v>609.84517148997088</v>
      </c>
      <c r="DN8" s="301">
        <f>Cl_ppm/10^4</f>
        <v>3.0492239967347352</v>
      </c>
      <c r="DO8" s="269">
        <f>Cl_ppmerr/10^4</f>
        <v>6.0984517148997087E-2</v>
      </c>
      <c r="DP8" s="303">
        <f>Ca_Constant*Ar37CC/(J*alpha)</f>
        <v>9.2621806345460555E-7</v>
      </c>
      <c r="DQ8" s="303">
        <f>Ca_mole*SQRT((Ar37CCerr/Ar37CC)^2+(Jerr/J)^2+(alphaerr/alpha)^2+(Ca_Constanterr/Ca_Constant)^2)</f>
        <v>2.6827929577837943E-8</v>
      </c>
      <c r="DR8" s="302">
        <f>Ca_mole*MW_Ca/Sample_Mass*10^6</f>
        <v>58925.111084540615</v>
      </c>
      <c r="DS8" s="302">
        <f>Ca_ppm*SQRT((Sample_Masserr/Sample_Mass)^2+(MW_Caerr/MW_Ca)^2)+(Ca_moleerr/Ca_mole)^2</f>
        <v>1178.5177331011275</v>
      </c>
      <c r="DT8" s="268">
        <f>Ca_ppm/10^4</f>
        <v>5.8925111084540616</v>
      </c>
      <c r="DU8" s="268">
        <f>Ca_ppmerr/10^4</f>
        <v>0.11785177331011275</v>
      </c>
      <c r="DV8" s="268">
        <f>K_mole/Cl_mole</f>
        <v>0.40979546569186565</v>
      </c>
      <c r="DW8" s="268">
        <f>KCl_mol*SQRT(K_moleerr/K_mole)^2+(Cl_moleerr/Cl_mole)^2</f>
        <v>5.1237163282282184E-3</v>
      </c>
      <c r="DX8" s="268">
        <f>K_mole/Ca_mole</f>
        <v>0.23973463931998765</v>
      </c>
      <c r="DY8" s="268">
        <f>KCa_mol*SQRT(K_moleerr/K_mole)^2+(Ca_moleerr/Ca_mole)^2</f>
        <v>3.6328849445736479E-3</v>
      </c>
      <c r="DZ8" s="268">
        <f>K_ppm/Cl_ppm</f>
        <v>0.4519308960105004</v>
      </c>
      <c r="EA8" s="268">
        <f>KCl_wt*SQRT(K_ppmerr/K_ppm)^2+(Cl_ppmerr/Cl_ppm)^2</f>
        <v>9.4386228633801719E-3</v>
      </c>
      <c r="EB8" s="268">
        <f>K_ppm/Ca_ppm</f>
        <v>0.23386269582147387</v>
      </c>
      <c r="EC8" s="268">
        <f>KCa_wt*SQRT(K_ppmerr/K_ppm)^2+(Ca_ppmerr/Ca_ppm)^2</f>
        <v>5.0772667514176048E-3</v>
      </c>
      <c r="ED8" s="303">
        <f>Ar40_mole/Cl_mole</f>
        <v>1.6164499822109543E-6</v>
      </c>
      <c r="EE8" s="303">
        <f>Ar40Cl_mol*SQRT((Ar40_moleerr/Ar40_mole)^2+(Cl_moleerr/Cl_mole)^2)</f>
        <v>3.1763049250035732E-8</v>
      </c>
      <c r="EF8" s="268">
        <f>Ar40_IC/Ar39_IC</f>
        <v>10.127302347614634</v>
      </c>
      <c r="EG8" s="268">
        <f>Ar40Ar39*SQRT((CG8/CF8)^2+(CI8/CH8)^2)</f>
        <v>8.4431490483716273E-2</v>
      </c>
      <c r="EH8" s="303">
        <f>(CH8/MV)/K_mole</f>
        <v>3.944528716250851E-6</v>
      </c>
      <c r="EI8" s="303">
        <f>Ar40K*SQRT((CI8/CH8)^2+(K_moleerr/K_mole)^2+(MVerr/MV)^2)</f>
        <v>5.2040046214874964E-8</v>
      </c>
      <c r="EJ8" s="302">
        <f>(1/lambda/10^6)*LN(1+(J*Ar40Ar39))</f>
        <v>529.84465298461726</v>
      </c>
      <c r="EK8" s="268">
        <f>SQRT((J^2*Ar40Ar39^2*((Ar40Ar39err/Ar40Ar39*100)^2))/(Age^2*0.00055305^2*((1+Ar40Ar39*J)^2)))*Age/100</f>
        <v>3.8400996654720831</v>
      </c>
      <c r="EL8" s="268">
        <f>SQRT((J^2*Ar40Ar39^2*((Ar40Ar39err/Ar40Ar39*100)^2+(Jerr/J*100)^2))/(Age^2*0.00055305^2*((1+Ar40Ar39*J)^2)))*Age/100</f>
        <v>4.3809865734750799</v>
      </c>
      <c r="EM8" s="312">
        <v>3447.4648499999998</v>
      </c>
      <c r="EN8" s="312">
        <v>24.185368</v>
      </c>
      <c r="EO8" s="312">
        <v>1280.138197</v>
      </c>
      <c r="EP8" s="312">
        <v>8.8056420000000006</v>
      </c>
      <c r="EQ8" s="270">
        <v>6.5534999999999996E-2</v>
      </c>
      <c r="ER8" s="270">
        <v>4.5791999999999999E-2</v>
      </c>
      <c r="ES8" s="300"/>
      <c r="ET8" s="300"/>
      <c r="EU8" s="268">
        <v>-0.21437500000000001</v>
      </c>
      <c r="EV8" s="268">
        <v>6.2983999999999998E-2</v>
      </c>
      <c r="EW8" s="268">
        <v>7.0879999999999997E-3</v>
      </c>
      <c r="EX8" s="268">
        <v>4.0000000000000002E-4</v>
      </c>
      <c r="EY8" s="268">
        <v>-7.2563000000000002E-2</v>
      </c>
      <c r="EZ8" s="268">
        <v>2.8532999999999999E-2</v>
      </c>
      <c r="FA8" s="298"/>
      <c r="FB8" s="298"/>
      <c r="FC8" s="268">
        <f>Kr80Raw-Kr80Blank</f>
        <v>3447.6792249999999</v>
      </c>
      <c r="FD8" s="268">
        <f>SQRT(Kr80Rawerr^2+Kr80Blankerr^2)</f>
        <v>24.185450011932382</v>
      </c>
      <c r="FE8" s="268">
        <f>Kr82Raw-Kr82Blank</f>
        <v>1280.1311089999999</v>
      </c>
      <c r="FF8" s="268">
        <f>SQRT(Kr82Rawerr^2+Kr82Blankerr^2)</f>
        <v>8.8056420090850853</v>
      </c>
      <c r="FG8" s="268">
        <f>Kr84Raw-Kr84Blank</f>
        <v>0.138098</v>
      </c>
      <c r="FH8" s="268">
        <f>SQRT(Kr84Rawerr^2+Kr84Blankerr^2)</f>
        <v>5.3954048532061059E-2</v>
      </c>
      <c r="FI8" s="268">
        <f>Kr86Raw-Kr86Blank</f>
        <v>0</v>
      </c>
      <c r="FJ8" s="268">
        <f>SQRT(Kr86Rawerr^2+Kr86Blankerr^2)</f>
        <v>0</v>
      </c>
      <c r="FK8" s="268">
        <f>Kr84BC-((Y86Kr*Kr8684_nf)/(Y134Xe*Xe134136_nf)*Xe134AC)</f>
        <v>0.137331911706573</v>
      </c>
      <c r="FL8" s="268">
        <f>Kr84U*SQRT((Kr84BCerr/Kr84BC)^2+(Y86Kr_err/Y86Kr)^2+(Kr8684_nferr/Kr8684_nf)^2+(Y134Xeerr/Y134Xe)^2+(Xe134136_nferr/Xe134136_nf)^2+(Xe134ACerr/Xe134AC)^2)</f>
        <v>5.9869968167593331E-2</v>
      </c>
      <c r="FM8" s="302">
        <f>Kr80BC-(Kr84U*Kr8084_Air)</f>
        <v>3447.6737866562962</v>
      </c>
      <c r="FN8" s="302">
        <f>SQRT(Kr80BCerr^2+(Kr84Uerr*Kr8084_Air)^2)</f>
        <v>24.185450128137234</v>
      </c>
      <c r="FO8" s="302">
        <f>Kr82BC-(Kr84U*Kr8284_Air)</f>
        <v>1280.1033404874529</v>
      </c>
      <c r="FP8" s="302">
        <f>SQRT(Kr82BCerr^2+(Kr84Uerr*Kr8284_Air)^2)</f>
        <v>8.8056503303458307</v>
      </c>
      <c r="FQ8" s="268">
        <f>Kr86BC-(Kr84U*Kr8684_Air)</f>
        <v>-4.1913699452846079E-2</v>
      </c>
      <c r="FR8" s="268">
        <f>SQRT(Kr86BCerr^2+(Kr84Uerr*Kr8684_Air)^2)</f>
        <v>1.8272314284749486E-2</v>
      </c>
      <c r="FS8" s="303">
        <v>1.3380462282714104E-12</v>
      </c>
      <c r="FT8" s="303">
        <v>6.763342243574739E-14</v>
      </c>
      <c r="FU8" s="268">
        <v>1.1499999999999999</v>
      </c>
      <c r="FV8" s="268">
        <v>5.0000000000000001E-3</v>
      </c>
      <c r="FW8" s="303">
        <f>(Kr80AC*Kr_sensitivity)/YKr</f>
        <v>4.0114320926484082E-9</v>
      </c>
      <c r="FX8" s="303">
        <f>Kr80cc*SQRT((Kr_sensitivityerr/Kr_sensitivity)^2+(YKrerr/YKr)^2+(Kr80ACerr/Kr80AC)^2)</f>
        <v>2.054484871648796E-10</v>
      </c>
      <c r="FY8" s="303">
        <f>(Kr82AC*Kr_sensitivity)/YKr</f>
        <v>1.4894238665537996E-9</v>
      </c>
      <c r="FZ8" s="303">
        <f>Kr82cc*SQRT((Kr_sensitivityerr/Kr_sensitivity)^2+(YKrerr/YKr)^2+(Kr82ACerr/Kr82AC)^2)</f>
        <v>7.6254444326389083E-11</v>
      </c>
      <c r="GA8" s="303">
        <f>(Kr84U*Kr_sensitivity)/YKr</f>
        <v>1.5978821433068032E-13</v>
      </c>
      <c r="GB8" s="303">
        <f>Kr84cc*SQRT((Kr_sensitivityerr/Kr_sensitivity)^2+(YKrerr/YKr)^2+(Kr84Uerr/Kr84U)^2)</f>
        <v>7.0129919513249195E-14</v>
      </c>
      <c r="GC8" s="303">
        <f>(Kr86AC*Kr_sensitivity)/YKr</f>
        <v>-4.8767363013723635E-14</v>
      </c>
      <c r="GD8" s="303">
        <f>Kr86cc*SQRT((Kr_sensitivityerr/Kr_sensitivity)^2+(YKrerr/YKr)^2+(Kr86ACerr/Kr86AC)^2)</f>
        <v>-2.1403651435443657E-14</v>
      </c>
      <c r="GE8" s="303">
        <f>Kr80cc/MV</f>
        <v>1.7897023706243494E-13</v>
      </c>
      <c r="GF8" s="303">
        <f>Kr80_mole*SQRT((MVerr/MV)^2+(Kr80ccerr/Kr80cc)^2)</f>
        <v>9.166094204052525E-15</v>
      </c>
      <c r="GG8" s="303">
        <f>Kr82cc/MV</f>
        <v>6.6450717929913489E-14</v>
      </c>
      <c r="GH8" s="303">
        <f>Kr82_mole*SQRT((MVerr/MV)^2+(Kr82ccerr/Kr82cc)^2)</f>
        <v>3.4020957263727964E-15</v>
      </c>
      <c r="GI8" s="303">
        <f>Kr84cc/MV</f>
        <v>7.1289589199214456E-18</v>
      </c>
      <c r="GJ8" s="303">
        <f>Kr84_mole*SQRT((MVerr/MV)^2+(Kr84ccerr/Kr84cc)^2)</f>
        <v>3.1288497550460037E-18</v>
      </c>
      <c r="GK8" s="268">
        <f>Kr80_mole/Kr82_mole</f>
        <v>2.6932777047073801</v>
      </c>
      <c r="GL8" s="268">
        <f>Kr8082_mole*SQRT(Kr80_moleerr/Kr80_mole)^2+(Kr82_moleerr/Kr82_mole)^2</f>
        <v>0.14055938788753808</v>
      </c>
      <c r="GM8" s="303">
        <f>(Kr80_mole/Ar38_mole)*Br79_Constant</f>
        <v>4.4761802634156814E-2</v>
      </c>
      <c r="GN8" s="303">
        <f>Br79_Cl_meas*SQRT((Kr80_moleerr/Kr80_mole)^2+(Ar38CCerr/Ar38CC)^2+(MVerr/MV)^2+(Br79_Constanterr/Br79_Constant)^2)</f>
        <v>2.4004263560465943E-3</v>
      </c>
      <c r="GO8" s="305">
        <f>IF(Scapolite="BB2",Br79_Cl_meas/BB2_SP_BrCl,Br79_Cl_meas/BB1_BrCl)</f>
        <v>3.2436088865331025</v>
      </c>
      <c r="GP8" s="305">
        <f>IF(Scapolite="BB2",Br79_Factor*SQRT((Br79_Cl_measerr/Br79_Cl_meas)^2+(BB2_SP_BrClerr/BB2_SP_BrCl)^2),Br79_Factor*SQRT((Br79_Cl_measerr/Br79_Cl_meas)^2+(BB1_BrClerr/BB1_BrCl)^2))</f>
        <v>0.2561518437724305</v>
      </c>
      <c r="GQ8" s="313">
        <f>IF(Scapolite="BB2",(Kr80cc/Ar38CC)*(BB2_SP_Cl/BB2_SP_Br),(Kr80cc/Ar38CC)*(BB1_Cl/BB1_Br))</f>
        <v>68.607768466270741</v>
      </c>
      <c r="GR8" s="313">
        <f>IF(Scapolite="BB2",Pi*SQRT((Kr80ccerr/Kr80cc)^2+(Ar38CCerr/Ar38CC)^2+(BB2_SP_Brerr/BB2_SP_Br)^2+(BB2_SP_Clerr/BB2_SP_Cl)^2),Pi*SQRT((Kr80ccerr/Kr80cc)^2+(Ar38CCerr/Ar38CC)^2+(BB1_Brerr/BB1_Br)^2+(BB1_Clerr/BB1_Cl)^2))</f>
        <v>6.6137302018769208</v>
      </c>
      <c r="GS8" s="303">
        <f>Pi*Cl38_Prod</f>
        <v>2.6091020770489954E-5</v>
      </c>
      <c r="GT8" s="303">
        <f>GS8*SQRT((Pi_err/Pi)^2+(Cl38_Proderr/Cl38_Prod)^2)</f>
        <v>2.5590396798702624E-6</v>
      </c>
      <c r="GU8" s="303">
        <f>(Kr82_mole/Ar38_mole)*Br81_Constant</f>
        <v>7.2293447080439416E-2</v>
      </c>
      <c r="GV8" s="303">
        <f>GU8*SQRT((Kr82_moleerr/Kr82_mole)^2+(Ar38_moleerr/Ar38_mole)^2+(Br81_Constanterr/Br81_Constant)^2)</f>
        <v>3.9692638306028849E-3</v>
      </c>
      <c r="GW8" s="305">
        <f>IF(Scapolite="BB2",GU8/BB2_SP_BrCl,GU8/BB1_BrCl)</f>
        <v>5.2386555855390879</v>
      </c>
      <c r="GX8" s="305">
        <f>IF(Scapolite="BB2",GW8*SQRT((GV8/GU8)^2+(BB2_SP_BrClerr/BB2_SP_BrCl)^2),GW8*SQRT((GV8/GU8)^2+(BB1_BrClerr/BB1_BrCl)^2))</f>
        <v>0.41827919386620488</v>
      </c>
      <c r="GY8" s="313">
        <f>IF(Scapolite="BB2",(Kr82cc/Ar38CC)*(BB2_SP_Cl/BB2_SP_Br),(Kr82cc/Ar38CC)*(BB1_Cl/BB1_Br))</f>
        <v>25.473707500105288</v>
      </c>
      <c r="GZ8" s="313">
        <f>IF(Scapolite="BB2",Pi_prime*SQRT((Kr82ccerr/Kr82cc)^2+(Ar38CCerr/Ar38CC)^2+(BB2_SP_Brerr/BB2_SP_Br)^2+(BB2_SP_Clerr/BB2_SP_Cl)^2),Pi_prime*SQRT((Kr82ccerr/Kr82cc)^2+(Ar38CCerr/Ar38CC)^2+(BB1_Brerr/BB1_Br)^2+(BB1_Clerr/BB1_Cl)^2))</f>
        <v>2.4553936734405504</v>
      </c>
      <c r="HA8" s="303">
        <f>Pi_prime*Cl38_Prod</f>
        <v>9.6874602737353807E-6</v>
      </c>
      <c r="HB8" s="303">
        <f>Br81_Prod*SQRT((Pi_primeerr/Pi_prime)^2+(Cl38_Proderr/Cl38_Prod)^2)</f>
        <v>9.5006469873213808E-7</v>
      </c>
      <c r="HC8" s="268"/>
      <c r="HD8" s="268"/>
      <c r="HE8" s="302" t="e">
        <f>(Kr80_mole/Br79_FactorSW)/(Y_79Br*Br79_Abun*(Therm_CS_79Br*Therm_Flux))*(MW_Br/Sample_Mass*10^6)</f>
        <v>#DIV/0!</v>
      </c>
      <c r="HF8" s="302" t="e">
        <f>HE8*SQRT((Kr80_moleerr/Kr80_mole)^2+(Sample_Masserr/Sample_Mass)^2+(Br79Factor_SWerr/Br79_FactorSW)^2+(Therm_CS_79Brerr/Therm_CS_79Br)^2+(Br79_Abunerr/Br79_Abun)^2+(Therm_Fluxerr/Therm_Flux)^2)</f>
        <v>#DIV/0!</v>
      </c>
      <c r="HG8" s="268"/>
      <c r="HH8" s="268"/>
      <c r="HI8" s="302" t="e">
        <f>(Kr82_mole/Br81_FactorSW)/(Y_81Br*Br81_Abun*(Therm_CS_81Br*Therm_Flux))*(MW_Br/Sample_Mass*10^6)</f>
        <v>#DIV/0!</v>
      </c>
      <c r="HJ8" s="302" t="e">
        <f>HI8*SQRT((Kr82_moleerr/Kr82_mole)^2+(Sample_Masserr/Sample_Mass)^2+(Br81_FactorSWerr/Br81_FactorSW)^2+(Therm_CS_81Brerr/Therm_CS_81Br)^2+(Br81_Abunerr/Br81_Abun)^2+(Therm_Fluxerr/Therm_Flux)^2)</f>
        <v>#DIV/0!</v>
      </c>
      <c r="HK8" s="269">
        <v>6.6927750000000001</v>
      </c>
      <c r="HL8" s="269">
        <v>0.26954099999999998</v>
      </c>
      <c r="HM8" s="269">
        <v>7.0870000000000004E-3</v>
      </c>
      <c r="HN8" s="269">
        <v>9.1500000000000001E-4</v>
      </c>
      <c r="HO8" s="269">
        <v>1.866E-3</v>
      </c>
      <c r="HP8" s="269">
        <v>2.8499999999999999E-4</v>
      </c>
      <c r="HQ8" s="269">
        <v>1.2230019999999999</v>
      </c>
      <c r="HR8" s="269">
        <v>1.7798000000000001E-2</v>
      </c>
      <c r="HS8" s="269">
        <v>8.7410000000000005E-3</v>
      </c>
      <c r="HT8" s="269">
        <v>9.2800000000000001E-4</v>
      </c>
      <c r="HU8" s="269">
        <v>7.7499999999999999E-3</v>
      </c>
      <c r="HV8" s="269">
        <v>4.6900000000000002E-4</v>
      </c>
      <c r="HW8" s="269">
        <v>5.8970000000000003E-3</v>
      </c>
      <c r="HX8" s="269">
        <v>4.0200000000000001E-4</v>
      </c>
      <c r="HY8" s="314">
        <v>3.722E-3</v>
      </c>
      <c r="HZ8" s="269">
        <v>1.8699999999999999E-4</v>
      </c>
      <c r="IA8" s="314">
        <v>2.7859999999999998E-3</v>
      </c>
      <c r="IB8" s="269">
        <v>2.0100000000000001E-4</v>
      </c>
      <c r="IC8" s="314">
        <v>1.8500000000000001E-3</v>
      </c>
      <c r="ID8" s="269">
        <v>2.1800000000000001E-4</v>
      </c>
      <c r="IE8" s="314">
        <v>2.885E-3</v>
      </c>
      <c r="IF8" s="269">
        <v>2.3499999999999999E-4</v>
      </c>
      <c r="IG8" s="314">
        <v>2.4169999999999999E-3</v>
      </c>
      <c r="IH8" s="269">
        <v>2.5300000000000002E-4</v>
      </c>
      <c r="II8" s="314">
        <v>1.6540000000000001E-3</v>
      </c>
      <c r="IJ8" s="269">
        <v>1.11E-4</v>
      </c>
      <c r="IK8" s="314">
        <v>1.7489999999999999E-3</v>
      </c>
      <c r="IL8" s="269">
        <v>2.05E-4</v>
      </c>
      <c r="IM8" s="269">
        <f>Xe128Raw-Xe128Blank</f>
        <v>6.6890530000000004</v>
      </c>
      <c r="IN8" s="269">
        <f>SQRT(Xe128Rawerr^2+Xe128Blankerr^2)</f>
        <v>0.26954106486767465</v>
      </c>
      <c r="IO8" s="269">
        <f>Xe129Raw-Xe129Blank</f>
        <v>4.301000000000001E-3</v>
      </c>
      <c r="IP8" s="269">
        <f>SQRT(Xe129Rawerr^2+Xe129Blankerr^2)</f>
        <v>9.3681695117029133E-4</v>
      </c>
      <c r="IQ8" s="269">
        <f>Xe130Raw-Xe130Blank</f>
        <v>1.5999999999999955E-5</v>
      </c>
      <c r="IR8" s="269">
        <f>SQRT(Xe130Rawerr^2+Xe130Blankerr^2)</f>
        <v>3.5881610889144873E-4</v>
      </c>
      <c r="IS8" s="269">
        <f>Xe131Raw-Xe131Blank</f>
        <v>1.2201169999999999</v>
      </c>
      <c r="IT8" s="269">
        <f>SQRT(Xe131Rawerr^2+Xe131Blankerr^2)</f>
        <v>1.7799551370750896E-2</v>
      </c>
      <c r="IU8" s="269">
        <f>Xe132Raw-Xe132Blank</f>
        <v>6.3240000000000006E-3</v>
      </c>
      <c r="IV8" s="269">
        <f>SQRT(Xe132Rawerr^2+Xe132Blankerr^2)</f>
        <v>9.6186953377264215E-4</v>
      </c>
      <c r="IW8" s="269">
        <f>Xe134Raw-Xe134Blank</f>
        <v>6.0959999999999999E-3</v>
      </c>
      <c r="IX8" s="269">
        <f>SQRT(Xe134Rawerr^2+Xe134Blankerr^2)</f>
        <v>4.8195642956599304E-4</v>
      </c>
      <c r="IY8" s="269">
        <f>Xe136Raw-Xe136Blank</f>
        <v>4.1480000000000006E-3</v>
      </c>
      <c r="IZ8" s="269">
        <f>SQRT(Xe136Rawerr^2+Xe136Blankerr^2)</f>
        <v>4.5125270082294245E-4</v>
      </c>
      <c r="JA8" s="269">
        <f>Xe128BC-(Xe130BC*Xe128130_Air)</f>
        <v>6.6890454544253606</v>
      </c>
      <c r="JB8" s="269">
        <f>SQRT(Xe128BCerr^2+(Xe130BCerr*Xe128130_Air)^2)</f>
        <v>0.26954111798467728</v>
      </c>
      <c r="JC8" s="269">
        <f>Xe129BC-(Xe130BC*Xe129130_Air)</f>
        <v>4.1971162483520012E-3</v>
      </c>
      <c r="JD8" s="269">
        <f>SQRT(Xe129BCerr^2+(Xe130BCerr*Xe129130_Air)^2)</f>
        <v>2.5109992977661358E-3</v>
      </c>
      <c r="JE8" s="269">
        <f>Xe131BC-(Xe130BC*Xe131130_Air)</f>
        <v>1.2200336182298559</v>
      </c>
      <c r="JF8" s="269">
        <f>SQRT(Xe131BCerr^2+(Xe130BCerr*Xe131130_Air)^2)</f>
        <v>1.789750346689831E-2</v>
      </c>
      <c r="JG8" s="269">
        <f>Xe132BC-(Xe130BC*Xe132130_Air)</f>
        <v>6.218319682960001E-3</v>
      </c>
      <c r="JH8" s="269">
        <f>SQRT(Xe132BCerr^2+(Xe130BCerr*Xe132130_Air)^2)</f>
        <v>2.5577399777182413E-3</v>
      </c>
      <c r="JI8" s="269">
        <f>Xe134BC-(Xe130BC*Xe134130_Air)</f>
        <v>6.0548163804479997E-3</v>
      </c>
      <c r="JJ8" s="269">
        <f>SQRT(Xe134BCerr^2+(Xe130BCerr*Xe134130_Air)^2)</f>
        <v>1.0417723597513581E-3</v>
      </c>
      <c r="JK8" s="269">
        <f>Xe136BC-(Xe130BC*Xe136130_Air)</f>
        <v>4.1131889035680011E-3</v>
      </c>
      <c r="JL8" s="269">
        <f>SQRT(Xe136BCerr^2+(Xe130BCerr*Xe136130_Air)^2)</f>
        <v>9.0170988433045923E-4</v>
      </c>
      <c r="JM8" s="303">
        <v>1.0646974269079652E-12</v>
      </c>
      <c r="JN8" s="303">
        <v>1.7365359098361633E-14</v>
      </c>
      <c r="JO8" s="301">
        <v>1</v>
      </c>
      <c r="JP8" s="301">
        <v>0</v>
      </c>
      <c r="JQ8" s="303">
        <f>(Xe128AC*Xe_Sensitivity)/YXe</f>
        <v>7.1218094837971026E-12</v>
      </c>
      <c r="JR8" s="303">
        <f>Xe128CC*SQRT((Xe_Sensitivityerr/Xe_Sensitivity)^2+(YXeerr/YXe)^2+(Xe128ACerr/Xe128AC)^2)</f>
        <v>3.0959646951854035E-13</v>
      </c>
      <c r="JS8" s="303">
        <f>Xe128CC/MV</f>
        <v>3.1773987498493585E-16</v>
      </c>
      <c r="JT8" s="303">
        <f>Xe128mole*SQRT((Xe128CCerr/Xe128CC)^2+(MVerr/MV)^2)</f>
        <v>1.3812661480647447E-17</v>
      </c>
      <c r="JU8" s="268"/>
      <c r="JV8" s="268"/>
      <c r="JW8" s="303" t="e">
        <f>(Xe128mole/IFactor_SW)/((Therm_CS_127I*Therm_Flux)*I127_Abun*Y_127I)</f>
        <v>#DIV/0!</v>
      </c>
      <c r="JX8" s="303" t="e">
        <f>I_mole*SQRT((Xe128CCerr/Xe128CC)^2+(IFactor_SWerr/IFactor_SW)^2+(Therm_CS_127Ierr/Therm_CS_127I)^2+(Therm_Fluxerr/Therm_Flux)^2)</f>
        <v>#DIV/0!</v>
      </c>
      <c r="JY8" s="302" t="e">
        <f>I_mole*MW_I/Sample_Mass*10^9</f>
        <v>#DIV/0!</v>
      </c>
      <c r="JZ8" s="302" t="e">
        <f>JY8*SQRT(I_moleerr/I_mole)^2+(MVerr/MV)^2+(Sample_Masserr/Sample_Mass)</f>
        <v>#DIV/0!</v>
      </c>
      <c r="KA8" s="268">
        <f>Xe131AC-Xe131136_nf/Xe134136_nf*Xe134AC</f>
        <v>1.2178323085827107</v>
      </c>
      <c r="KB8" s="268">
        <f>SQRT(Xe131ACerr^2+(Xe131136_nf/Xe134136_nf*Xe134AC)^2*((Xe131136_nferr/Xe131136_nf)^2+(Xe134136_nferr/Xe134136_nf)^2+(Xe134ACerr/Xe134AC)^2))</f>
        <v>1.7901735055312052E-2</v>
      </c>
      <c r="KC8" s="303">
        <f>(Xe131Ba*Xe_Sensitivity)/YXe</f>
        <v>1.2966229253533992E-12</v>
      </c>
      <c r="KD8" s="303">
        <f>Xe131Bacc*SQRT((Xe_Sensitivityerr/Xe_Sensitivity)^2+(YXeerr/YXe)^2+(Xe131Baerr/Xe131Ba)^2)</f>
        <v>2.8469684168212261E-14</v>
      </c>
      <c r="KE8" s="303">
        <f>Xe131Bacc/MV</f>
        <v>5.7848894602096644E-17</v>
      </c>
      <c r="KF8" s="303">
        <f>Xe131mole*SQRT((Xe131CCerr/Xe131CC)^2+(MVerr/MV)^2)</f>
        <v>1.2701763382192266E-18</v>
      </c>
      <c r="KG8" s="305"/>
      <c r="KH8" s="305"/>
      <c r="KI8" s="303" t="e">
        <f>(Xe131mole/Ba_FactorSW)/((Therm_CS_130Ba*Therm_Flux)*Ba130_Abun*Y_130Ba)</f>
        <v>#DIV/0!</v>
      </c>
      <c r="KJ8" s="303" t="e">
        <f>Ba_mole*SQRT((Xe131moleerr/Xe131mole)^2+(Ba_FactorSWerr/Ba_FactorSW)^2+(Therm_CS_130Baerr/Therm_CS_130Ba)^2+(Therm_Fluxerr/Therm_Flux)^2)</f>
        <v>#DIV/0!</v>
      </c>
      <c r="KK8" s="302" t="e">
        <f>Ba_mole*MW_Ba/Sample_Mass*10^6</f>
        <v>#DIV/0!</v>
      </c>
      <c r="KL8" s="302" t="e">
        <f>KK8*SQRT(I_moleerr/I_mole)^2+(MVerr/MV)^2+(Sample_Masserr/Sample_Mass)</f>
        <v>#DIV/0!</v>
      </c>
      <c r="KM8" s="303">
        <f>(Xe134AC*Xe_Sensitivity)/YXe</f>
        <v>6.4465474206631846E-15</v>
      </c>
      <c r="KN8" s="303">
        <f>Xe134CC*SQRT((Xe_Sensitivityerr/Xe_Sensitivity)^2+(YXeerr/YXe)^2+(Xe134ACerr/Xe134AC)^2)</f>
        <v>1.1141447739847389E-15</v>
      </c>
      <c r="KO8" s="303">
        <f>Xe134CC/MV</f>
        <v>2.8761302533943729E-19</v>
      </c>
      <c r="KP8" s="303">
        <f>Xe134mole*SQRT((Xe134CCerr/Xe134CC)^2+(MVerr/MV)^2)</f>
        <v>4.970762304277185E-20</v>
      </c>
      <c r="KQ8" s="303">
        <f>Xe134mole/((Therm_CS_235U*Therm_Flux)*U235_Abun*Y_235U)</f>
        <v>2.5767732406093694E-13</v>
      </c>
      <c r="KR8" s="303">
        <f>U_mole*SQRT((Xe134moleerr/Xe134mole)^2+(Therm_CS_235Uerr/Therm_CS_235U)^2+(Therm_Fluxerr/Therm_Flux)^2)</f>
        <v>4.493701338193637E-14</v>
      </c>
      <c r="KS8" s="302">
        <f>U_mole*MW_U/Sample_Mass*10^9</f>
        <v>97.356591393558077</v>
      </c>
      <c r="KT8" s="302">
        <f>KS8*SQRT((U_moleerr/U_mole)^2+(MVerr/MV)^2+(Sample_Masserr/Sample_Mass)^2)</f>
        <v>17.089554654373853</v>
      </c>
      <c r="KU8" s="303">
        <f>(Xe128mole/Ar38_mole)*I127_Constant</f>
        <v>1.1033617327775758E-4</v>
      </c>
      <c r="KV8" s="303">
        <f>KU8*SQRT((Xe128moleerr/Xe128mole)^2+(Ar38_moleerr/Ar38_mole)^2+(I127_Constanterr/I127_Constant)^2)</f>
        <v>5.1300091038990388E-6</v>
      </c>
      <c r="KW8" s="305">
        <f>IF(Scapolite="BB2",KU8/BB2_SP_ICl,KU8/BB1_ICl)</f>
        <v>4.2600839103381301</v>
      </c>
      <c r="KX8" s="305">
        <f>IF(Scapolite="BB2",KW8*SQRT((KV8/KU8)^2+(BB2_SP_IClerr/BB2_SP_ICl)^2),KW8*SQRT((KV8/KU8)^2+(BB1_IClerr/BB1_ICl)^2))</f>
        <v>0.20871118337382857</v>
      </c>
      <c r="KY8" s="313">
        <f>IF(Scapolite="BB2",(Xe128CC/Ar38CC)*(BB2_SP_Cl/BB2_SP_I),(Xe128CC/Ar38CC)*(BB1_Cl/BB1_I))</f>
        <v>65.657172440392685</v>
      </c>
      <c r="KZ8" s="313">
        <f>IF(Scapolite="BB2",Omega*SQRT((Xe128CCerr/Xe128CC)^2+(Ar38CCerr/Ar38CC)^2+(BB2_SP_Ierr/BB2_SP_I)^2+(BB2_SP_Clerr/BB2_SP_Cl)^2),Omega*SQRT((Xe128CCerr/Xe128CC)^2+(Ar38CCerr/Ar38CC)^2+(BB1_Ierr/BB1_I)^2+(BB1_Ierr/BB1_I)^2))</f>
        <v>5.064785803569487</v>
      </c>
      <c r="LA8" s="303">
        <f>Omega*Cl38_Prod</f>
        <v>2.4968931189127799E-5</v>
      </c>
      <c r="LB8" s="303">
        <f>I127_Prod*SQRT((Omegaerr/Omega)^2+(Cl38_Proderr/Cl38_Prod)^2)</f>
        <v>1.9783359078241691E-6</v>
      </c>
      <c r="LC8" s="303"/>
      <c r="LD8" s="266" t="str">
        <f>Scapolite</f>
        <v>BB1</v>
      </c>
      <c r="LE8" s="266" t="str">
        <f>Irradiation</f>
        <v>MN19a</v>
      </c>
      <c r="LF8" s="315">
        <f>Tube</f>
        <v>4</v>
      </c>
      <c r="LG8" s="315">
        <f>K_ppm</f>
        <v>13780.38532981048</v>
      </c>
      <c r="LH8" s="315">
        <f>K_ppmerr</f>
        <v>275.60784243881494</v>
      </c>
      <c r="LI8" s="315">
        <f>Cl_ppm</f>
        <v>30492.239967347352</v>
      </c>
      <c r="LJ8" s="315">
        <f>Cl_ppmerr</f>
        <v>609.84517148997088</v>
      </c>
      <c r="LK8" s="315">
        <f>Ca_ppm</f>
        <v>58925.111084540615</v>
      </c>
      <c r="LL8" s="315">
        <f>Ca_ppmerr</f>
        <v>1178.5177331011275</v>
      </c>
      <c r="LM8" s="315" t="e">
        <f>Br79_ppm</f>
        <v>#DIV/0!</v>
      </c>
      <c r="LN8" s="315" t="e">
        <f>Br79_ppmerr</f>
        <v>#DIV/0!</v>
      </c>
      <c r="LO8" s="315" t="e">
        <f>Br81_ppm</f>
        <v>#DIV/0!</v>
      </c>
      <c r="LP8" s="315" t="e">
        <f>Br81_ppmerr</f>
        <v>#DIV/0!</v>
      </c>
      <c r="LQ8" s="315" t="e">
        <f>I_ppb</f>
        <v>#DIV/0!</v>
      </c>
      <c r="LR8" s="315" t="e">
        <f>I_ppberr</f>
        <v>#DIV/0!</v>
      </c>
      <c r="LS8" s="308">
        <f>Br79_Factor</f>
        <v>3.2436088865331025</v>
      </c>
      <c r="LT8" s="308">
        <f>Br79_Factorerr</f>
        <v>0.2561518437724305</v>
      </c>
      <c r="LU8" s="316">
        <f>Pi</f>
        <v>68.607768466270741</v>
      </c>
      <c r="LV8" s="316">
        <f>Pi_err</f>
        <v>6.6137302018769208</v>
      </c>
      <c r="LW8" s="266">
        <f>Br79_Prod</f>
        <v>2.6091020770489954E-5</v>
      </c>
      <c r="LX8" s="266">
        <f>Br79_Proderr</f>
        <v>2.5590396798702624E-6</v>
      </c>
      <c r="LY8" s="308">
        <f>Br81_Factor</f>
        <v>5.2386555855390879</v>
      </c>
      <c r="LZ8" s="308">
        <f>Br81_Factorerr</f>
        <v>0.41827919386620488</v>
      </c>
      <c r="MA8" s="307">
        <f>Pi_prime</f>
        <v>25.473707500105288</v>
      </c>
      <c r="MB8" s="307">
        <f>Pi_primeerr</f>
        <v>2.4553936734405504</v>
      </c>
      <c r="MC8" s="266">
        <f>Br81_Prod</f>
        <v>9.6874602737353807E-6</v>
      </c>
      <c r="MD8" s="266">
        <f>Br81_Proderr</f>
        <v>9.5006469873213808E-7</v>
      </c>
      <c r="ME8" s="308">
        <f>I_Factor</f>
        <v>4.2600839103381301</v>
      </c>
      <c r="MF8" s="308">
        <f>I_Factorerr</f>
        <v>0.20871118337382857</v>
      </c>
      <c r="MG8" s="315">
        <f>Omega</f>
        <v>65.657172440392685</v>
      </c>
      <c r="MH8" s="315">
        <f>Omegaerr</f>
        <v>5.064785803569487</v>
      </c>
      <c r="MI8" s="266">
        <f>I127_Prod</f>
        <v>2.4968931189127799E-5</v>
      </c>
      <c r="MJ8" s="266">
        <f>I127_Proderr</f>
        <v>1.9783359078241691E-6</v>
      </c>
    </row>
    <row r="9" spans="1:348" s="271" customFormat="1" hidden="1">
      <c r="A9" s="271" t="s">
        <v>841</v>
      </c>
      <c r="B9" s="271" t="s">
        <v>794</v>
      </c>
      <c r="C9" s="271">
        <v>1.0499999999999999E-3</v>
      </c>
      <c r="D9" s="298">
        <f t="shared" ref="D9:D14" si="0">C9*2%</f>
        <v>2.0999999999999999E-5</v>
      </c>
      <c r="E9" s="299">
        <v>44232</v>
      </c>
      <c r="F9" s="271" t="s">
        <v>210</v>
      </c>
      <c r="G9" s="271" t="s">
        <v>834</v>
      </c>
      <c r="H9" s="271">
        <v>4</v>
      </c>
      <c r="I9" s="271">
        <v>35</v>
      </c>
      <c r="J9" s="299">
        <v>43831</v>
      </c>
      <c r="K9" s="299" t="s">
        <v>322</v>
      </c>
      <c r="L9" s="271" t="s">
        <v>832</v>
      </c>
      <c r="M9" s="309"/>
      <c r="N9" s="271">
        <v>120</v>
      </c>
      <c r="O9" s="268">
        <v>306.326978</v>
      </c>
      <c r="P9" s="268">
        <v>0.31090499999999999</v>
      </c>
      <c r="Q9" s="268">
        <v>725.02268100000003</v>
      </c>
      <c r="R9" s="268">
        <v>2.2719140000000002</v>
      </c>
      <c r="S9" s="268">
        <v>2159.4577100000001</v>
      </c>
      <c r="T9" s="268">
        <v>7.169651</v>
      </c>
      <c r="U9" s="268">
        <v>0.34386699999999998</v>
      </c>
      <c r="V9" s="268">
        <v>2.2393E-2</v>
      </c>
      <c r="W9" s="268">
        <v>1.7452160000000001</v>
      </c>
      <c r="X9" s="300">
        <v>0.132827</v>
      </c>
      <c r="Y9" s="268">
        <v>61.579799000000001</v>
      </c>
      <c r="Z9" s="268">
        <v>0.88380599999999998</v>
      </c>
      <c r="AA9" s="268">
        <v>0.67993000000000003</v>
      </c>
      <c r="AB9" s="268">
        <v>6.7857000000000001E-2</v>
      </c>
      <c r="AC9" s="268">
        <v>0.58991800000000005</v>
      </c>
      <c r="AD9" s="268">
        <v>0.113826</v>
      </c>
      <c r="AE9" s="268">
        <v>0.10687099999999999</v>
      </c>
      <c r="AF9" s="268">
        <v>1.8098E-2</v>
      </c>
      <c r="AG9" s="268">
        <v>0.152753</v>
      </c>
      <c r="AH9" s="268">
        <v>5.8499000000000002E-2</v>
      </c>
      <c r="AI9" s="270">
        <f>Ar40Raw-Ar40Blank</f>
        <v>244.74717899999999</v>
      </c>
      <c r="AJ9" s="270">
        <f>SQRT(Ar40Blankerr^2+Ar40Rawerr^2)</f>
        <v>0.93689645354275941</v>
      </c>
      <c r="AK9" s="270">
        <f>Ar39Raw-Ar39Blank</f>
        <v>724.34275100000002</v>
      </c>
      <c r="AL9" s="270">
        <f>SQRT(Ar39Blankerr^2+Ar39Rawerr^2)</f>
        <v>2.2729271426609787</v>
      </c>
      <c r="AM9" s="270">
        <f>Ar38Raw-Ar38Blank</f>
        <v>2158.867792</v>
      </c>
      <c r="AN9" s="270">
        <f>SQRT(Ar38Blankerr^2+Ar38Rawerr^2)</f>
        <v>7.1705544987871752</v>
      </c>
      <c r="AO9" s="270">
        <f>Ar37Raw-Ar37Blank</f>
        <v>0.23699599999999998</v>
      </c>
      <c r="AP9" s="270">
        <f>SQRT(Ar37Blankerr^2+Ar37Rawerr^2)</f>
        <v>2.8792083165342517E-2</v>
      </c>
      <c r="AQ9" s="270">
        <f>Ar36Raw-Ar36Blank</f>
        <v>1.5924630000000002</v>
      </c>
      <c r="AR9" s="270">
        <f>SQRT(Ar36Blankerr^2+Ar36Rawerr^2)</f>
        <v>0.14513836477651249</v>
      </c>
      <c r="AS9" s="271">
        <v>303</v>
      </c>
      <c r="AT9" s="271">
        <v>0.5</v>
      </c>
      <c r="AU9" s="270">
        <f>Ar39BC*(1+(Ar4036_Aircal/Ar4036_Air-1)/4)</f>
        <v>728.93883444543144</v>
      </c>
      <c r="AV9" s="270">
        <f>SQRT(Ar39BCerr^2+(Ar39BC*(Ar4036_Aircal/Ar4036_Air-1)/4)^2*((Ar4036_Aircalerr/Ar4036_Aircal)^2+(Ar39BCerr/Ar39BC)^2+(Ar4036_airerr/Ar4036_Air)^2))</f>
        <v>2.2729906649727281</v>
      </c>
      <c r="AW9" s="270">
        <f>Ar38BC*(1+2*(Ar4036_Aircal/Ar4036_Air-1)/4)</f>
        <v>2186.2645913908627</v>
      </c>
      <c r="AX9" s="270">
        <f>SQRT(Ar38BCerr^2+(Ar38BC*(Ar4036_Aircal/Ar4036_Air-1)/4)^2*((Ar4036_Aircalerr/Ar4036_Aircal)^2+(Ar38BCerr/Ar38BC)^2+(Ar4036_airerr/Ar4036_Air)^2))</f>
        <v>7.170748873757586</v>
      </c>
      <c r="AY9" s="270">
        <f>Ar37BC*(1+3*(Ar4036_Aircal/Ar4036_Air-1)/4)</f>
        <v>0.24150734517766498</v>
      </c>
      <c r="AZ9" s="270">
        <f>SQRT(Ar37BCerr^2+(Ar37BC*(Ar4036_Aircal/Ar4036_Air-1)/3)^2*((Ar4036_Aircalerr/Ar4036_Aircal)^2+(Ar37BCerr/Ar37BC)^2+(Ar4036_airerr/Ar4036_Air)^2))</f>
        <v>2.8793113819268381E-2</v>
      </c>
      <c r="BA9" s="270">
        <f>Ar36BC*(1+4*(Ar4036_Aircal/Ar4036_Air-1)/4)</f>
        <v>1.632880842639594</v>
      </c>
      <c r="BB9" s="270">
        <f>SQRT(Ar36BCerr^2+(Ar36BC*(Ar4036_Aircal/Ar4036_Air-1)/4)^2*((Ar4036_Aircalerr/Ar4036_Aircal)^2+(Ar36BCerr/Ar36BC)^2+(Ar4036_airerr/Ar4036_Air)^2))</f>
        <v>0.14514128782010643</v>
      </c>
      <c r="BC9" s="268">
        <v>2279.2032462607435</v>
      </c>
      <c r="BD9" s="269">
        <v>1.0027995366556639</v>
      </c>
      <c r="BE9" s="270">
        <f>IF(Rad_Type="Continuous", Ar37_DC*EXP(lambda_37Ar*(Run_Date-Rad_Date)),Ar37_DC*Ar37_DecayFactor)</f>
        <v>550.44432512474793</v>
      </c>
      <c r="BF9" s="270">
        <f>IF(Rad_Type="Continuous", (Ar37_DCerr*EXP(lambda_37Ar*(Run_Date-Rad_Date))), Ar37_DCerr*Ar37_DecayFactor)</f>
        <v>65.625358486831573</v>
      </c>
      <c r="BG9" s="270">
        <f>IF(Rad_Type="Continuous", Ar39_DC*EXP(lambda_39Ar*(Run_Date-Rad_Date)), Ar39_DC*Ar39_DecayFactor)</f>
        <v>730.97952543219833</v>
      </c>
      <c r="BH9" s="270">
        <f>IF(Rad_Type="Continuous", (Ar39_DCerr*EXP(lambda_39Ar*(Run_Date-Rad_Date))), Ar39_DCerr*Ar39_DecayFactor)</f>
        <v>2.2793539856573011</v>
      </c>
      <c r="BI9" s="302">
        <f>Ar40BC-(Salt_40Ar39Ar_K*Ar39_IC)</f>
        <v>149.62761021972511</v>
      </c>
      <c r="BJ9" s="270">
        <f>SQRT(Ar40BCerr^2+(Ar39_ICerr*Salt_40Ar39Ar_K)^2)</f>
        <v>0.9828178165762913</v>
      </c>
      <c r="BK9" s="302">
        <f>Ar39_DecayCor-(Salt_39Ar37Ar_Ca*Ar37_DecayCor)</f>
        <v>730.47649199788327</v>
      </c>
      <c r="BL9" s="270">
        <f>SQRT(Ar39_DecayCorerr^2+(Ar37_DecayCorerr*Salt_39Ar37Ar_Ca)^2)</f>
        <v>2.2801428337254959</v>
      </c>
      <c r="BM9" s="302">
        <f>Ar38_DC-(Salt_38Ar39Ar_K*Ar39_DecayCor)</f>
        <v>2174.9767333223649</v>
      </c>
      <c r="BN9" s="270">
        <f>SQRT(Ar38_DCerr^2+(Ar39_DecayCorerr*Salt_38Ar39Ar_K)^2)</f>
        <v>7.1708352589059112</v>
      </c>
      <c r="BO9" s="270">
        <f>Ar36_DC-(Salt_36Ar37Ar_Ca*Ar37_DecayCor)</f>
        <v>1.440869818112041</v>
      </c>
      <c r="BP9" s="270">
        <f>SQRT(Ar36_DCerr^2+(Ar37_DecayCorerr*Salt_36Ar37Ar_Ca)^2)</f>
        <v>0.14693549205831846</v>
      </c>
      <c r="BQ9" s="310">
        <v>1.0000023837007155</v>
      </c>
      <c r="BR9" s="268">
        <f>IF(Rad_Type="Continuous", BO9-((EXP(lambda_36Ar*(Run_Date-Rad_Date))-1)*Cl3638_PR*BT9),BO9*Ar36_DecayFactor)</f>
        <v>1.4408732527144572</v>
      </c>
      <c r="BS9" s="268">
        <f>IF(K:K="Continuous", SQRT(BP9^2+(((EXP(lambda_36Ar*(Run_Date-Rad_Date))-1)*Cl3638_PR)*BU9^2)), Ar36_ICerr*Ar36_DecayFactor)</f>
        <v>0.146935842308556</v>
      </c>
      <c r="BT9" s="302">
        <f>IF(Rad_Type="Continuous", BM9-(Ar3836_Air*BO9)/(1-lambda_36Ar*(Run_Date-Rad_Date)),Ar38_IC-(Ar3836_Air*Ar36_IC)/Ar36_DecayFactor)</f>
        <v>2174.7058504422635</v>
      </c>
      <c r="BU9" s="268">
        <f>IF(Rad_Type ="Continuous", SQRT(BN9^2*(((EXP(lambda_36Ar*(Run_Date-Rad_Date))-1*0.188)*BP9^2))),SQRT(Ar38_ICerr^2*(((EXP(lambda_36Ar*(Ar36_DecayFactor))-1*0.188)*Ar36_ICerr^2))))</f>
        <v>0.94945519076940676</v>
      </c>
      <c r="BV9" s="302">
        <f>Ar40_IC-(Ar36_ClCor*Ar4036_Air)</f>
        <v>-276.15043595739701</v>
      </c>
      <c r="BW9" s="302">
        <f>SQRT(Ar40_ICerr^2+(Ar36_ClCorerr*Ar4036_Air)^2)</f>
        <v>43.430663205114136</v>
      </c>
      <c r="BX9" s="303">
        <v>1.3539467276583303E-12</v>
      </c>
      <c r="BY9" s="303">
        <v>6.1488073529408856E-15</v>
      </c>
      <c r="BZ9" s="303">
        <f>Ar_Sensitivity*Ar36_ClCor</f>
        <v>1.9508656254831539E-12</v>
      </c>
      <c r="CA9" s="303">
        <f>Ar36CC*SQRT((Ar36_ClCorerr/Ar36_ClCor)^2+(Ar_sensitivityerr/Ar_Sensitivity)^2)</f>
        <v>1.9914048104553134E-13</v>
      </c>
      <c r="CB9" s="303">
        <f>Ar37_DecayCor*Ar_Sensitivity</f>
        <v>7.4527229276075047E-10</v>
      </c>
      <c r="CC9" s="311">
        <f>Ar37CC*SQRT((Ar37_DecayCorerr/Ar37_DecayCor)^2+(Ar_sensitivityerr/Ar_Sensitivity)^2)</f>
        <v>8.8917678235761641E-11</v>
      </c>
      <c r="CD9" s="303">
        <f>Ar_Sensitivity*Ar38_Cl</f>
        <v>2.944435869825729E-9</v>
      </c>
      <c r="CE9" s="303">
        <f>Ar38CC*SQRT((Ar38_Clerr/Ar38_Cl)^2+(Ar_sensitivityerr/Ar_Sensitivity)^2)</f>
        <v>1.3433496987146599E-11</v>
      </c>
      <c r="CF9" s="303">
        <f>Ar_Sensitivity*Ar39_IC</f>
        <v>9.8902625597187064E-10</v>
      </c>
      <c r="CG9" s="303">
        <f>Ar39CC*SQRT((Ar39_ICerr/Ar39_IC)^2+(Ar_sensitivityerr/Ar_Sensitivity)^2)</f>
        <v>5.4502163512345486E-12</v>
      </c>
      <c r="CH9" s="303">
        <f>Ar_Sensitivity*BV9</f>
        <v>-3.7389297910593902E-10</v>
      </c>
      <c r="CI9" s="303">
        <f>Ar40CC*SQRT((BW9/BV9)^2+(Ar_sensitivityerr/Ar_Sensitivity)^2)</f>
        <v>-5.882731496944599E-11</v>
      </c>
      <c r="CJ9" s="303">
        <f>Ar38CC/MV</f>
        <v>1.3136614891315195E-13</v>
      </c>
      <c r="CK9" s="303">
        <f>Ar38_mole*SQRT((Ar38CCerr/Ar38CC)^2+(MVerr/MV)^2)</f>
        <v>5.9933612342600487E-16</v>
      </c>
      <c r="CL9" s="303">
        <f>Ar40CC/MV</f>
        <v>-1.6681253368143439E-14</v>
      </c>
      <c r="CM9" s="303">
        <f>Ar40_mole*SQRT((Ar40CCerrr/Ar40CC)^2+(MVerr/MV)^2)</f>
        <v>-2.6245835060238652E-15</v>
      </c>
      <c r="CN9" s="298">
        <f>[7]Hb3Gr!CY11</f>
        <v>3.3680591711743944E-2</v>
      </c>
      <c r="CO9" s="298">
        <f>[7]Hb3Gr!CZ11</f>
        <v>1.4939121278557756E-4</v>
      </c>
      <c r="CP9" s="303">
        <f>[7]Hb3Gr!DA11</f>
        <v>3.1991558920690447E+18</v>
      </c>
      <c r="CQ9" s="303">
        <f>[7]Hb3Gr!DB11</f>
        <v>7.4463843346153808E+16</v>
      </c>
      <c r="CR9" s="303">
        <f>[7]Hb3Gr!DC11</f>
        <v>6.2863679359943967E+18</v>
      </c>
      <c r="CS9" s="303">
        <f>[7]Hb3Gr!DD11</f>
        <v>6.60242669182872E+16</v>
      </c>
      <c r="CT9" s="268">
        <f>[7]Hb3Gr!DE11</f>
        <v>0.52916459827613271</v>
      </c>
      <c r="CU9" s="268">
        <f>[7]Hb3Gr!DF11</f>
        <v>7.7432785700430442E-3</v>
      </c>
      <c r="CV9" s="268">
        <f>[7]Hb3Gr!DG11</f>
        <v>0.90235286123626368</v>
      </c>
      <c r="CW9" s="268">
        <f>[7]Hb3Gr!DH11</f>
        <v>1.3458076792302986E-2</v>
      </c>
      <c r="CX9" s="303">
        <f>J*(lambda_e/lambda)*K40_Abun</f>
        <v>4.0867730880536126E-7</v>
      </c>
      <c r="CY9" s="303">
        <f>K39_Prod*SQRT((Jerr/J)^2+(lambda_eerr/lambda_e)^2+(lambda_err/lambda)^2+(K40_Abunerr/K40_Abun)^2)</f>
        <v>4.1529221570829847E-9</v>
      </c>
      <c r="CZ9" s="303">
        <f>K39_Prod*Beta</f>
        <v>3.6877113892285382E-7</v>
      </c>
      <c r="DA9" s="303">
        <f>Cl38_Prod*SQRT((K39_Proderr/K39_Prod)^2+(Betaerr/Beta)^2)</f>
        <v>6.6553085835934638E-9</v>
      </c>
      <c r="DB9" s="303">
        <f>K39_Prod*alpha</f>
        <v>2.1625756393856003E-7</v>
      </c>
      <c r="DC9" s="303">
        <f>Ca37_Prod*SQRT((K39_Prod/K39_Proderr)^2+(alphaerr/alpha)^2)</f>
        <v>2.1281294682004443E-5</v>
      </c>
      <c r="DD9" s="303">
        <f>K_constant*Ar39CC/J</f>
        <v>1.0797138317176487E-7</v>
      </c>
      <c r="DE9" s="303">
        <f>K_mole*SQRT((Ar39ccerr/Ar39CC)^2+(Jerr/J)^2+(K_Constanterr/K_constant)^2)</f>
        <v>1.2481376191416144E-9</v>
      </c>
      <c r="DF9" s="302">
        <f>K_mole*MW_K/Sample_Mass*10^6</f>
        <v>4020.4738387282041</v>
      </c>
      <c r="DG9" s="302">
        <f>K_ppm*SQRT((Sample_Masserr/Sample_Mass)^2+(MW_Kerr/MW_K)^2)+(K_moleerr/K_mole)^2</f>
        <v>80.409610412261614</v>
      </c>
      <c r="DH9" s="301">
        <f>K_ppm/10^4</f>
        <v>0.40204738387282041</v>
      </c>
      <c r="DI9" s="269">
        <f>K_ppmerr/10^4</f>
        <v>8.0409610412261606E-3</v>
      </c>
      <c r="DJ9" s="303">
        <f>Cl_Constant*Ar38CC/(J*Beta)</f>
        <v>3.9285422467276396E-7</v>
      </c>
      <c r="DK9" s="303">
        <f>Cl_mole*SQRT((Ar38CCerr/Ar38CC)^2+(Jerr/J)^2+(Betaerr/Beta)^2+(Cl_Constanterr/Cl_Constant)^2)</f>
        <v>7.3129843357172079E-9</v>
      </c>
      <c r="DL9" s="302">
        <f>Cl_mole*MW_Cl/Sample_Mass*10^6</f>
        <v>13264.629359355717</v>
      </c>
      <c r="DM9" s="302">
        <f>Cl_ppm*SQRT((Sample_Masserr/Sample_Mass)^2+(MW_Clerr/MW_Cl)^2)+(Cl_moleerr/Cl_mole)^2</f>
        <v>265.2929442589388</v>
      </c>
      <c r="DN9" s="301">
        <f>Cl_ppm/10^4</f>
        <v>1.3264629359355717</v>
      </c>
      <c r="DO9" s="269">
        <f>Cl_ppmerr/10^4</f>
        <v>2.6529294425893881E-2</v>
      </c>
      <c r="DP9" s="303">
        <f>Ca_Constant*Ar37CC/(J*alpha)</f>
        <v>1.4998754600591353E-7</v>
      </c>
      <c r="DQ9" s="303">
        <f>Ca_mole*SQRT((Ar37CCerr/Ar37CC)^2+(Jerr/J)^2+(alphaerr/alpha)^2+(Ca_Constanterr/Ca_Constant)^2)</f>
        <v>1.809326809056306E-8</v>
      </c>
      <c r="DR9" s="302">
        <f>Ca_mole*MW_Ca/Sample_Mass*10^6</f>
        <v>5725.238898968586</v>
      </c>
      <c r="DS9" s="302">
        <f>Ca_ppm*SQRT((Sample_Masserr/Sample_Mass)^2+(MW_Caerr/MW_Ca)^2)+(Ca_moleerr/Ca_mole)^2</f>
        <v>114.52075560398947</v>
      </c>
      <c r="DT9" s="268">
        <f>Ca_ppm/10^4</f>
        <v>0.57252388989685865</v>
      </c>
      <c r="DU9" s="268">
        <f>Ca_ppmerr/10^4</f>
        <v>1.1452075560398947E-2</v>
      </c>
      <c r="DV9" s="268">
        <f>K_mole/Cl_mole</f>
        <v>0.27483828960144657</v>
      </c>
      <c r="DW9" s="268">
        <f>KCl_mol*SQRT(K_moleerr/K_mole)^2+(Cl_moleerr/Cl_mole)^2</f>
        <v>3.5236196797834769E-3</v>
      </c>
      <c r="DX9" s="268">
        <f>K_mole/Ca_mole</f>
        <v>0.71986898943934918</v>
      </c>
      <c r="DY9" s="268">
        <f>KCa_mol*SQRT(K_moleerr/K_mole)^2+(Ca_moleerr/Ca_mole)^2</f>
        <v>2.2873640252270507E-2</v>
      </c>
      <c r="DZ9" s="268">
        <f>K_ppm/Cl_ppm</f>
        <v>0.30309733727256477</v>
      </c>
      <c r="EA9" s="268">
        <f>KCl_wt*SQRT(K_ppmerr/K_ppm)^2+(Cl_ppmerr/Cl_ppm)^2</f>
        <v>6.4619578969562575E-3</v>
      </c>
      <c r="EB9" s="268">
        <f>K_ppm/Ca_ppm</f>
        <v>0.70223686900689875</v>
      </c>
      <c r="EC9" s="268">
        <f>KCa_wt*SQRT(K_ppmerr/K_ppm)^2+(Ca_ppmerr/Ca_ppm)^2</f>
        <v>1.4444872359181678E-2</v>
      </c>
      <c r="ED9" s="303">
        <f>Ar40_mole/Cl_mole</f>
        <v>-4.2461687619723155E-8</v>
      </c>
      <c r="EE9" s="303">
        <f>Ar40Cl_mol*SQRT((Ar40_moleerr/Ar40_mole)^2+(Cl_moleerr/Cl_mole)^2)</f>
        <v>-6.7274037962528844E-9</v>
      </c>
      <c r="EF9" s="268">
        <f>Ar40_IC/Ar39_IC</f>
        <v>0.20483562696246041</v>
      </c>
      <c r="EG9" s="268">
        <f>Ar40Ar39*SQRT((CG9/CF9)^2+(CI9/CH9)^2)</f>
        <v>3.2248047832534286E-2</v>
      </c>
      <c r="EH9" s="303">
        <f>(CH9/MV)/K_mole</f>
        <v>-1.5449698686925484E-7</v>
      </c>
      <c r="EI9" s="303">
        <f>Ar40K*SQRT((CI9/CH9)^2+(K_moleerr/K_mole)^2+(MVerr/MV)^2)</f>
        <v>-2.4373661146743222E-8</v>
      </c>
      <c r="EJ9" s="302">
        <f>(1/lambda/10^6)*LN(1+(J*Ar40Ar39))</f>
        <v>12.389706648439912</v>
      </c>
      <c r="EK9" s="268">
        <f>SQRT((J^2*Ar40Ar39^2*((Ar40Ar39err/Ar40Ar39*100)^2))/(Age^2*0.00055305^2*((1+Ar40Ar39*J)^2)))*Age/100</f>
        <v>1.95044111064635</v>
      </c>
      <c r="EL9" s="268">
        <f>SQRT((J^2*Ar40Ar39^2*((Ar40Ar39err/Ar40Ar39*100)^2+(Jerr/J*100)^2))/(Age^2*0.00055305^2*((1+Ar40Ar39*J)^2)))*Age/100</f>
        <v>1.9512150581478662</v>
      </c>
      <c r="EM9" s="312">
        <v>180.27620999999999</v>
      </c>
      <c r="EN9" s="270">
        <v>1.1274869999999999</v>
      </c>
      <c r="EO9" s="270">
        <v>66.851569999999995</v>
      </c>
      <c r="EP9" s="270">
        <v>0.43589</v>
      </c>
      <c r="EQ9" s="270">
        <v>-0.20305699999999999</v>
      </c>
      <c r="ER9" s="270">
        <v>3.5742999999999997E-2</v>
      </c>
      <c r="ES9" s="300"/>
      <c r="ET9" s="300"/>
      <c r="EU9" s="268">
        <v>0.402194</v>
      </c>
      <c r="EV9" s="268">
        <v>0.12253</v>
      </c>
      <c r="EW9" s="268">
        <v>0.131499</v>
      </c>
      <c r="EX9" s="268">
        <v>2.7994000000000002E-2</v>
      </c>
      <c r="EY9" s="268">
        <v>-0.108529</v>
      </c>
      <c r="EZ9" s="268">
        <v>5.0798000000000003E-2</v>
      </c>
      <c r="FA9" s="298"/>
      <c r="FB9" s="298"/>
      <c r="FC9" s="268">
        <f>Kr80Raw-Kr80Blank</f>
        <v>179.87401599999998</v>
      </c>
      <c r="FD9" s="268">
        <f>SQRT(Kr80Rawerr^2+Kr80Blankerr^2)</f>
        <v>1.1341254498815374</v>
      </c>
      <c r="FE9" s="268">
        <f>Kr82Raw-Kr82Blank</f>
        <v>66.72007099999999</v>
      </c>
      <c r="FF9" s="268">
        <f>SQRT(Kr82Rawerr^2+Kr82Blankerr^2)</f>
        <v>0.43678799907506616</v>
      </c>
      <c r="FG9" s="268">
        <f>Kr84Raw-Kr84Blank</f>
        <v>-9.4527999999999987E-2</v>
      </c>
      <c r="FH9" s="268">
        <f>SQRT(Kr84Rawerr^2+Kr84Blankerr^2)</f>
        <v>6.2112791379876013E-2</v>
      </c>
      <c r="FI9" s="268">
        <f>Kr86Raw-Kr86Blank</f>
        <v>0</v>
      </c>
      <c r="FJ9" s="268">
        <f>SQRT(Kr86Rawerr^2+Kr86Blankerr^2)</f>
        <v>0</v>
      </c>
      <c r="FK9" s="268">
        <f>Kr84BC-((Y86Kr*Kr8684_nf)/(Y134Xe*Xe134136_nf)*Xe134AC)</f>
        <v>-9.464334314636276E-2</v>
      </c>
      <c r="FL9" s="268">
        <f>Kr84U*SQRT((Kr84BCerr/Kr84BC)^2+(Y86Kr_err/Y86Kr)^2+(Kr8684_nferr/Kr8684_nf)^2+(Y134Xeerr/Y134Xe)^2+(Xe134136_nferr/Xe134136_nf)^2+(Xe134ACerr/Xe134AC)^2)</f>
        <v>-0.11818811418053937</v>
      </c>
      <c r="FM9" s="302">
        <f>Kr80BC-(Kr84U*Kr8084_Air)</f>
        <v>179.87776387638857</v>
      </c>
      <c r="FN9" s="302">
        <f>SQRT(Kr80BCerr^2+(Kr84Uerr*Kr8084_Air)^2)</f>
        <v>1.1341351069439265</v>
      </c>
      <c r="FO9" s="302">
        <f>Kr82BC-(Kr84U*Kr8284_Air)</f>
        <v>66.739207883984179</v>
      </c>
      <c r="FP9" s="302">
        <f>SQRT(Kr82BCerr^2+(Kr84Uerr*Kr8284_Air)^2)</f>
        <v>0.43744125682797502</v>
      </c>
      <c r="FQ9" s="268">
        <f>Kr86BC-(Kr84U*Kr8684_Air)</f>
        <v>2.8885148328269918E-2</v>
      </c>
      <c r="FR9" s="268">
        <f>SQRT(Kr86BCerr^2+(Kr84Uerr*Kr8684_Air)^2)</f>
        <v>3.6071012447900619E-2</v>
      </c>
      <c r="FS9" s="303">
        <v>1.3380462282714104E-12</v>
      </c>
      <c r="FT9" s="303">
        <v>6.763342243574739E-14</v>
      </c>
      <c r="FU9" s="268">
        <v>1.1499999999999999</v>
      </c>
      <c r="FV9" s="268">
        <v>5.0000000000000001E-3</v>
      </c>
      <c r="FW9" s="303">
        <f>(Kr80AC*Kr_sensitivity)/YKr</f>
        <v>2.0929109869973662E-10</v>
      </c>
      <c r="FX9" s="303">
        <f>Kr80cc*SQRT((Kr_sensitivityerr/Kr_sensitivity)^2+(YKrerr/YKr)^2+(Kr80ACerr/Kr80AC)^2)</f>
        <v>1.0699659747115413E-11</v>
      </c>
      <c r="FY9" s="303">
        <f>(Kr82AC*Kr_sensitivity)/YKr</f>
        <v>7.7652300336510096E-11</v>
      </c>
      <c r="FZ9" s="303">
        <f>Kr82cc*SQRT((Kr_sensitivityerr/Kr_sensitivity)^2+(YKrerr/YKr)^2+(Kr82ACerr/Kr82AC)^2)</f>
        <v>3.9722803582664463E-12</v>
      </c>
      <c r="GA9" s="303">
        <f>(Kr84U*Kr_sensitivity)/YKr</f>
        <v>-1.1011927680694571E-13</v>
      </c>
      <c r="GB9" s="303">
        <f>Kr84cc*SQRT((Kr_sensitivityerr/Kr_sensitivity)^2+(YKrerr/YKr)^2+(Kr84Uerr/Kr84U)^2)</f>
        <v>-1.3762748893727075E-13</v>
      </c>
      <c r="GC9" s="303">
        <f>(Kr86AC*Kr_sensitivity)/YKr</f>
        <v>3.3608403281479832E-14</v>
      </c>
      <c r="GD9" s="303">
        <f>Kr86cc*SQRT((Kr_sensitivityerr/Kr_sensitivity)^2+(YKrerr/YKr)^2+(Kr86ACerr/Kr86AC)^2)</f>
        <v>4.2003909623655036E-14</v>
      </c>
      <c r="GE9" s="303">
        <f>Kr80cc/MV</f>
        <v>9.3375325031664029E-15</v>
      </c>
      <c r="GF9" s="303">
        <f>Kr80_mole*SQRT((MVerr/MV)^2+(Kr80ccerr/Kr80cc)^2)</f>
        <v>4.7736583776683434E-16</v>
      </c>
      <c r="GG9" s="303">
        <f>Kr82cc/MV</f>
        <v>3.4644611397355853E-15</v>
      </c>
      <c r="GH9" s="303">
        <f>Kr82_mole*SQRT((MVerr/MV)^2+(Kr82ccerr/Kr82cc)^2)</f>
        <v>1.7722348054849779E-16</v>
      </c>
      <c r="GI9" s="303">
        <f>Kr84cc/MV</f>
        <v>-4.9129768671395853E-18</v>
      </c>
      <c r="GJ9" s="303">
        <f>Kr84_mole*SQRT((MVerr/MV)^2+(Kr84ccerr/Kr84cc)^2)</f>
        <v>-6.1402570833878268E-18</v>
      </c>
      <c r="GK9" s="268">
        <f>Kr80_mole/Kr82_mole</f>
        <v>2.695233725115203</v>
      </c>
      <c r="GL9" s="268">
        <f>Kr8082_mole*SQRT(Kr80_moleerr/Kr80_mole)^2+(Kr82_moleerr/Kr82_mole)^2</f>
        <v>0.14040615052487843</v>
      </c>
      <c r="GM9" s="303">
        <f>(Kr80_mole/Ar38_mole)*Br79_Constant</f>
        <v>3.3217366121049167E-3</v>
      </c>
      <c r="GN9" s="303">
        <f>Br79_Cl_meas*SQRT((Kr80_moleerr/Kr80_mole)^2+(Ar38CCerr/Ar38CC)^2+(MVerr/MV)^2+(Br79_Constanterr/Br79_Constant)^2)</f>
        <v>1.7784258924824587E-4</v>
      </c>
      <c r="GO9" s="305">
        <f>IF(Scapolite="BB2",Br79_Cl_meas/BB2_SP_BrCl,Br79_Cl_meas/BB1_BrCl)</f>
        <v>3.4244707341287799</v>
      </c>
      <c r="GP9" s="305">
        <f>IF(Scapolite="BB2",Br79_Factor*SQRT((Br79_Cl_measerr/Br79_Cl_meas)^2+(BB2_SP_BrClerr/BB2_SP_BrCl)^2),Br79_Factor*SQRT((Br79_Cl_measerr/Br79_Cl_meas)^2+(BB1_BrClerr/BB1_BrCl)^2))</f>
        <v>0.28014918262609129</v>
      </c>
      <c r="GQ9" s="313">
        <f>IF(Scapolite="BB2",(Kr80cc/Ar38CC)*(BB2_SP_Cl/BB2_SP_Br),(Kr80cc/Ar38CC)*(BB1_Cl/BB1_Br))</f>
        <v>72.857207849436691</v>
      </c>
      <c r="GR9" s="313">
        <f>IF(Scapolite="BB2",Pi*SQRT((Kr80ccerr/Kr80cc)^2+(Ar38CCerr/Ar38CC)^2+(BB2_SP_Brerr/BB2_SP_Br)^2+(BB2_SP_Clerr/BB2_SP_Cl)^2),Pi*SQRT((Kr80ccerr/Kr80cc)^2+(Ar38CCerr/Ar38CC)^2+(BB1_Brerr/BB1_Br)^2+(BB1_Clerr/BB1_Cl)^2))</f>
        <v>7.1377383832708343</v>
      </c>
      <c r="GS9" s="303">
        <f>Pi*Cl38_Prod</f>
        <v>2.6867635517375855E-5</v>
      </c>
      <c r="GT9" s="303">
        <f>GS9*SQRT((Pi_err/Pi)^2+(Cl38_Proderr/Cl38_Prod)^2)</f>
        <v>2.6764808730836844E-6</v>
      </c>
      <c r="GU9" s="303">
        <f>(Kr82_mole/Ar38_mole)*Br81_Constant</f>
        <v>5.3609438954496857E-3</v>
      </c>
      <c r="GV9" s="303">
        <f>GU9*SQRT((Kr82_moleerr/Kr82_mole)^2+(Ar38_moleerr/Ar38_mole)^2+(Br81_Constanterr/Br81_Constant)^2)</f>
        <v>2.9413246210635796E-4</v>
      </c>
      <c r="GW9" s="305">
        <f>IF(Scapolite="BB2",GU9/BB2_SP_BrCl,GU9/BB1_BrCl)</f>
        <v>5.5267462839687482</v>
      </c>
      <c r="GX9" s="305">
        <f>IF(Scapolite="BB2",GW9*SQRT((GV9/GU9)^2+(BB2_SP_BrClerr/BB2_SP_BrCl)^2),GW9*SQRT((GV9/GU9)^2+(BB1_BrClerr/BB1_BrCl)^2))</f>
        <v>0.45696465991770346</v>
      </c>
      <c r="GY9" s="313">
        <f>IF(Scapolite="BB2",(Kr82cc/Ar38CC)*(BB2_SP_Cl/BB2_SP_Br),(Kr82cc/Ar38CC)*(BB1_Cl/BB1_Br))</f>
        <v>27.031870064004391</v>
      </c>
      <c r="GZ9" s="313">
        <f>IF(Scapolite="BB2",Pi_prime*SQRT((Kr82ccerr/Kr82cc)^2+(Ar38CCerr/Ar38CC)^2+(BB2_SP_Brerr/BB2_SP_Br)^2+(BB2_SP_Clerr/BB2_SP_Cl)^2),Pi_prime*SQRT((Kr82ccerr/Kr82cc)^2+(Ar38CCerr/Ar38CC)^2+(BB1_Brerr/BB1_Br)^2+(BB1_Clerr/BB1_Cl)^2))</f>
        <v>2.6487243110161502</v>
      </c>
      <c r="HA9" s="303">
        <f>Pi_prime*Cl38_Prod</f>
        <v>9.9685735107174966E-6</v>
      </c>
      <c r="HB9" s="303">
        <f>Br81_Prod*SQRT((Pi_primeerr/Pi_prime)^2+(Cl38_Proderr/Cl38_Prod)^2)</f>
        <v>9.9320270726529564E-7</v>
      </c>
      <c r="HC9" s="268"/>
      <c r="HD9" s="268"/>
      <c r="HE9" s="302" t="e">
        <f>(Kr80_mole/Br79_FactorSW)/(Y_79Br*Br79_Abun*(Therm_CS_79Br*Therm_Flux))*(MW_Br/Sample_Mass*10^6)</f>
        <v>#DIV/0!</v>
      </c>
      <c r="HF9" s="302" t="e">
        <f>HE9*SQRT((Kr80_moleerr/Kr80_mole)^2+(Sample_Masserr/Sample_Mass)^2+(Br79Factor_SWerr/Br79_FactorSW)^2+(Therm_CS_79Brerr/Therm_CS_79Br)^2+(Br79_Abunerr/Br79_Abun)^2+(Therm_Fluxerr/Therm_Flux)^2)</f>
        <v>#DIV/0!</v>
      </c>
      <c r="HG9" s="268"/>
      <c r="HH9" s="268"/>
      <c r="HI9" s="302" t="e">
        <f>(Kr82_mole/Br81_FactorSW)/(Y_81Br*Br81_Abun*(Therm_CS_81Br*Therm_Flux))*(MW_Br/Sample_Mass*10^6)</f>
        <v>#DIV/0!</v>
      </c>
      <c r="HJ9" s="302" t="e">
        <f>HI9*SQRT((Kr82_moleerr/Kr82_mole)^2+(Sample_Masserr/Sample_Mass)^2+(Br81_FactorSWerr/Br81_FactorSW)^2+(Therm_CS_81Brerr/Therm_CS_81Br)^2+(Br81_Abunerr/Br81_Abun)^2+(Therm_Fluxerr/Therm_Flux)^2)</f>
        <v>#DIV/0!</v>
      </c>
      <c r="HK9" s="269">
        <v>0.26481500000000002</v>
      </c>
      <c r="HL9" s="269">
        <v>3.872E-3</v>
      </c>
      <c r="HM9" s="269">
        <v>3.7330000000000002E-3</v>
      </c>
      <c r="HN9" s="269">
        <v>3.28E-4</v>
      </c>
      <c r="HO9" s="269">
        <v>1.8860000000000001E-3</v>
      </c>
      <c r="HP9" s="269">
        <v>2.4399999999999999E-4</v>
      </c>
      <c r="HQ9" s="269">
        <v>0.13522899999999999</v>
      </c>
      <c r="HR9" s="269">
        <v>1.622E-3</v>
      </c>
      <c r="HS9" s="269">
        <v>3.1970000000000002E-3</v>
      </c>
      <c r="HT9" s="269">
        <v>2.7900000000000001E-4</v>
      </c>
      <c r="HU9" s="269">
        <v>2.833E-3</v>
      </c>
      <c r="HV9" s="269">
        <v>3.3E-4</v>
      </c>
      <c r="HW9" s="269">
        <v>2.8170000000000001E-3</v>
      </c>
      <c r="HX9" s="269">
        <v>3.88E-4</v>
      </c>
      <c r="HY9" s="269">
        <v>4.7749999999999997E-3</v>
      </c>
      <c r="HZ9" s="301">
        <v>2.03E-4</v>
      </c>
      <c r="IA9" s="269">
        <v>3.565E-3</v>
      </c>
      <c r="IB9" s="301">
        <v>1.8000000000000001E-4</v>
      </c>
      <c r="IC9" s="269">
        <v>1.7930000000000001E-3</v>
      </c>
      <c r="ID9" s="301">
        <v>2.13E-4</v>
      </c>
      <c r="IE9" s="269">
        <v>2.9290000000000002E-3</v>
      </c>
      <c r="IF9" s="301">
        <v>4.2900000000000002E-4</v>
      </c>
      <c r="IG9" s="269">
        <v>2.134E-3</v>
      </c>
      <c r="IH9" s="301">
        <v>2.4800000000000001E-4</v>
      </c>
      <c r="II9" s="269">
        <v>1.6819999999999999E-3</v>
      </c>
      <c r="IJ9" s="301">
        <v>3.5599999999999998E-4</v>
      </c>
      <c r="IK9" s="269">
        <v>1.8500000000000001E-3</v>
      </c>
      <c r="IL9" s="301">
        <v>2.41E-4</v>
      </c>
      <c r="IM9" s="269">
        <f>Xe128Raw-Xe128Blank</f>
        <v>0.26004000000000005</v>
      </c>
      <c r="IN9" s="269">
        <f>SQRT(Xe128Rawerr^2+Xe128Blankerr^2)</f>
        <v>3.8773177584510662E-3</v>
      </c>
      <c r="IO9" s="269">
        <f>Xe129Raw-Xe129Blank</f>
        <v>1.6800000000000018E-4</v>
      </c>
      <c r="IP9" s="269">
        <f>SQRT(Xe129Rawerr^2+Xe129Blankerr^2)</f>
        <v>3.7414435716712343E-4</v>
      </c>
      <c r="IQ9" s="269">
        <f>Xe130Raw-Xe130Blank</f>
        <v>9.2999999999999984E-5</v>
      </c>
      <c r="IR9" s="269">
        <f>SQRT(Xe130Rawerr^2+Xe130Blankerr^2)</f>
        <v>3.2389041356607019E-4</v>
      </c>
      <c r="IS9" s="269">
        <f>Xe131Raw-Xe131Blank</f>
        <v>0.1323</v>
      </c>
      <c r="IT9" s="269">
        <f>SQRT(Xe131Rawerr^2+Xe131Blankerr^2)</f>
        <v>1.6777738226590616E-3</v>
      </c>
      <c r="IU9" s="269">
        <f>Xe132Raw-Xe132Blank</f>
        <v>1.0630000000000001E-3</v>
      </c>
      <c r="IV9" s="269">
        <f>SQRT(Xe132Rawerr^2+Xe132Blankerr^2)</f>
        <v>3.7328943194256116E-4</v>
      </c>
      <c r="IW9" s="269">
        <f>Xe134Raw-Xe134Blank</f>
        <v>1.1510000000000001E-3</v>
      </c>
      <c r="IX9" s="269">
        <f>SQRT(Xe134Rawerr^2+Xe134Blankerr^2)</f>
        <v>4.8542352641791064E-4</v>
      </c>
      <c r="IY9" s="269">
        <f>Xe136Raw-Xe136Blank</f>
        <v>9.6699999999999998E-4</v>
      </c>
      <c r="IZ9" s="269">
        <f>SQRT(Xe136Rawerr^2+Xe136Blankerr^2)</f>
        <v>4.5675485766437119E-4</v>
      </c>
      <c r="JA9" s="269">
        <f>Xe128BC-(Xe130BC*Xe128130_Air)</f>
        <v>0.25999614134740506</v>
      </c>
      <c r="JB9" s="269">
        <f>SQRT(Xe128BCerr^2+(Xe130BCerr*Xe128130_Air)^2)</f>
        <v>3.880325296073388E-3</v>
      </c>
      <c r="JC9" s="269">
        <f>Xe129BC-(Xe130BC*Xe129130_Air)</f>
        <v>-4.3582430645399968E-4</v>
      </c>
      <c r="JD9" s="269">
        <f>SQRT(Xe129BCerr^2+(Xe130BCerr*Xe129130_Air)^2)</f>
        <v>2.1359581744722603E-3</v>
      </c>
      <c r="JE9" s="269">
        <f>Xe131BC-(Xe130BC*Xe131130_Air)</f>
        <v>0.13181534346103801</v>
      </c>
      <c r="JF9" s="269">
        <f>SQRT(Xe131BCerr^2+(Xe130BCerr*Xe131130_Air)^2)</f>
        <v>2.379908470399868E-3</v>
      </c>
      <c r="JG9" s="269">
        <f>Xe132BC-(Xe130BC*Xe132130_Air)</f>
        <v>4.487331572050002E-4</v>
      </c>
      <c r="JH9" s="269">
        <f>SQRT(Xe132BCerr^2+(Xe130BCerr*Xe132130_Air)^2)</f>
        <v>2.1716262597866846E-3</v>
      </c>
      <c r="JI9" s="269">
        <f>Xe134BC-(Xe130BC*Xe134130_Air)</f>
        <v>9.116202113540002E-4</v>
      </c>
      <c r="JJ9" s="269">
        <f>SQRT(Xe134BCerr^2+(Xe130BCerr*Xe134130_Air)^2)</f>
        <v>9.6471172819037566E-4</v>
      </c>
      <c r="JK9" s="269">
        <f>Xe136BC-(Xe130BC*Xe136130_Air)</f>
        <v>7.6466050198899997E-4</v>
      </c>
      <c r="JL9" s="269">
        <f>SQRT(Xe136BCerr^2+(Xe130BCerr*Xe136130_Air)^2)</f>
        <v>8.3976648417247071E-4</v>
      </c>
      <c r="JM9" s="303">
        <v>1.0646974269079652E-12</v>
      </c>
      <c r="JN9" s="303">
        <v>1.7365359098361633E-14</v>
      </c>
      <c r="JO9" s="301">
        <v>1</v>
      </c>
      <c r="JP9" s="301">
        <v>0</v>
      </c>
      <c r="JQ9" s="303">
        <f>(Xe128AC*Xe_Sensitivity)/YXe</f>
        <v>2.7681722269858178E-13</v>
      </c>
      <c r="JR9" s="303">
        <f>Xe128CC*SQRT((Xe_Sensitivityerr/Xe_Sensitivity)^2+(YXeerr/YXe)^2+(Xe128ACerr/Xe128AC)^2)</f>
        <v>6.1198690825249007E-15</v>
      </c>
      <c r="JS9" s="303">
        <f>Xe128CC/MV</f>
        <v>1.2350213795248773E-17</v>
      </c>
      <c r="JT9" s="303">
        <f>Xe128mole*SQRT((Xe128CCerr/Xe128CC)^2+(MVerr/MV)^2)</f>
        <v>2.7303825555834025E-19</v>
      </c>
      <c r="JU9" s="268"/>
      <c r="JV9" s="268"/>
      <c r="JW9" s="303" t="e">
        <f>(Xe128mole/IFactor_SW)/((Therm_CS_127I*Therm_Flux)*I127_Abun*Y_127I)</f>
        <v>#DIV/0!</v>
      </c>
      <c r="JX9" s="303" t="e">
        <f>I_mole*SQRT((Xe128CCerr/Xe128CC)^2+(IFactor_SWerr/IFactor_SW)^2+(Therm_CS_127Ierr/Therm_CS_127I)^2+(Therm_Fluxerr/Therm_Flux)^2)</f>
        <v>#DIV/0!</v>
      </c>
      <c r="JY9" s="302" t="e">
        <f>I_mole*MW_I/Sample_Mass*10^9</f>
        <v>#DIV/0!</v>
      </c>
      <c r="JZ9" s="302" t="e">
        <f>JY9*SQRT(I_moleerr/I_mole)^2+(MVerr/MV)^2+(Sample_Masserr/Sample_Mass)</f>
        <v>#DIV/0!</v>
      </c>
      <c r="KA9" s="268">
        <f>Xe131AC-Xe131136_nf/Xe134136_nf*Xe134AC</f>
        <v>0.13148391171485554</v>
      </c>
      <c r="KB9" s="268">
        <f>SQRT(Xe131ACerr^2+(Xe131136_nf/Xe134136_nf*Xe134AC)^2*((Xe131136_nferr/Xe131136_nf)^2+(Xe134136_nferr/Xe134136_nf)^2+(Xe134ACerr/Xe134AC)^2))</f>
        <v>2.4056518333175655E-3</v>
      </c>
      <c r="KC9" s="303">
        <f>(Xe131Ba*Xe_Sensitivity)/YXe</f>
        <v>1.3999058248260077E-13</v>
      </c>
      <c r="KD9" s="303">
        <f>Xe131Bacc*SQRT((Xe_Sensitivityerr/Xe_Sensitivity)^2+(YXeerr/YXe)^2+(Xe131Baerr/Xe131Ba)^2)</f>
        <v>3.4312554313308238E-15</v>
      </c>
      <c r="KE9" s="303">
        <f>Xe131Bacc/MV</f>
        <v>6.2456866163421164E-18</v>
      </c>
      <c r="KF9" s="303">
        <f>Xe131mole*SQRT((Xe131CCerr/Xe131CC)^2+(MVerr/MV)^2)</f>
        <v>1.5308562726623126E-19</v>
      </c>
      <c r="KG9" s="305"/>
      <c r="KH9" s="305"/>
      <c r="KI9" s="303" t="e">
        <f>(Xe131mole/Ba_FactorSW)/((Therm_CS_130Ba*Therm_Flux)*Ba130_Abun*Y_130Ba)</f>
        <v>#DIV/0!</v>
      </c>
      <c r="KJ9" s="303" t="e">
        <f>Ba_mole*SQRT((Xe131moleerr/Xe131mole)^2+(Ba_FactorSWerr/Ba_FactorSW)^2+(Therm_CS_130Baerr/Therm_CS_130Ba)^2+(Therm_Fluxerr/Therm_Flux)^2)</f>
        <v>#DIV/0!</v>
      </c>
      <c r="KK9" s="302" t="e">
        <f>Ba_mole*MW_Ba/Sample_Mass*10^6</f>
        <v>#DIV/0!</v>
      </c>
      <c r="KL9" s="302" t="e">
        <f>KK9*SQRT(I_moleerr/I_mole)^2+(MVerr/MV)^2+(Sample_Masserr/Sample_Mass)</f>
        <v>#DIV/0!</v>
      </c>
      <c r="KM9" s="303">
        <f>(Xe134AC*Xe_Sensitivity)/YXe</f>
        <v>9.7059969334589938E-16</v>
      </c>
      <c r="KN9" s="303">
        <f>Xe134CC*SQRT((Xe_Sensitivityerr/Xe_Sensitivity)^2+(YXeerr/YXe)^2+(Xe134ACerr/Xe134AC)^2)</f>
        <v>1.0272480823664676E-15</v>
      </c>
      <c r="KO9" s="303">
        <f>Xe134CC/MV</f>
        <v>4.3303352318786809E-20</v>
      </c>
      <c r="KP9" s="303">
        <f>Xe134mole*SQRT((Xe134CCerr/Xe134CC)^2+(MVerr/MV)^2)</f>
        <v>4.5830722938078597E-20</v>
      </c>
      <c r="KQ9" s="303">
        <f>Xe134mole/((Therm_CS_235U*Therm_Flux)*U235_Abun*Y_235U)</f>
        <v>4.0008292997708071E-14</v>
      </c>
      <c r="KR9" s="303">
        <f>U_mole*SQRT((Xe134moleerr/Xe134mole)^2+(Therm_CS_235Uerr/Therm_CS_235U)^2+(Therm_Fluxerr/Therm_Flux)^2)</f>
        <v>4.2353588606666532E-14</v>
      </c>
      <c r="KS9" s="302">
        <f>U_mole*MW_U/Sample_Mass*10^9</f>
        <v>9.0696479744810325</v>
      </c>
      <c r="KT9" s="302">
        <f>KS9*SQRT((U_moleerr/U_mole)^2+(MVerr/MV)^2+(Sample_Masserr/Sample_Mass)^2)</f>
        <v>9.6030262181639561</v>
      </c>
      <c r="KU9" s="303">
        <f>(Xe128mole/Ar38_mole)*I127_Constant</f>
        <v>6.0999599701154831E-6</v>
      </c>
      <c r="KV9" s="303">
        <f>KU9*SQRT((Xe128moleerr/Xe128mole)^2+(Ar38_moleerr/Ar38_mole)^2+(I127_Constanterr/I127_Constant)^2)</f>
        <v>1.6824984830782084E-7</v>
      </c>
      <c r="KW9" s="305">
        <f>IF(Scapolite="BB2",KU9/BB2_SP_ICl,KU9/BB1_ICl)</f>
        <v>5.1260167816096498</v>
      </c>
      <c r="KX9" s="305">
        <f>IF(Scapolite="BB2",KW9*SQRT((KV9/KU9)^2+(BB2_SP_IClerr/BB2_SP_ICl)^2),KW9*SQRT((KV9/KU9)^2+(BB1_IClerr/BB1_ICl)^2))</f>
        <v>0.16556633131615647</v>
      </c>
      <c r="KY9" s="313">
        <f>IF(Scapolite="BB2",(Xe128CC/Ar38CC)*(BB2_SP_Cl/BB2_SP_I),(Xe128CC/Ar38CC)*(BB1_Cl/BB1_I))</f>
        <v>79.00308417534859</v>
      </c>
      <c r="KZ9" s="313">
        <f>IF(Scapolite="BB2",Omega*SQRT((Xe128CCerr/Xe128CC)^2+(Ar38CCerr/Ar38CC)^2+(BB2_SP_Ierr/BB2_SP_I)^2+(BB2_SP_Clerr/BB2_SP_Cl)^2),Omega*SQRT((Xe128CCerr/Xe128CC)^2+(Ar38CCerr/Ar38CC)^2+(BB1_Ierr/BB1_I)^2+(BB1_Ierr/BB1_I)^2))</f>
        <v>4.6531552329948909</v>
      </c>
      <c r="LA9" s="303">
        <f>Omega*Cl38_Prod</f>
        <v>2.913405732976139E-5</v>
      </c>
      <c r="LB9" s="303">
        <f>I127_Prod*SQRT((Omegaerr/Omega)^2+(Cl38_Proderr/Cl38_Prod)^2)</f>
        <v>1.7946969693615031E-6</v>
      </c>
      <c r="LC9" s="303"/>
      <c r="LD9" s="266" t="str">
        <f>Scapolite</f>
        <v>BB2</v>
      </c>
      <c r="LE9" s="266" t="str">
        <f>Irradiation</f>
        <v>MN19a</v>
      </c>
      <c r="LF9" s="315">
        <f>Tube</f>
        <v>4</v>
      </c>
      <c r="LG9" s="315">
        <f>K_ppm</f>
        <v>4020.4738387282041</v>
      </c>
      <c r="LH9" s="315">
        <f>K_ppmerr</f>
        <v>80.409610412261614</v>
      </c>
      <c r="LI9" s="315">
        <f>Cl_ppm</f>
        <v>13264.629359355717</v>
      </c>
      <c r="LJ9" s="315">
        <f>Cl_ppmerr</f>
        <v>265.2929442589388</v>
      </c>
      <c r="LK9" s="315">
        <f>Ca_ppm</f>
        <v>5725.238898968586</v>
      </c>
      <c r="LL9" s="315">
        <f>Ca_ppmerr</f>
        <v>114.52075560398947</v>
      </c>
      <c r="LM9" s="315" t="e">
        <f>Br79_ppm</f>
        <v>#DIV/0!</v>
      </c>
      <c r="LN9" s="315" t="e">
        <f>Br79_ppmerr</f>
        <v>#DIV/0!</v>
      </c>
      <c r="LO9" s="315" t="e">
        <f>Br81_ppm</f>
        <v>#DIV/0!</v>
      </c>
      <c r="LP9" s="315" t="e">
        <f>Br81_ppmerr</f>
        <v>#DIV/0!</v>
      </c>
      <c r="LQ9" s="315" t="e">
        <f>I_ppb</f>
        <v>#DIV/0!</v>
      </c>
      <c r="LR9" s="315" t="e">
        <f>I_ppberr</f>
        <v>#DIV/0!</v>
      </c>
      <c r="LS9" s="308">
        <f>Br79_Factor</f>
        <v>3.4244707341287799</v>
      </c>
      <c r="LT9" s="308">
        <f>Br79_Factorerr</f>
        <v>0.28014918262609129</v>
      </c>
      <c r="LU9" s="316">
        <f>Pi</f>
        <v>72.857207849436691</v>
      </c>
      <c r="LV9" s="316">
        <f>Pi_err</f>
        <v>7.1377383832708343</v>
      </c>
      <c r="LW9" s="266">
        <f>Br79_Prod</f>
        <v>2.6867635517375855E-5</v>
      </c>
      <c r="LX9" s="266">
        <f>Br79_Proderr</f>
        <v>2.6764808730836844E-6</v>
      </c>
      <c r="LY9" s="308">
        <f>Br81_Factor</f>
        <v>5.5267462839687482</v>
      </c>
      <c r="LZ9" s="308">
        <f>Br81_Factorerr</f>
        <v>0.45696465991770346</v>
      </c>
      <c r="MA9" s="307">
        <f>Pi_prime</f>
        <v>27.031870064004391</v>
      </c>
      <c r="MB9" s="307">
        <f>Pi_primeerr</f>
        <v>2.6487243110161502</v>
      </c>
      <c r="MC9" s="266">
        <f>Br81_Prod</f>
        <v>9.9685735107174966E-6</v>
      </c>
      <c r="MD9" s="266">
        <f>Br81_Proderr</f>
        <v>9.9320270726529564E-7</v>
      </c>
      <c r="ME9" s="308">
        <f>I_Factor</f>
        <v>5.1260167816096498</v>
      </c>
      <c r="MF9" s="308">
        <f>I_Factorerr</f>
        <v>0.16556633131615647</v>
      </c>
      <c r="MG9" s="315">
        <f>Omega</f>
        <v>79.00308417534859</v>
      </c>
      <c r="MH9" s="315">
        <f>Omegaerr</f>
        <v>4.6531552329948909</v>
      </c>
      <c r="MI9" s="266">
        <f>I127_Prod</f>
        <v>2.913405732976139E-5</v>
      </c>
      <c r="MJ9" s="266">
        <f>I127_Proderr</f>
        <v>1.7946969693615031E-6</v>
      </c>
    </row>
    <row r="10" spans="1:348" s="271" customFormat="1" hidden="1">
      <c r="A10" s="271" t="s">
        <v>842</v>
      </c>
      <c r="B10" s="271" t="s">
        <v>794</v>
      </c>
      <c r="C10" s="271">
        <v>5.2999999999999998E-4</v>
      </c>
      <c r="D10" s="298">
        <f t="shared" si="0"/>
        <v>1.06E-5</v>
      </c>
      <c r="E10" s="299">
        <v>44232</v>
      </c>
      <c r="F10" s="271" t="s">
        <v>210</v>
      </c>
      <c r="G10" s="271" t="s">
        <v>834</v>
      </c>
      <c r="H10" s="271">
        <v>4</v>
      </c>
      <c r="I10" s="271">
        <v>19</v>
      </c>
      <c r="J10" s="299">
        <v>43831</v>
      </c>
      <c r="K10" s="299" t="s">
        <v>322</v>
      </c>
      <c r="L10" s="271" t="s">
        <v>832</v>
      </c>
      <c r="M10" s="309"/>
      <c r="N10" s="271">
        <v>120</v>
      </c>
      <c r="O10" s="268">
        <v>485.331298</v>
      </c>
      <c r="P10" s="268">
        <v>0.31187799999999999</v>
      </c>
      <c r="Q10" s="268">
        <v>1319.5934999999999</v>
      </c>
      <c r="R10" s="268">
        <v>4.3408429999999996</v>
      </c>
      <c r="S10" s="268">
        <v>3932.2826890000001</v>
      </c>
      <c r="T10" s="268">
        <v>13.321342</v>
      </c>
      <c r="U10" s="268">
        <v>0.53192799999999996</v>
      </c>
      <c r="V10" s="268">
        <v>3.7865999999999997E-2</v>
      </c>
      <c r="W10" s="268">
        <v>3.463171</v>
      </c>
      <c r="X10" s="268">
        <v>8.0466999999999997E-2</v>
      </c>
      <c r="Y10" s="268">
        <v>63.499560000000002</v>
      </c>
      <c r="Z10" s="268">
        <v>0.282914</v>
      </c>
      <c r="AA10" s="268">
        <v>0.727634</v>
      </c>
      <c r="AB10" s="268">
        <v>3.4834999999999998E-2</v>
      </c>
      <c r="AC10" s="268">
        <v>0.60790699999999998</v>
      </c>
      <c r="AD10" s="268">
        <v>0.124124</v>
      </c>
      <c r="AE10" s="268">
        <v>0.14067099999999999</v>
      </c>
      <c r="AF10" s="268">
        <v>1.9252999999999999E-2</v>
      </c>
      <c r="AG10" s="268">
        <v>0.162019</v>
      </c>
      <c r="AH10" s="268">
        <v>3.8245000000000001E-2</v>
      </c>
      <c r="AI10" s="270">
        <f>Ar40Raw-Ar40Blank</f>
        <v>421.83173799999997</v>
      </c>
      <c r="AJ10" s="270">
        <f>SQRT(Ar40Blankerr^2+Ar40Rawerr^2)</f>
        <v>0.4210798241188955</v>
      </c>
      <c r="AK10" s="270">
        <f>Ar39Raw-Ar39Blank</f>
        <v>1318.8658659999999</v>
      </c>
      <c r="AL10" s="270">
        <f>SQRT(Ar39Blankerr^2+Ar39Rawerr^2)</f>
        <v>4.3409827721236116</v>
      </c>
      <c r="AM10" s="270">
        <f>Ar38Raw-Ar38Blank</f>
        <v>3931.6747820000001</v>
      </c>
      <c r="AN10" s="270">
        <f>SQRT(Ar38Blankerr^2+Ar38Rawerr^2)</f>
        <v>13.321920261296416</v>
      </c>
      <c r="AO10" s="270">
        <f>Ar37Raw-Ar37Blank</f>
        <v>0.39125699999999997</v>
      </c>
      <c r="AP10" s="270">
        <f>SQRT(Ar37Blankerr^2+Ar37Rawerr^2)</f>
        <v>4.2479547608231416E-2</v>
      </c>
      <c r="AQ10" s="270">
        <f>Ar36Raw-Ar36Blank</f>
        <v>3.3011520000000001</v>
      </c>
      <c r="AR10" s="270">
        <f>SQRT(Ar36Blankerr^2+Ar36Rawerr^2)</f>
        <v>8.909331127531403E-2</v>
      </c>
      <c r="AS10" s="271">
        <v>303</v>
      </c>
      <c r="AT10" s="271">
        <v>0.5</v>
      </c>
      <c r="AU10" s="270">
        <f>Ar39BC*(1+(Ar4036_Aircal/Ar4036_Air-1)/4)</f>
        <v>1327.2343042360403</v>
      </c>
      <c r="AV10" s="270">
        <f>SQRT(Ar39BCerr^2+(Ar39BC*(Ar4036_Aircal/Ar4036_Air-1)/4)^2*((Ar4036_Aircalerr/Ar4036_Aircal)^2+(Ar39BCerr/Ar39BC)^2+(Ar4036_airerr/Ar4036_Air)^2))</f>
        <v>4.3411009992518617</v>
      </c>
      <c r="AW10" s="270">
        <f>Ar38BC*(1+2*(Ar4036_Aircal/Ar4036_Air-1)/4)</f>
        <v>3981.5691320253804</v>
      </c>
      <c r="AX10" s="270">
        <f>SQRT(Ar38BCerr^2+(Ar38BC*(Ar4036_Aircal/Ar4036_Air-1)/4)^2*((Ar4036_Aircalerr/Ar4036_Aircal)^2+(Ar38BCerr/Ar38BC)^2+(Ar4036_airerr/Ar4036_Air)^2))</f>
        <v>13.322277748831418</v>
      </c>
      <c r="AY10" s="270">
        <f>Ar37BC*(1+3*(Ar4036_Aircal/Ar4036_Air-1)/4)</f>
        <v>0.39870478553299488</v>
      </c>
      <c r="AZ10" s="270">
        <f>SQRT(Ar37BCerr^2+(Ar37BC*(Ar4036_Aircal/Ar4036_Air-1)/3)^2*((Ar4036_Aircalerr/Ar4036_Aircal)^2+(Ar37BCerr/Ar37BC)^2+(Ar4036_airerr/Ar4036_Air)^2))</f>
        <v>4.2481068323857132E-2</v>
      </c>
      <c r="BA10" s="270">
        <f>Ar36BC*(1+4*(Ar4036_Aircal/Ar4036_Air-1)/4)</f>
        <v>3.3849375837563453</v>
      </c>
      <c r="BB10" s="270">
        <f>SQRT(Ar36BCerr^2+(Ar36BC*(Ar4036_Aircal/Ar4036_Air-1)/4)^2*((Ar4036_Aircalerr/Ar4036_Aircal)^2+(Ar36BCerr/Ar36BC)^2+(Ar4036_airerr/Ar4036_Air)^2))</f>
        <v>8.9095114177313903E-2</v>
      </c>
      <c r="BC10" s="268">
        <v>2279.2032462607435</v>
      </c>
      <c r="BD10" s="269">
        <v>1.0027995366556639</v>
      </c>
      <c r="BE10" s="270">
        <f>IF(Rad_Type="Continuous", Ar37_DC*EXP(lambda_37Ar*(Run_Date-Rad_Date)),Ar37_DC*Ar37_DecayFactor)</f>
        <v>908.72924148649543</v>
      </c>
      <c r="BF10" s="270">
        <f>IF(Rad_Type="Continuous", (Ar37_DCerr*EXP(lambda_37Ar*(Run_Date-Rad_Date))), Ar37_DCerr*Ar37_DecayFactor)</f>
        <v>96.822988828359613</v>
      </c>
      <c r="BG10" s="270">
        <f>IF(Rad_Type="Continuous", Ar39_DC*EXP(lambda_39Ar*(Run_Date-Rad_Date)), Ar39_DC*Ar39_DecayFactor)</f>
        <v>1330.9499453214037</v>
      </c>
      <c r="BH10" s="270">
        <f>IF(Rad_Type="Continuous", (Ar39_DCerr*EXP(lambda_39Ar*(Run_Date-Rad_Date))), Ar39_DCerr*Ar39_DecayFactor)</f>
        <v>4.3532540706252068</v>
      </c>
      <c r="BI10" s="302">
        <f>Ar40BC-(Salt_40Ar39Ar_K*Ar39_IC)</f>
        <v>248.6291867957261</v>
      </c>
      <c r="BJ10" s="270">
        <f>SQRT(Ar40BCerr^2+(Ar39_ICerr*Salt_40Ar39Ar_K)^2)</f>
        <v>0.70623929541643915</v>
      </c>
      <c r="BK10" s="302">
        <f>Ar39_DecayCor-(Salt_39Ar37Ar_Ca*Ar37_DecayCor)</f>
        <v>1330.1194867802899</v>
      </c>
      <c r="BL10" s="270">
        <f>SQRT(Ar39_DecayCorerr^2+(Ar37_DecayCorerr*Salt_39Ar37Ar_Ca)^2)</f>
        <v>4.3541532265614045</v>
      </c>
      <c r="BM10" s="302">
        <f>Ar38_DC-(Salt_38Ar39Ar_K*Ar39_DecayCor)</f>
        <v>3961.0164714427465</v>
      </c>
      <c r="BN10" s="270">
        <f>SQRT(Ar38_DCerr^2+(Ar39_DecayCorerr*Salt_38Ar39Ar_K)^2)</f>
        <v>13.322447350234398</v>
      </c>
      <c r="BO10" s="270">
        <f>Ar36_DC-(Salt_36Ar37Ar_Ca*Ar37_DecayCor)</f>
        <v>3.067946337391104</v>
      </c>
      <c r="BP10" s="270">
        <f>SQRT(Ar36_DCerr^2+(Ar37_DecayCorerr*Salt_36Ar37Ar_Ca)^2)</f>
        <v>9.5282046690692984E-2</v>
      </c>
      <c r="BQ10" s="310">
        <v>1.0000023837007155</v>
      </c>
      <c r="BR10" s="268">
        <f>IF(Rad_Type="Continuous", BO10-((EXP(lambda_36Ar*(Run_Date-Rad_Date))-1)*Cl3638_PR*BT10),BO10*Ar36_DecayFactor)</f>
        <v>3.0679536504569835</v>
      </c>
      <c r="BS10" s="268">
        <f>IF(K:K="Continuous", SQRT(BP10^2+(((EXP(lambda_36Ar*(Run_Date-Rad_Date))-1)*Cl3638_PR)*BU10^2)), Ar36_ICerr*Ar36_DecayFactor)</f>
        <v>9.5282273814575852E-2</v>
      </c>
      <c r="BT10" s="302">
        <f>IF(Rad_Type="Continuous", BM10-(Ar3836_Air*BO10)/(1-lambda_36Ar*(Run_Date-Rad_Date)),Ar38_IC-(Ar3836_Air*Ar36_IC)/Ar36_DecayFactor)</f>
        <v>3960.4396989061702</v>
      </c>
      <c r="BU10" s="268">
        <f>IF(Rad_Type ="Continuous", SQRT(BN10^2*(((EXP(lambda_36Ar*(Run_Date-Rad_Date))-1*0.188)*BP10^2))),SQRT(Ar38_ICerr^2*(((EXP(lambda_36Ar*(Ar36_DecayFactor))-1*0.188)*Ar36_ICerr^2))))</f>
        <v>1.1438606135528937</v>
      </c>
      <c r="BV10" s="302">
        <f>Ar40_IC-(Ar36_ClCor*Ar4036_Air)</f>
        <v>-657.95111691431248</v>
      </c>
      <c r="BW10" s="302">
        <f>SQRT(Ar40_ICerr^2+(Ar36_ClCorerr*Ar4036_Air)^2)</f>
        <v>28.164767876734924</v>
      </c>
      <c r="BX10" s="303">
        <v>1.3539467276583303E-12</v>
      </c>
      <c r="BY10" s="303">
        <v>6.1488073529408856E-15</v>
      </c>
      <c r="BZ10" s="303">
        <f>Ar_Sensitivity*Ar36_ClCor</f>
        <v>4.153845805643662E-12</v>
      </c>
      <c r="CA10" s="303">
        <f>Ar36CC*SQRT((Ar36_ClCorerr/Ar36_ClCor)^2+(Ar_sensitivityerr/Ar_Sensitivity)^2)</f>
        <v>1.3037905466476907E-13</v>
      </c>
      <c r="CB10" s="303">
        <f>Ar37_DecayCor*Ar_Sensitivity</f>
        <v>1.2303709828380771E-9</v>
      </c>
      <c r="CC10" s="311">
        <f>Ar37CC*SQRT((Ar37_DecayCorerr/Ar37_DecayCor)^2+(Ar_sensitivityerr/Ar_Sensitivity)^2)</f>
        <v>1.3121219537087192E-10</v>
      </c>
      <c r="CD10" s="303">
        <f>Ar_Sensitivity*Ar38_Cl</f>
        <v>5.362224370422152E-9</v>
      </c>
      <c r="CE10" s="303">
        <f>Ar38CC*SQRT((Ar38_Clerr/Ar38_Cl)^2+(Ar_sensitivityerr/Ar_Sensitivity)^2)</f>
        <v>2.4401178645601711E-11</v>
      </c>
      <c r="CF10" s="303">
        <f>Ar_Sensitivity*Ar39_IC</f>
        <v>1.8009109265207513E-9</v>
      </c>
      <c r="CG10" s="303">
        <f>Ar39CC*SQRT((Ar39_ICerr/Ar39_IC)^2+(Ar_sensitivityerr/Ar_Sensitivity)^2)</f>
        <v>1.008190225059198E-11</v>
      </c>
      <c r="CH10" s="303">
        <f>Ar_Sensitivity*BV10</f>
        <v>-8.9083076170527687E-10</v>
      </c>
      <c r="CI10" s="303">
        <f>Ar40CC*SQRT((BW10/BV10)^2+(Ar_sensitivityerr/Ar_Sensitivity)^2)</f>
        <v>-3.8347595604887374E-11</v>
      </c>
      <c r="CJ10" s="303">
        <f>Ar38CC/MV</f>
        <v>2.3923589994585305E-13</v>
      </c>
      <c r="CK10" s="303">
        <f>Ar38_mole*SQRT((Ar38CCerr/Ar38CC)^2+(MVerr/MV)^2)</f>
        <v>1.0886597757147714E-15</v>
      </c>
      <c r="CL10" s="303">
        <f>Ar40CC/MV</f>
        <v>-3.9744457570922841E-14</v>
      </c>
      <c r="CM10" s="303">
        <f>Ar40_mole*SQRT((Ar40CCerrr/Ar40CC)^2+(MVerr/MV)^2)</f>
        <v>-1.7108798350049901E-15</v>
      </c>
      <c r="CN10" s="298">
        <v>3.3680591711743944E-2</v>
      </c>
      <c r="CO10" s="298">
        <v>1.4939121278557756E-4</v>
      </c>
      <c r="CP10" s="303">
        <v>3.1991558920690447E+18</v>
      </c>
      <c r="CQ10" s="303">
        <v>7.4463843346153808E+16</v>
      </c>
      <c r="CR10" s="303">
        <v>6.2863679359943967E+18</v>
      </c>
      <c r="CS10" s="303">
        <v>6.60242669182872E+16</v>
      </c>
      <c r="CT10" s="268">
        <v>0.52916459827613271</v>
      </c>
      <c r="CU10" s="268">
        <v>7.7432785700430442E-3</v>
      </c>
      <c r="CV10" s="268">
        <v>0.90235286123626368</v>
      </c>
      <c r="CW10" s="268">
        <v>1.3458076792302986E-2</v>
      </c>
      <c r="CX10" s="303">
        <f>J*(lambda_e/lambda)*K40_Abun</f>
        <v>4.0867730880536126E-7</v>
      </c>
      <c r="CY10" s="303">
        <f>K39_Prod*SQRT((Jerr/J)^2+(lambda_eerr/lambda_e)^2+(lambda_err/lambda)^2+(K40_Abunerr/K40_Abun)^2)</f>
        <v>4.1529221570829847E-9</v>
      </c>
      <c r="CZ10" s="303">
        <f>K39_Prod*Beta</f>
        <v>3.6877113892285382E-7</v>
      </c>
      <c r="DA10" s="303">
        <f>Cl38_Prod*SQRT((K39_Proderr/K39_Prod)^2+(Betaerr/Beta)^2)</f>
        <v>6.6553085835934638E-9</v>
      </c>
      <c r="DB10" s="303">
        <f>K39_Prod*alpha</f>
        <v>2.1625756393856003E-7</v>
      </c>
      <c r="DC10" s="303">
        <f>Ca37_Prod*SQRT((K39_Prod/K39_Proderr)^2+(alphaerr/alpha)^2)</f>
        <v>2.1281294682004443E-5</v>
      </c>
      <c r="DD10" s="303">
        <f>K_constant*Ar39CC/J</f>
        <v>1.9660432929004111E-7</v>
      </c>
      <c r="DE10" s="303">
        <f>K_mole*SQRT((Ar39ccerr/Ar39CC)^2+(Jerr/J)^2+(K_Constanterr/K_constant)^2)</f>
        <v>2.2809791215164573E-9</v>
      </c>
      <c r="DF10" s="302">
        <f>K_mole*MW_K/Sample_Mass*10^6</f>
        <v>14503.575562039274</v>
      </c>
      <c r="DG10" s="302">
        <f>K_ppm*SQRT((Sample_Masserr/Sample_Mass)^2+(MW_Kerr/MW_K)^2)+(K_moleerr/K_mole)^2</f>
        <v>290.07164586803987</v>
      </c>
      <c r="DH10" s="301">
        <f>K_ppm/10^4</f>
        <v>1.4503575562039275</v>
      </c>
      <c r="DI10" s="269">
        <f>K_ppmerr/10^4</f>
        <v>2.9007164586803986E-2</v>
      </c>
      <c r="DJ10" s="303">
        <f>Cl_Constant*Ar38CC/(J*Beta)</f>
        <v>7.1544179961653407E-7</v>
      </c>
      <c r="DK10" s="303">
        <f>Cl_mole*SQRT((Ar38CCerr/Ar38CC)^2+(Jerr/J)^2+(Betaerr/Beta)^2+(Cl_Constanterr/Cl_Constant)^2)</f>
        <v>1.3315894393481331E-8</v>
      </c>
      <c r="DL10" s="302">
        <f>Cl_mole*MW_Cl/Sample_Mass*10^6</f>
        <v>47857.656833594308</v>
      </c>
      <c r="DM10" s="302">
        <f>Cl_ppm*SQRT((Sample_Masserr/Sample_Mass)^2+(MW_Clerr/MW_Cl)^2)+(Cl_moleerr/Cl_mole)^2</f>
        <v>957.153521158682</v>
      </c>
      <c r="DN10" s="301">
        <f>Cl_ppm/10^4</f>
        <v>4.7857656833594309</v>
      </c>
      <c r="DO10" s="269">
        <f>Cl_ppmerr/10^4</f>
        <v>9.5715352115868194E-2</v>
      </c>
      <c r="DP10" s="303">
        <f>Ca_Constant*Ar37CC/(J*alpha)</f>
        <v>2.4761463184035054E-7</v>
      </c>
      <c r="DQ10" s="303">
        <f>Ca_mole*SQRT((Ar37CCerr/Ar37CC)^2+(Jerr/J)^2+(alphaerr/alpha)^2+(Ca_Constanterr/Ca_Constant)^2)</f>
        <v>2.6772661880290672E-8</v>
      </c>
      <c r="DR10" s="302">
        <f>Ca_mole*MW_Ca/Sample_Mass*10^6</f>
        <v>18725.272536153305</v>
      </c>
      <c r="DS10" s="302">
        <f>Ca_ppm*SQRT((Sample_Masserr/Sample_Mass)^2+(MW_Caerr/MW_Ca)^2)+(Ca_moleerr/Ca_mole)^2</f>
        <v>374.52180377326459</v>
      </c>
      <c r="DT10" s="268">
        <f>Ca_ppm/10^4</f>
        <v>1.8725272536153306</v>
      </c>
      <c r="DU10" s="268">
        <f>Ca_ppmerr/10^4</f>
        <v>3.7452180377326456E-2</v>
      </c>
      <c r="DV10" s="268">
        <f>K_mole/Cl_mole</f>
        <v>0.27480128977006663</v>
      </c>
      <c r="DW10" s="268">
        <f>KCl_mol*SQRT(K_moleerr/K_mole)^2+(Cl_moleerr/Cl_mole)^2</f>
        <v>3.5346219001297407E-3</v>
      </c>
      <c r="DX10" s="268">
        <f>K_mole/Ca_mole</f>
        <v>0.79399318137549191</v>
      </c>
      <c r="DY10" s="268">
        <f>KCa_mol*SQRT(K_moleerr/K_mole)^2+(Ca_moleerr/Ca_mole)^2</f>
        <v>2.0902241061651387E-2</v>
      </c>
      <c r="DZ10" s="268">
        <f>K_ppm/Cl_ppm</f>
        <v>0.30305653309499891</v>
      </c>
      <c r="EA10" s="268">
        <f>KCl_wt*SQRT(K_ppmerr/K_ppm)^2+(Cl_ppmerr/Cl_ppm)^2</f>
        <v>6.4611337963352868E-3</v>
      </c>
      <c r="EB10" s="268">
        <f>K_ppm/Ca_ppm</f>
        <v>0.77454549908616255</v>
      </c>
      <c r="EC10" s="268">
        <f>KCa_wt*SQRT(K_ppmerr/K_ppm)^2+(Ca_ppmerr/Ca_ppm)^2</f>
        <v>1.5890952104663902E-2</v>
      </c>
      <c r="ED10" s="303">
        <f>Ar40_mole/Cl_mole</f>
        <v>-5.5552328075079299E-8</v>
      </c>
      <c r="EE10" s="303">
        <f>Ar40Cl_mol*SQRT((Ar40_moleerr/Ar40_mole)^2+(Cl_moleerr/Cl_mole)^2)</f>
        <v>-2.605312913500656E-9</v>
      </c>
      <c r="EF10" s="268">
        <f>Ar40_IC/Ar39_IC</f>
        <v>0.18692244513879139</v>
      </c>
      <c r="EG10" s="268">
        <f>Ar40Ar39*SQRT((CG10/CF10)^2+(CI10/CH10)^2)</f>
        <v>8.1142098720833004E-3</v>
      </c>
      <c r="EH10" s="303">
        <f>(CH10/MV)/K_mole</f>
        <v>-2.021545390909969E-7</v>
      </c>
      <c r="EI10" s="303">
        <f>Ar40K*SQRT((CI10/CH10)^2+(K_moleerr/K_mole)^2+(MVerr/MV)^2)</f>
        <v>-9.0126653913740599E-9</v>
      </c>
      <c r="EJ10" s="302">
        <f>(1/lambda/10^6)*LN(1+(J*Ar40Ar39))</f>
        <v>11.309600814866052</v>
      </c>
      <c r="EK10" s="268">
        <f>SQRT((J^2*Ar40Ar39^2*((Ar40Ar39err/Ar40Ar39*100)^2))/(Age^2*0.00055305^2*((1+Ar40Ar39*J)^2)))*Age/100</f>
        <v>0.49106157618941276</v>
      </c>
      <c r="EL10" s="268">
        <f>SQRT((J^2*Ar40Ar39^2*((Ar40Ar39err/Ar40Ar39*100)^2+(Jerr/J*100)^2))/(Age^2*0.00055305^2*((1+Ar40Ar39*J)^2)))*Age/100</f>
        <v>0.49361838304650085</v>
      </c>
      <c r="EM10" s="268">
        <v>315.92135000000002</v>
      </c>
      <c r="EN10" s="268">
        <v>2.1122589999999999</v>
      </c>
      <c r="EO10" s="268">
        <v>117.041512</v>
      </c>
      <c r="EP10" s="268">
        <v>0.85940499999999997</v>
      </c>
      <c r="EQ10" s="268">
        <v>6.9059999999999998E-3</v>
      </c>
      <c r="ER10" s="268">
        <v>7.6759999999999995E-2</v>
      </c>
      <c r="ES10" s="268"/>
      <c r="ET10" s="268"/>
      <c r="EU10" s="268">
        <v>3.4137000000000001E-2</v>
      </c>
      <c r="EV10" s="268">
        <v>3.5684E-2</v>
      </c>
      <c r="EW10" s="268">
        <v>-1.2727E-2</v>
      </c>
      <c r="EX10" s="268">
        <v>1.5481E-2</v>
      </c>
      <c r="EY10" s="268">
        <v>-0.111127</v>
      </c>
      <c r="EZ10" s="268">
        <v>4.9378999999999999E-2</v>
      </c>
      <c r="FA10" s="298"/>
      <c r="FB10" s="298"/>
      <c r="FC10" s="268">
        <f>Kr80Raw-Kr80Blank</f>
        <v>315.88721300000003</v>
      </c>
      <c r="FD10" s="268">
        <f>SQRT(Kr80Rawerr^2+Kr80Blankerr^2)</f>
        <v>2.1125603969915274</v>
      </c>
      <c r="FE10" s="268">
        <f>Kr82Raw-Kr82Blank</f>
        <v>117.054239</v>
      </c>
      <c r="FF10" s="268">
        <f>SQRT(Kr82Rawerr^2+Kr82Blankerr^2)</f>
        <v>0.85954442316031576</v>
      </c>
      <c r="FG10" s="268">
        <f>Kr84Raw-Kr84Blank</f>
        <v>0.118033</v>
      </c>
      <c r="FH10" s="268">
        <f>SQRT(Kr84Rawerr^2+Kr84Blankerr^2)</f>
        <v>9.1270933166041415E-2</v>
      </c>
      <c r="FI10" s="268">
        <f>Kr86Raw-Kr86Blank</f>
        <v>0</v>
      </c>
      <c r="FJ10" s="268">
        <f>SQRT(Kr86Rawerr^2+Kr86Blankerr^2)</f>
        <v>0</v>
      </c>
      <c r="FK10" s="268">
        <f>Kr84BC-((Y86Kr*Kr8684_nf)/(Y134Xe*Xe134136_nf)*Xe134AC)</f>
        <v>0.11778420001137038</v>
      </c>
      <c r="FL10" s="268">
        <f>Kr84U*SQRT((Kr84BCerr/Kr84BC)^2+(Y86Kr_err/Y86Kr)^2+(Kr8684_nferr/Kr8684_nf)^2+(Y134Xeerr/Y134Xe)^2+(Xe134136_nferr/Xe134136_nf)^2+(Xe134ACerr/Xe134AC)^2)</f>
        <v>0.10900928110079745</v>
      </c>
      <c r="FM10" s="302">
        <f>Kr80BC-(Kr84U*Kr8084_Air)</f>
        <v>315.88254874567957</v>
      </c>
      <c r="FN10" s="302">
        <f>SQRT(Kr80BCerr^2+(Kr84Uerr*Kr8084_Air)^2)</f>
        <v>2.1125648073890946</v>
      </c>
      <c r="FO10" s="302">
        <f>Kr82BC-(Kr84U*Kr8284_Air)</f>
        <v>117.0304230347577</v>
      </c>
      <c r="FP10" s="302">
        <f>SQRT(Kr82BCerr^2+(Kr84Uerr*Kr8284_Air)^2)</f>
        <v>0.85982698893151743</v>
      </c>
      <c r="FQ10" s="268">
        <f>Kr86BC-(Kr84U*Kr8684_Air)</f>
        <v>-3.5947737843470245E-2</v>
      </c>
      <c r="FR10" s="268">
        <f>SQRT(Kr86BCerr^2+(Kr84Uerr*Kr8684_Air)^2)</f>
        <v>3.3269632591963388E-2</v>
      </c>
      <c r="FS10" s="303">
        <v>1.3380462282714104E-12</v>
      </c>
      <c r="FT10" s="303">
        <v>6.763342243574739E-14</v>
      </c>
      <c r="FU10" s="268">
        <v>1.1499999999999999</v>
      </c>
      <c r="FV10" s="268">
        <v>5.0000000000000001E-3</v>
      </c>
      <c r="FW10" s="303">
        <f>(Kr80AC*Kr_sensitivity)/YKr</f>
        <v>3.675351764573187E-10</v>
      </c>
      <c r="FX10" s="303">
        <f>Kr80cc*SQRT((Kr_sensitivityerr/Kr_sensitivity)^2+(YKrerr/YKr)^2+(Kr80ACerr/Kr80AC)^2)</f>
        <v>1.8807494449345985E-11</v>
      </c>
      <c r="FY10" s="303">
        <f>(Kr82AC*Kr_sensitivity)/YKr</f>
        <v>1.3616705750840447E-10</v>
      </c>
      <c r="FZ10" s="303">
        <f>Kr82cc*SQRT((Kr_sensitivityerr/Kr_sensitivity)^2+(YKrerr/YKr)^2+(Kr82ACerr/Kr82AC)^2)</f>
        <v>6.9802337727814965E-12</v>
      </c>
      <c r="GA10" s="303">
        <f>(Kr84U*Kr_sensitivity)/YKr</f>
        <v>1.3704409093493876E-13</v>
      </c>
      <c r="GB10" s="303">
        <f>Kr84cc*SQRT((Kr_sensitivityerr/Kr_sensitivity)^2+(YKrerr/YKr)^2+(Kr84Uerr/Kr84U)^2)</f>
        <v>1.2702472965177864E-13</v>
      </c>
      <c r="GC10" s="303">
        <f>(Kr86AC*Kr_sensitivity)/YKr</f>
        <v>-4.1825856553343312E-14</v>
      </c>
      <c r="GD10" s="303">
        <f>Kr86cc*SQRT((Kr_sensitivityerr/Kr_sensitivity)^2+(YKrerr/YKr)^2+(Kr86ACerr/Kr86AC)^2)</f>
        <v>-3.8767947489722848E-14</v>
      </c>
      <c r="GE10" s="303">
        <f>Kr80cc/MV</f>
        <v>1.6397599695106057E-14</v>
      </c>
      <c r="GF10" s="303">
        <f>Kr80_mole*SQRT((MVerr/MV)^2+(Kr80ccerr/Kr80cc)^2)</f>
        <v>8.3909727564247856E-16</v>
      </c>
      <c r="GG10" s="303">
        <f>Kr82cc/MV</f>
        <v>6.0750998644686056E-15</v>
      </c>
      <c r="GH10" s="303">
        <f>Kr82_mole*SQRT((MVerr/MV)^2+(Kr82ccerr/Kr82cc)^2)</f>
        <v>3.1142346780226883E-16</v>
      </c>
      <c r="GI10" s="303">
        <f>Kr84cc/MV</f>
        <v>6.1142287532627545E-18</v>
      </c>
      <c r="GJ10" s="303">
        <f>Kr84_mole*SQRT((MVerr/MV)^2+(Kr84ccerr/Kr84cc)^2)</f>
        <v>5.6672144644397774E-18</v>
      </c>
      <c r="GK10" s="268">
        <f>Kr80_mole/Kr82_mole</f>
        <v>2.6991489952306109</v>
      </c>
      <c r="GL10" s="268">
        <f>Kr8082_mole*SQRT(Kr80_moleerr/Kr80_mole)^2+(Kr82_moleerr/Kr82_mole)^2</f>
        <v>0.14074855913422754</v>
      </c>
      <c r="GM10" s="303">
        <f>(Kr80_mole/Ar38_mole)*Br79_Constant</f>
        <v>3.2030997564324766E-3</v>
      </c>
      <c r="GN10" s="303">
        <f>Br79_Cl_meas*SQRT((Kr80_moleerr/Kr80_mole)^2+(Ar38CCerr/Ar38CC)^2+(MVerr/MV)^2+(Br79_Constanterr/Br79_Constant)^2)</f>
        <v>1.7163639241696396E-4</v>
      </c>
      <c r="GO10" s="305">
        <f>IF(Scapolite="BB2",Br79_Cl_meas/BB2_SP_BrCl,Br79_Cl_meas/BB1_BrCl)</f>
        <v>3.3021646973530685</v>
      </c>
      <c r="GP10" s="305">
        <f>IF(Scapolite="BB2",Br79_Factor*SQRT((Br79_Cl_measerr/Br79_Cl_meas)^2+(BB2_SP_BrClerr/BB2_SP_BrCl)^2),Br79_Factor*SQRT((Br79_Cl_measerr/Br79_Cl_meas)^2+(BB1_BrClerr/BB1_BrCl)^2))</f>
        <v>0.27024176278310874</v>
      </c>
      <c r="GQ10" s="313">
        <f>IF(Scapolite="BB2",(Kr80cc/Ar38CC)*(BB2_SP_Cl/BB2_SP_Br),(Kr80cc/Ar38CC)*(BB1_Cl/BB1_Br))</f>
        <v>70.255090023227311</v>
      </c>
      <c r="GR10" s="313">
        <f>IF(Scapolite="BB2",Pi*SQRT((Kr80ccerr/Kr80cc)^2+(Ar38CCerr/Ar38CC)^2+(BB2_SP_Brerr/BB2_SP_Br)^2+(BB2_SP_Clerr/BB2_SP_Cl)^2),Pi*SQRT((Kr80ccerr/Kr80cc)^2+(Ar38CCerr/Ar38CC)^2+(BB1_Brerr/BB1_Br)^2+(BB1_Clerr/BB1_Cl)^2))</f>
        <v>6.8845564605449985</v>
      </c>
      <c r="GS10" s="303">
        <f>Pi*Cl38_Prod</f>
        <v>2.5908049562993161E-5</v>
      </c>
      <c r="GT10" s="303">
        <f>GS10*SQRT((Pi_err/Pi)^2+(Cl38_Proderr/Cl38_Prod)^2)</f>
        <v>2.5815222496578031E-6</v>
      </c>
      <c r="GU10" s="303">
        <f>(Kr82_mole/Ar38_mole)*Br81_Constant</f>
        <v>5.161977496752481E-3</v>
      </c>
      <c r="GV10" s="303">
        <f>GU10*SQRT((Kr82_moleerr/Kr82_mole)^2+(Ar38_moleerr/Ar38_mole)^2+(Br81_Constanterr/Br81_Constant)^2)</f>
        <v>2.8372879694714013E-4</v>
      </c>
      <c r="GW10" s="305">
        <f>IF(Scapolite="BB2",GU10/BB2_SP_BrCl,GU10/BB1_BrCl)</f>
        <v>5.3216262853118357</v>
      </c>
      <c r="GX10" s="305">
        <f>IF(Scapolite="BB2",GW10*SQRT((GV10/GU10)^2+(BB2_SP_BrClerr/BB2_SP_BrCl)^2),GW10*SQRT((GV10/GU10)^2+(BB1_BrClerr/BB1_BrCl)^2))</f>
        <v>0.44035581726325307</v>
      </c>
      <c r="GY10" s="313">
        <f>IF(Scapolite="BB2",(Kr82cc/Ar38CC)*(BB2_SP_Cl/BB2_SP_Br),(Kr82cc/Ar38CC)*(BB1_Cl/BB1_Br))</f>
        <v>26.028607589787697</v>
      </c>
      <c r="GZ10" s="313">
        <f>IF(Scapolite="BB2",Pi_prime*SQRT((Kr82ccerr/Kr82cc)^2+(Ar38CCerr/Ar38CC)^2+(BB2_SP_Brerr/BB2_SP_Br)^2+(BB2_SP_Clerr/BB2_SP_Cl)^2),Pi_prime*SQRT((Kr82ccerr/Kr82cc)^2+(Ar38CCerr/Ar38CC)^2+(BB1_Brerr/BB1_Br)^2+(BB1_Clerr/BB1_Cl)^2))</f>
        <v>2.5518681032295571</v>
      </c>
      <c r="HA10" s="303">
        <f>Pi_prime*Cl38_Prod</f>
        <v>9.5985992654620455E-6</v>
      </c>
      <c r="HB10" s="303">
        <f>Br81_Prod*SQRT((Pi_primeerr/Pi_prime)^2+(Cl38_Proderr/Cl38_Prod)^2)</f>
        <v>9.5686633048387979E-7</v>
      </c>
      <c r="HC10" s="268"/>
      <c r="HD10" s="268"/>
      <c r="HE10" s="302" t="e">
        <f>(Kr80_mole/Br79_FactorSW)/(Y_79Br*Br79_Abun*(Therm_CS_79Br*Therm_Flux))*(MW_Br/Sample_Mass*10^6)</f>
        <v>#DIV/0!</v>
      </c>
      <c r="HF10" s="302" t="e">
        <f>HE10*SQRT((Kr80_moleerr/Kr80_mole)^2+(Sample_Masserr/Sample_Mass)^2+(Br79Factor_SWerr/Br79_FactorSW)^2+(Therm_CS_79Brerr/Therm_CS_79Br)^2+(Br79_Abunerr/Br79_Abun)^2+(Therm_Fluxerr/Therm_Flux)^2)</f>
        <v>#DIV/0!</v>
      </c>
      <c r="HG10" s="268"/>
      <c r="HH10" s="268"/>
      <c r="HI10" s="302" t="e">
        <f>(Kr82_mole/Br81_FactorSW)/(Y_81Br*Br81_Abun*(Therm_CS_81Br*Therm_Flux))*(MW_Br/Sample_Mass*10^6)</f>
        <v>#DIV/0!</v>
      </c>
      <c r="HJ10" s="302" t="e">
        <f>HI10*SQRT((Kr82_moleerr/Kr82_mole)^2+(Sample_Masserr/Sample_Mass)^2+(Br81_FactorSWerr/Br81_FactorSW)^2+(Therm_CS_81Brerr/Therm_CS_81Br)^2+(Br81_Abunerr/Br81_Abun)^2+(Therm_Fluxerr/Therm_Flux)^2)</f>
        <v>#DIV/0!</v>
      </c>
      <c r="HK10" s="269">
        <v>0.41378999999999999</v>
      </c>
      <c r="HL10" s="269">
        <v>6.3200000000000001E-3</v>
      </c>
      <c r="HM10" s="269">
        <v>3.9119999999999997E-3</v>
      </c>
      <c r="HN10" s="269">
        <v>3.3E-4</v>
      </c>
      <c r="HO10" s="269">
        <v>1.8090000000000001E-3</v>
      </c>
      <c r="HP10" s="269">
        <v>3.0699999999999998E-4</v>
      </c>
      <c r="HQ10" s="269">
        <v>0.22236700000000001</v>
      </c>
      <c r="HR10" s="269">
        <v>4.2719999999999998E-3</v>
      </c>
      <c r="HS10" s="269">
        <v>4.6010000000000001E-3</v>
      </c>
      <c r="HT10" s="269">
        <v>8.9400000000000005E-4</v>
      </c>
      <c r="HU10" s="269">
        <v>3.545E-3</v>
      </c>
      <c r="HV10" s="269">
        <v>3.59E-4</v>
      </c>
      <c r="HW10" s="269">
        <v>3.5750000000000001E-3</v>
      </c>
      <c r="HX10" s="269">
        <v>4.46E-4</v>
      </c>
      <c r="HY10" s="269">
        <v>3.7469999999999999E-3</v>
      </c>
      <c r="HZ10" s="269">
        <v>2.8899999999999998E-4</v>
      </c>
      <c r="IA10" s="269">
        <v>2.875E-3</v>
      </c>
      <c r="IB10" s="269">
        <v>1.93E-4</v>
      </c>
      <c r="IC10" s="269">
        <v>1.8550000000000001E-3</v>
      </c>
      <c r="ID10" s="269">
        <v>1.5799999999999999E-4</v>
      </c>
      <c r="IE10" s="269">
        <v>2.7799999999999999E-3</v>
      </c>
      <c r="IF10" s="269">
        <v>2.7900000000000001E-4</v>
      </c>
      <c r="IG10" s="269">
        <v>2.1909999999999998E-3</v>
      </c>
      <c r="IH10" s="269">
        <v>1.3899999999999999E-4</v>
      </c>
      <c r="II10" s="269">
        <v>1.6969999999999999E-3</v>
      </c>
      <c r="IJ10" s="269">
        <v>2.2599999999999999E-4</v>
      </c>
      <c r="IK10" s="269">
        <v>2.0739999999999999E-3</v>
      </c>
      <c r="IL10" s="269">
        <v>2.23E-4</v>
      </c>
      <c r="IM10" s="269">
        <f>Xe128Raw-Xe128Blank</f>
        <v>0.41004299999999999</v>
      </c>
      <c r="IN10" s="269">
        <f>SQRT(Xe128Rawerr^2+Xe128Blankerr^2)</f>
        <v>6.3266042234361398E-3</v>
      </c>
      <c r="IO10" s="269">
        <f>Xe129Raw-Xe129Blank</f>
        <v>1.0369999999999997E-3</v>
      </c>
      <c r="IP10" s="269">
        <f>SQRT(Xe129Rawerr^2+Xe129Blankerr^2)</f>
        <v>3.8229438918194967E-4</v>
      </c>
      <c r="IQ10" s="269">
        <f>Xe130Raw-Xe130Blank</f>
        <v>-4.6000000000000034E-5</v>
      </c>
      <c r="IR10" s="269">
        <f>SQRT(Xe130Rawerr^2+Xe130Blankerr^2)</f>
        <v>3.4527235626386307E-4</v>
      </c>
      <c r="IS10" s="269">
        <f>Xe131Raw-Xe131Blank</f>
        <v>0.219587</v>
      </c>
      <c r="IT10" s="269">
        <f>SQRT(Xe131Rawerr^2+Xe131Blankerr^2)</f>
        <v>4.2811009098128018E-3</v>
      </c>
      <c r="IU10" s="269">
        <f>Xe132Raw-Xe132Blank</f>
        <v>2.4100000000000002E-3</v>
      </c>
      <c r="IV10" s="269">
        <f>SQRT(Xe132Rawerr^2+Xe132Blankerr^2)</f>
        <v>9.0474139951701119E-4</v>
      </c>
      <c r="IW10" s="269">
        <f>Xe134Raw-Xe134Blank</f>
        <v>1.848E-3</v>
      </c>
      <c r="IX10" s="269">
        <f>SQRT(Xe134Rawerr^2+Xe134Blankerr^2)</f>
        <v>4.2421338969909943E-4</v>
      </c>
      <c r="IY10" s="269">
        <f>Xe136Raw-Xe136Blank</f>
        <v>1.5010000000000002E-3</v>
      </c>
      <c r="IZ10" s="269">
        <f>SQRT(Xe136Rawerr^2+Xe136Blankerr^2)</f>
        <v>4.9864315898245307E-4</v>
      </c>
      <c r="JA10" s="269">
        <f>Xe128BC-(Xe130BC*Xe128130_Air)</f>
        <v>0.41006469352709002</v>
      </c>
      <c r="JB10" s="269">
        <f>SQRT(Xe128BCerr^2+(Xe130BCerr*Xe128130_Air)^2)</f>
        <v>6.3286992798692442E-3</v>
      </c>
      <c r="JC10" s="269">
        <f>Xe129BC-(Xe130BC*Xe129130_Air)</f>
        <v>1.3356657859879999E-3</v>
      </c>
      <c r="JD10" s="269">
        <f>SQRT(Xe129BCerr^2+(Xe130BCerr*Xe129130_Air)^2)</f>
        <v>2.2741250322330054E-3</v>
      </c>
      <c r="JE10" s="269">
        <f>Xe131BC-(Xe130BC*Xe131130_Air)</f>
        <v>0.219826722589164</v>
      </c>
      <c r="JF10" s="269">
        <f>SQRT(Xe131BCerr^2+(Xe130BCerr*Xe131130_Air)^2)</f>
        <v>4.6438610005922927E-3</v>
      </c>
      <c r="JG10" s="269">
        <f>Xe132BC-(Xe130BC*Xe132130_Air)</f>
        <v>2.7138309114900006E-3</v>
      </c>
      <c r="JH10" s="269">
        <f>SQRT(Xe132BCerr^2+(Xe130BCerr*Xe132130_Air)^2)</f>
        <v>2.4534419746771508E-3</v>
      </c>
      <c r="JI10" s="269">
        <f>Xe134BC-(Xe130BC*Xe134130_Air)</f>
        <v>1.9664029062120003E-3</v>
      </c>
      <c r="JJ10" s="269">
        <f>SQRT(Xe134BCerr^2+(Xe130BCerr*Xe134130_Air)^2)</f>
        <v>9.8477676541138936E-4</v>
      </c>
      <c r="JK10" s="269">
        <f>Xe136BC-(Xe130BC*Xe136130_Air)</f>
        <v>1.6010819022420002E-3</v>
      </c>
      <c r="JL10" s="269">
        <f>SQRT(Xe136BCerr^2+(Xe130BCerr*Xe136130_Air)^2)</f>
        <v>9.0164111613381113E-4</v>
      </c>
      <c r="JM10" s="303">
        <v>1.0646974269079652E-12</v>
      </c>
      <c r="JN10" s="303">
        <v>1.7365359098361633E-14</v>
      </c>
      <c r="JO10" s="301">
        <v>1</v>
      </c>
      <c r="JP10" s="301">
        <v>0</v>
      </c>
      <c r="JQ10" s="303">
        <f>(Xe128AC*Xe_Sensitivity)/YXe</f>
        <v>4.365948240640961E-13</v>
      </c>
      <c r="JR10" s="303">
        <f>Xe128CC*SQRT((Xe_Sensitivityerr/Xe_Sensitivity)^2+(YXeerr/YXe)^2+(Xe128ACerr/Xe128AC)^2)</f>
        <v>9.8035796651309098E-15</v>
      </c>
      <c r="JS10" s="303">
        <f>Xe128CC/MV</f>
        <v>1.9478699217215417E-17</v>
      </c>
      <c r="JT10" s="303">
        <f>Xe128mole*SQRT((Xe128CCerr/Xe128CC)^2+(MVerr/MV)^2)</f>
        <v>4.3738718163264689E-19</v>
      </c>
      <c r="JU10" s="268"/>
      <c r="JV10" s="268"/>
      <c r="JW10" s="303" t="e">
        <f>(Xe128mole/IFactor_SW)/((Therm_CS_127I*Therm_Flux)*I127_Abun*Y_127I)</f>
        <v>#DIV/0!</v>
      </c>
      <c r="JX10" s="303" t="e">
        <f>I_mole*SQRT((Xe128CCerr/Xe128CC)^2+(IFactor_SWerr/IFactor_SW)^2+(Therm_CS_127Ierr/Therm_CS_127I)^2+(Therm_Fluxerr/Therm_Flux)^2)</f>
        <v>#DIV/0!</v>
      </c>
      <c r="JY10" s="302" t="e">
        <f>I_mole*MW_I/Sample_Mass*10^9</f>
        <v>#DIV/0!</v>
      </c>
      <c r="JZ10" s="302" t="e">
        <f>JY10*SQRT(I_moleerr/I_mole)^2+(MVerr/MV)^2+(Sample_Masserr/Sample_Mass)</f>
        <v>#DIV/0!</v>
      </c>
      <c r="KA10" s="268">
        <f>Xe131AC-Xe131136_nf/Xe134136_nf*Xe134AC</f>
        <v>0.21911181045713027</v>
      </c>
      <c r="KB10" s="268">
        <f>SQRT(Xe131ACerr^2+(Xe131136_nf/Xe134136_nf*Xe134AC)^2*((Xe131136_nferr/Xe131136_nf)^2+(Xe134136_nferr/Xe134136_nf)^2+(Xe134ACerr/Xe134AC)^2))</f>
        <v>4.6577330513154439E-3</v>
      </c>
      <c r="KC10" s="303">
        <f>(Xe131Ba*Xe_Sensitivity)/YXe</f>
        <v>2.3328778079885238E-13</v>
      </c>
      <c r="KD10" s="303">
        <f>Xe131Bacc*SQRT((Xe_Sensitivityerr/Xe_Sensitivity)^2+(YXeerr/YXe)^2+(Xe131Baerr/Xe131Ba)^2)</f>
        <v>6.2506098348473152E-15</v>
      </c>
      <c r="KE10" s="303">
        <f>Xe131Bacc/MV</f>
        <v>1.0408145637029829E-17</v>
      </c>
      <c r="KF10" s="303">
        <f>Xe131mole*SQRT((Xe131CCerr/Xe131CC)^2+(MVerr/MV)^2)</f>
        <v>2.7887126052555043E-19</v>
      </c>
      <c r="KG10" s="305"/>
      <c r="KH10" s="305"/>
      <c r="KI10" s="303" t="e">
        <f>(Xe131mole/Ba_FactorSW)/((Therm_CS_130Ba*Therm_Flux)*Ba130_Abun*Y_130Ba)</f>
        <v>#DIV/0!</v>
      </c>
      <c r="KJ10" s="303" t="e">
        <f>Ba_mole*SQRT((Xe131moleerr/Xe131mole)^2+(Ba_FactorSWerr/Ba_FactorSW)^2+(Therm_CS_130Baerr/Therm_CS_130Ba)^2+(Therm_Fluxerr/Therm_Flux)^2)</f>
        <v>#DIV/0!</v>
      </c>
      <c r="KK10" s="302" t="e">
        <f>Ba_mole*MW_Ba/Sample_Mass*10^6</f>
        <v>#DIV/0!</v>
      </c>
      <c r="KL10" s="302" t="e">
        <f>KK10*SQRT(I_moleerr/I_mole)^2+(MVerr/MV)^2+(Sample_Masserr/Sample_Mass)</f>
        <v>#DIV/0!</v>
      </c>
      <c r="KM10" s="303">
        <f>(Xe134AC*Xe_Sensitivity)/YXe</f>
        <v>2.0936241145082615E-15</v>
      </c>
      <c r="KN10" s="303">
        <f>Xe134CC*SQRT((Xe_Sensitivityerr/Xe_Sensitivity)^2+(YXeerr/YXe)^2+(Xe134ACerr/Xe134AC)^2)</f>
        <v>1.0490451968755419E-15</v>
      </c>
      <c r="KO10" s="303">
        <f>Xe134CC/MV</f>
        <v>9.3407141250094989E-20</v>
      </c>
      <c r="KP10" s="303">
        <f>Xe134mole*SQRT((Xe134CCerr/Xe134CC)^2+(MVerr/MV)^2)</f>
        <v>4.6803202257425293E-20</v>
      </c>
      <c r="KQ10" s="303">
        <f>Xe134mole/((Therm_CS_235U*Therm_Flux)*U235_Abun*Y_235U)</f>
        <v>8.6299560544434133E-14</v>
      </c>
      <c r="KR10" s="303">
        <f>U_mole*SQRT((Xe134moleerr/Xe134mole)^2+(Therm_CS_235Uerr/Therm_CS_235U)^2+(Therm_Fluxerr/Therm_Flux)^2)</f>
        <v>4.3288461081419694E-14</v>
      </c>
      <c r="KS10" s="302">
        <f>U_mole*MW_U/Sample_Mass*10^9</f>
        <v>38.758094962020117</v>
      </c>
      <c r="KT10" s="302">
        <f>KS10*SQRT((U_moleerr/U_mole)^2+(MVerr/MV)^2+(Sample_Masserr/Sample_Mass)^2)</f>
        <v>19.456778012982152</v>
      </c>
      <c r="KU10" s="303">
        <f>(Xe128mole/Ar38_mole)*I127_Constant</f>
        <v>5.2828657984266095E-6</v>
      </c>
      <c r="KV10" s="303">
        <f>KU10*SQRT((Xe128moleerr/Xe128mole)^2+(Ar38_moleerr/Ar38_mole)^2+(I127_Constanterr/I127_Constant)^2)</f>
        <v>1.4717446940584789E-7</v>
      </c>
      <c r="KW10" s="305">
        <f>IF(Scapolite="BB2",KU10/BB2_SP_ICl,KU10/BB1_ICl)</f>
        <v>4.4393830238879071</v>
      </c>
      <c r="KX10" s="305">
        <f>IF(Scapolite="BB2",KW10*SQRT((KV10/KU10)^2+(BB2_SP_IClerr/BB2_SP_ICl)^2),KW10*SQRT((KV10/KU10)^2+(BB1_IClerr/BB1_ICl)^2))</f>
        <v>0.14443902500878589</v>
      </c>
      <c r="KY10" s="313">
        <f>IF(Scapolite="BB2",(Xe128CC/Ar38CC)*(BB2_SP_Cl/BB2_SP_I),(Xe128CC/Ar38CC)*(BB1_Cl/BB1_I))</f>
        <v>68.420562332356766</v>
      </c>
      <c r="KZ10" s="313">
        <f>IF(Scapolite="BB2",Omega*SQRT((Xe128CCerr/Xe128CC)^2+(Ar38CCerr/Ar38CC)^2+(BB2_SP_Ierr/BB2_SP_I)^2+(BB2_SP_Clerr/BB2_SP_Cl)^2),Omega*SQRT((Xe128CCerr/Xe128CC)^2+(Ar38CCerr/Ar38CC)^2+(BB1_Ierr/BB1_I)^2+(BB1_Ierr/BB1_I)^2))</f>
        <v>4.0387623860542332</v>
      </c>
      <c r="LA10" s="303">
        <f>Omega*Cl38_Prod</f>
        <v>2.5231528697045317E-5</v>
      </c>
      <c r="LB10" s="303">
        <f>I127_Prod*SQRT((Omegaerr/Omega)^2+(Cl38_Proderr/Cl38_Prod)^2)</f>
        <v>1.557434592430881E-6</v>
      </c>
      <c r="LC10" s="303"/>
      <c r="LD10" s="266" t="str">
        <f>Scapolite</f>
        <v>BB2</v>
      </c>
      <c r="LE10" s="266" t="str">
        <f>Irradiation</f>
        <v>MN19a</v>
      </c>
      <c r="LF10" s="315">
        <f>Tube</f>
        <v>4</v>
      </c>
      <c r="LG10" s="315">
        <f>K_ppm</f>
        <v>14503.575562039274</v>
      </c>
      <c r="LH10" s="315">
        <f>K_ppmerr</f>
        <v>290.07164586803987</v>
      </c>
      <c r="LI10" s="315">
        <f>Cl_ppm</f>
        <v>47857.656833594308</v>
      </c>
      <c r="LJ10" s="315">
        <f>Cl_ppmerr</f>
        <v>957.153521158682</v>
      </c>
      <c r="LK10" s="315">
        <f>Ca_ppm</f>
        <v>18725.272536153305</v>
      </c>
      <c r="LL10" s="315">
        <f>Ca_ppmerr</f>
        <v>374.52180377326459</v>
      </c>
      <c r="LM10" s="315" t="e">
        <f>Br79_ppm</f>
        <v>#DIV/0!</v>
      </c>
      <c r="LN10" s="315" t="e">
        <f>Br79_ppmerr</f>
        <v>#DIV/0!</v>
      </c>
      <c r="LO10" s="315" t="e">
        <f>Br81_ppm</f>
        <v>#DIV/0!</v>
      </c>
      <c r="LP10" s="315" t="e">
        <f>Br81_ppmerr</f>
        <v>#DIV/0!</v>
      </c>
      <c r="LQ10" s="315" t="e">
        <f>I_ppb</f>
        <v>#DIV/0!</v>
      </c>
      <c r="LR10" s="315" t="e">
        <f>I_ppberr</f>
        <v>#DIV/0!</v>
      </c>
      <c r="LS10" s="308">
        <f>Br79_Factor</f>
        <v>3.3021646973530685</v>
      </c>
      <c r="LT10" s="308">
        <f>Br79_Factorerr</f>
        <v>0.27024176278310874</v>
      </c>
      <c r="LU10" s="316">
        <f>Pi</f>
        <v>70.255090023227311</v>
      </c>
      <c r="LV10" s="316">
        <f>Pi_err</f>
        <v>6.8845564605449985</v>
      </c>
      <c r="LW10" s="266">
        <f>Br79_Prod</f>
        <v>2.5908049562993161E-5</v>
      </c>
      <c r="LX10" s="266">
        <f>Br79_Proderr</f>
        <v>2.5815222496578031E-6</v>
      </c>
      <c r="LY10" s="308">
        <f>Br81_Factor</f>
        <v>5.3216262853118357</v>
      </c>
      <c r="LZ10" s="308">
        <f>Br81_Factorerr</f>
        <v>0.44035581726325307</v>
      </c>
      <c r="MA10" s="307">
        <f>Pi_prime</f>
        <v>26.028607589787697</v>
      </c>
      <c r="MB10" s="307">
        <f>Pi_primeerr</f>
        <v>2.5518681032295571</v>
      </c>
      <c r="MC10" s="266">
        <f>Br81_Prod</f>
        <v>9.5985992654620455E-6</v>
      </c>
      <c r="MD10" s="266">
        <f>Br81_Proderr</f>
        <v>9.5686633048387979E-7</v>
      </c>
      <c r="ME10" s="308">
        <f>I_Factor</f>
        <v>4.4393830238879071</v>
      </c>
      <c r="MF10" s="308">
        <f>I_Factorerr</f>
        <v>0.14443902500878589</v>
      </c>
      <c r="MG10" s="315">
        <f>Omega</f>
        <v>68.420562332356766</v>
      </c>
      <c r="MH10" s="315">
        <f>Omegaerr</f>
        <v>4.0387623860542332</v>
      </c>
      <c r="MI10" s="266">
        <f>I127_Prod</f>
        <v>2.5231528697045317E-5</v>
      </c>
      <c r="MJ10" s="266">
        <f>I127_Proderr</f>
        <v>1.557434592430881E-6</v>
      </c>
    </row>
    <row r="11" spans="1:348" s="304" customFormat="1" ht="24.9" hidden="1" customHeight="1">
      <c r="A11" s="271"/>
      <c r="C11" s="271"/>
      <c r="AI11" s="270"/>
      <c r="AJ11" s="270"/>
      <c r="AK11" s="270"/>
      <c r="AL11" s="270"/>
      <c r="AM11" s="270"/>
      <c r="AN11" s="270"/>
      <c r="AO11" s="270"/>
      <c r="AP11" s="270"/>
      <c r="AQ11" s="270"/>
      <c r="AR11" s="270"/>
      <c r="AS11" s="271"/>
      <c r="AT11" s="271"/>
      <c r="AU11" s="270"/>
      <c r="AV11" s="270"/>
      <c r="AW11" s="270"/>
      <c r="AX11" s="270"/>
      <c r="AY11" s="270"/>
      <c r="AZ11" s="270"/>
      <c r="BA11" s="270"/>
      <c r="BB11" s="270"/>
      <c r="BC11" s="268"/>
      <c r="BD11" s="269"/>
      <c r="BE11" s="270"/>
      <c r="BF11" s="270"/>
      <c r="BG11" s="270"/>
      <c r="BH11" s="270"/>
      <c r="BI11" s="302"/>
      <c r="BJ11" s="270"/>
      <c r="BK11" s="302"/>
      <c r="BL11" s="270"/>
      <c r="BM11" s="302"/>
      <c r="BN11" s="270"/>
      <c r="BO11" s="270"/>
      <c r="BP11" s="270"/>
      <c r="BQ11" s="310"/>
      <c r="BR11" s="268"/>
      <c r="BS11" s="268"/>
      <c r="BT11" s="302"/>
      <c r="BU11" s="268"/>
      <c r="BV11" s="302"/>
      <c r="BW11" s="302"/>
      <c r="BX11" s="303"/>
      <c r="BY11" s="303"/>
      <c r="BZ11" s="303"/>
      <c r="CA11" s="303"/>
      <c r="CB11" s="303"/>
      <c r="CC11" s="311"/>
      <c r="CD11" s="303"/>
      <c r="CE11" s="303"/>
      <c r="CF11" s="303"/>
      <c r="CG11" s="303"/>
      <c r="CH11" s="303"/>
      <c r="CI11" s="303"/>
      <c r="CJ11" s="303"/>
      <c r="CK11" s="303"/>
      <c r="CL11" s="303"/>
      <c r="CM11" s="303"/>
      <c r="CN11" s="298"/>
      <c r="CO11" s="298"/>
      <c r="CP11" s="303"/>
      <c r="CQ11" s="303"/>
      <c r="CR11" s="303"/>
      <c r="CS11" s="303"/>
      <c r="CT11" s="268"/>
      <c r="CU11" s="268"/>
      <c r="CV11" s="268"/>
      <c r="CW11" s="268"/>
      <c r="CX11" s="303"/>
      <c r="CY11" s="303"/>
      <c r="CZ11" s="303"/>
      <c r="DA11" s="303"/>
      <c r="DB11" s="303"/>
      <c r="DC11" s="303"/>
      <c r="DD11" s="303"/>
      <c r="DE11" s="303"/>
      <c r="DF11" s="302"/>
      <c r="DG11" s="302"/>
      <c r="DH11" s="301"/>
      <c r="DI11" s="269"/>
      <c r="DJ11" s="303"/>
      <c r="DK11" s="303"/>
      <c r="DL11" s="302"/>
      <c r="DM11" s="302"/>
      <c r="DN11" s="301"/>
      <c r="DO11" s="269"/>
      <c r="DP11" s="303"/>
      <c r="DQ11" s="303"/>
      <c r="DR11" s="302"/>
      <c r="DS11" s="302"/>
      <c r="DT11" s="268"/>
      <c r="DU11" s="268"/>
      <c r="DV11" s="268"/>
      <c r="DW11" s="268"/>
      <c r="DX11" s="268"/>
      <c r="DY11" s="268"/>
      <c r="DZ11" s="268"/>
      <c r="EA11" s="268"/>
      <c r="EB11" s="268"/>
      <c r="EC11" s="268"/>
      <c r="ED11" s="303"/>
      <c r="EE11" s="303"/>
      <c r="EF11" s="268"/>
      <c r="EG11" s="268"/>
      <c r="EH11" s="303"/>
      <c r="EI11" s="303"/>
      <c r="EJ11" s="302"/>
      <c r="EK11" s="268"/>
      <c r="EL11" s="268"/>
      <c r="FC11" s="268"/>
      <c r="FD11" s="268"/>
      <c r="FE11" s="268"/>
      <c r="FF11" s="268"/>
      <c r="FG11" s="268"/>
      <c r="FH11" s="268"/>
      <c r="FI11" s="268"/>
      <c r="FJ11" s="268"/>
      <c r="FK11" s="268"/>
      <c r="FL11" s="268"/>
      <c r="FM11" s="302"/>
      <c r="FN11" s="302"/>
      <c r="FO11" s="302"/>
      <c r="FP11" s="302"/>
      <c r="FQ11" s="268"/>
      <c r="FR11" s="268"/>
      <c r="FS11" s="303"/>
      <c r="FT11" s="303"/>
      <c r="FU11" s="268"/>
      <c r="FV11" s="268"/>
      <c r="FW11" s="303"/>
      <c r="FX11" s="303"/>
      <c r="FY11" s="303"/>
      <c r="FZ11" s="303"/>
      <c r="GA11" s="303"/>
      <c r="GB11" s="303"/>
      <c r="GC11" s="303"/>
      <c r="GD11" s="303"/>
      <c r="GE11" s="303"/>
      <c r="GF11" s="303"/>
      <c r="GG11" s="303"/>
      <c r="GH11" s="303"/>
      <c r="GI11" s="303"/>
      <c r="GJ11" s="303"/>
      <c r="GK11" s="268"/>
      <c r="GL11" s="268"/>
      <c r="GM11" s="303"/>
      <c r="GN11" s="303"/>
      <c r="GO11" s="305"/>
      <c r="GP11" s="305"/>
      <c r="GQ11" s="313"/>
      <c r="GR11" s="313"/>
      <c r="GS11" s="303"/>
      <c r="GT11" s="303"/>
      <c r="GU11" s="303"/>
      <c r="GV11" s="303"/>
      <c r="GW11" s="305"/>
      <c r="GX11" s="305"/>
      <c r="GY11" s="313"/>
      <c r="GZ11" s="313"/>
      <c r="HA11" s="303"/>
      <c r="HB11" s="303"/>
      <c r="HC11" s="268"/>
      <c r="HD11" s="268"/>
      <c r="HE11" s="302"/>
      <c r="HF11" s="302"/>
      <c r="HG11" s="268"/>
      <c r="HH11" s="268"/>
      <c r="HI11" s="302"/>
      <c r="HJ11" s="302"/>
      <c r="IM11" s="269"/>
      <c r="IN11" s="269"/>
      <c r="IO11" s="269"/>
      <c r="IP11" s="269"/>
      <c r="IQ11" s="269"/>
      <c r="IR11" s="269"/>
      <c r="IS11" s="269"/>
      <c r="IT11" s="269"/>
      <c r="IU11" s="269"/>
      <c r="IV11" s="269"/>
      <c r="IW11" s="269"/>
      <c r="IX11" s="269"/>
      <c r="IY11" s="269"/>
      <c r="IZ11" s="269"/>
      <c r="JA11" s="269"/>
      <c r="JB11" s="269"/>
      <c r="JC11" s="269"/>
      <c r="JD11" s="269"/>
      <c r="JE11" s="269"/>
      <c r="JF11" s="269"/>
      <c r="JG11" s="269"/>
      <c r="JH11" s="269"/>
      <c r="JI11" s="269"/>
      <c r="JJ11" s="269"/>
      <c r="JK11" s="269"/>
      <c r="JL11" s="269"/>
      <c r="JM11" s="303"/>
      <c r="JN11" s="303"/>
      <c r="JO11" s="301"/>
      <c r="JP11" s="301"/>
      <c r="JQ11" s="303"/>
      <c r="JR11" s="303"/>
      <c r="JS11" s="303"/>
      <c r="JT11" s="303"/>
      <c r="JU11" s="268"/>
      <c r="JV11" s="268"/>
      <c r="JW11" s="303"/>
      <c r="JX11" s="303"/>
      <c r="JY11" s="302"/>
      <c r="JZ11" s="302"/>
      <c r="KA11" s="268"/>
      <c r="KB11" s="268"/>
      <c r="KC11" s="303"/>
      <c r="KD11" s="303"/>
      <c r="KE11" s="303"/>
      <c r="KF11" s="303"/>
      <c r="KG11" s="305"/>
      <c r="KH11" s="305"/>
      <c r="KI11" s="303"/>
      <c r="KJ11" s="303"/>
      <c r="KK11" s="302"/>
      <c r="KL11" s="302"/>
      <c r="KM11" s="303"/>
      <c r="KN11" s="303"/>
      <c r="KO11" s="303"/>
      <c r="KP11" s="303"/>
      <c r="KQ11" s="303"/>
      <c r="KR11" s="303"/>
      <c r="KS11" s="302"/>
      <c r="KT11" s="302"/>
      <c r="KU11" s="303"/>
      <c r="KV11" s="303"/>
      <c r="KW11" s="305"/>
      <c r="KX11" s="305"/>
      <c r="KY11" s="313"/>
      <c r="KZ11" s="313"/>
      <c r="LA11" s="303"/>
      <c r="LB11" s="303"/>
      <c r="LC11" s="303"/>
      <c r="LD11" s="266"/>
      <c r="LE11" s="266"/>
      <c r="LF11" s="315"/>
      <c r="LG11" s="315"/>
      <c r="LH11" s="315"/>
      <c r="LI11" s="315"/>
      <c r="LJ11" s="315"/>
      <c r="LK11" s="315"/>
      <c r="LL11" s="315"/>
      <c r="LM11" s="315"/>
      <c r="LN11" s="315"/>
      <c r="LO11" s="315"/>
      <c r="LP11" s="315"/>
      <c r="LQ11" s="315"/>
      <c r="LR11" s="315"/>
      <c r="LS11" s="308"/>
      <c r="LT11" s="308"/>
      <c r="LU11" s="316"/>
      <c r="LV11" s="316"/>
      <c r="LW11" s="266"/>
      <c r="LX11" s="266"/>
      <c r="LY11" s="308"/>
      <c r="LZ11" s="308"/>
      <c r="MA11" s="307"/>
      <c r="MB11" s="307"/>
      <c r="MC11" s="266"/>
      <c r="MD11" s="266"/>
      <c r="ME11" s="308"/>
      <c r="MF11" s="308"/>
      <c r="MG11" s="315"/>
      <c r="MH11" s="315"/>
      <c r="MI11" s="266"/>
      <c r="MJ11" s="266"/>
    </row>
    <row r="12" spans="1:348" s="304" customFormat="1" ht="24.9" hidden="1" customHeight="1">
      <c r="A12" s="271" t="s">
        <v>843</v>
      </c>
      <c r="B12" s="271" t="s">
        <v>49</v>
      </c>
      <c r="C12" s="271">
        <v>5.0000000000000001E-4</v>
      </c>
      <c r="D12" s="298">
        <f t="shared" si="0"/>
        <v>1.0000000000000001E-5</v>
      </c>
      <c r="E12" s="299">
        <v>44232</v>
      </c>
      <c r="F12" s="271" t="s">
        <v>210</v>
      </c>
      <c r="G12" s="271" t="s">
        <v>834</v>
      </c>
      <c r="H12" s="271">
        <v>4</v>
      </c>
      <c r="I12" s="271">
        <v>47</v>
      </c>
      <c r="J12" s="299">
        <v>43831</v>
      </c>
      <c r="K12" s="299" t="s">
        <v>322</v>
      </c>
      <c r="L12" s="271" t="s">
        <v>832</v>
      </c>
      <c r="M12" s="309"/>
      <c r="N12" s="271">
        <v>120</v>
      </c>
      <c r="O12" s="317">
        <v>12394.691161999999</v>
      </c>
      <c r="P12" s="317">
        <v>40.188015</v>
      </c>
      <c r="Q12" s="317">
        <v>1093.5240080000001</v>
      </c>
      <c r="R12" s="317">
        <v>3.5084469999999999</v>
      </c>
      <c r="S12" s="317">
        <v>2233.122163</v>
      </c>
      <c r="T12" s="317">
        <v>7.3835100000000002</v>
      </c>
      <c r="U12" s="317">
        <v>1.166698</v>
      </c>
      <c r="V12" s="317">
        <v>2.5451999999999999E-2</v>
      </c>
      <c r="W12" s="317">
        <v>2.6645720000000002</v>
      </c>
      <c r="X12" s="317">
        <v>0.151536</v>
      </c>
      <c r="Y12" s="268">
        <v>63.499560000000002</v>
      </c>
      <c r="Z12" s="268">
        <v>0.282914</v>
      </c>
      <c r="AA12" s="268">
        <v>0.727634</v>
      </c>
      <c r="AB12" s="268">
        <v>3.4834999999999998E-2</v>
      </c>
      <c r="AC12" s="268">
        <v>0.60790699999999998</v>
      </c>
      <c r="AD12" s="268">
        <v>0.124124</v>
      </c>
      <c r="AE12" s="268">
        <v>0.14067099999999999</v>
      </c>
      <c r="AF12" s="268">
        <v>1.9252999999999999E-2</v>
      </c>
      <c r="AG12" s="268">
        <v>0.162019</v>
      </c>
      <c r="AH12" s="268">
        <v>3.8245000000000001E-2</v>
      </c>
      <c r="AI12" s="270">
        <f>Ar40Raw-Ar40Blank</f>
        <v>12331.191601999999</v>
      </c>
      <c r="AJ12" s="270">
        <f>SQRT(Ar40Blankerr^2+Ar40Rawerr^2)</f>
        <v>40.189010811061536</v>
      </c>
      <c r="AK12" s="270">
        <f>Ar39Raw-Ar39Blank</f>
        <v>1092.796374</v>
      </c>
      <c r="AL12" s="270">
        <f>SQRT(Ar39Blankerr^2+Ar39Rawerr^2)</f>
        <v>3.5086199322574112</v>
      </c>
      <c r="AM12" s="270">
        <f>Ar38Raw-Ar38Blank</f>
        <v>2232.5142559999999</v>
      </c>
      <c r="AN12" s="270">
        <f>SQRT(Ar38Blankerr^2+Ar38Rawerr^2)</f>
        <v>7.3845532490108026</v>
      </c>
      <c r="AO12" s="270">
        <f>Ar37Raw-Ar37Blank</f>
        <v>1.026027</v>
      </c>
      <c r="AP12" s="270">
        <f>SQRT(Ar37Blankerr^2+Ar37Rawerr^2)</f>
        <v>3.191366968870863E-2</v>
      </c>
      <c r="AQ12" s="270">
        <f>Ar36Raw-Ar36Blank</f>
        <v>2.5025530000000002</v>
      </c>
      <c r="AR12" s="270">
        <f>SQRT(Ar36Blankerr^2+Ar36Rawerr^2)</f>
        <v>0.15628768128358678</v>
      </c>
      <c r="AS12" s="271">
        <v>303</v>
      </c>
      <c r="AT12" s="271">
        <v>0.5</v>
      </c>
      <c r="AU12" s="270">
        <f>Ar39BC*(1+(Ar4036_Aircal/Ar4036_Air-1)/4)</f>
        <v>1099.73036114467</v>
      </c>
      <c r="AV12" s="270">
        <f>SQRT(Ar39BCerr^2+(Ar39BC*(Ar4036_Aircal/Ar4036_Air-1)/4)^2*((Ar4036_Aircalerr/Ar4036_Aircal)^2+(Ar39BCerr/Ar39BC)^2+(Ar4036_airerr/Ar4036_Air)^2))</f>
        <v>3.5087167598693938</v>
      </c>
      <c r="AW12" s="270">
        <f>Ar38BC*(1+2*(Ar4036_Aircal/Ar4036_Air-1)/4)</f>
        <v>2260.8456551878171</v>
      </c>
      <c r="AX12" s="270">
        <f>SQRT(Ar38BCerr^2+(Ar38BC*(Ar4036_Aircal/Ar4036_Air-1)/4)^2*((Ar4036_Aircalerr/Ar4036_Aircal)^2+(Ar38BCerr/Ar38BC)^2+(Ar4036_airerr/Ar4036_Air)^2))</f>
        <v>7.3847538529919197</v>
      </c>
      <c r="AY12" s="270">
        <f>Ar37BC*(1+3*(Ar4036_Aircal/Ar4036_Air-1)/4)</f>
        <v>1.0455579708121827</v>
      </c>
      <c r="AZ12" s="270">
        <f>SQRT(Ar37BCerr^2+(Ar37BC*(Ar4036_Aircal/Ar4036_Air-1)/3)^2*((Ar4036_Aircalerr/Ar4036_Aircal)^2+(Ar37BCerr/Ar37BC)^2+(Ar4036_airerr/Ar4036_Air)^2))</f>
        <v>3.1914816302121257E-2</v>
      </c>
      <c r="BA12" s="270">
        <f>Ar36BC*(1+4*(Ar4036_Aircal/Ar4036_Air-1)/4)</f>
        <v>2.5660695736040613</v>
      </c>
      <c r="BB12" s="270">
        <f>SQRT(Ar36BCerr^2+(Ar36BC*(Ar4036_Aircal/Ar4036_Air-1)/4)^2*((Ar4036_Aircalerr/Ar4036_Aircal)^2+(Ar36BCerr/Ar36BC)^2+(Ar4036_airerr/Ar4036_Air)^2))</f>
        <v>0.15629083050727624</v>
      </c>
      <c r="BC12" s="268">
        <v>2279.2032462607435</v>
      </c>
      <c r="BD12" s="269">
        <v>1.0027995366556639</v>
      </c>
      <c r="BE12" s="270">
        <f>IF(Rad_Type="Continuous", Ar37_DC*EXP(lambda_37Ar*(Run_Date-Rad_Date)),Ar37_DC*Ar37_DecayFactor)</f>
        <v>2383.0391212289228</v>
      </c>
      <c r="BF12" s="270">
        <f>IF(Rad_Type="Continuous", (Ar37_DCerr*EXP(lambda_37Ar*(Run_Date-Rad_Date))), Ar37_DCerr*Ar37_DecayFactor)</f>
        <v>72.740352919610075</v>
      </c>
      <c r="BG12" s="270">
        <f>IF(Rad_Type="Continuous", Ar39_DC*EXP(lambda_39Ar*(Run_Date-Rad_Date)), Ar39_DC*Ar39_DecayFactor)</f>
        <v>1102.8090966020411</v>
      </c>
      <c r="BH12" s="270">
        <f>IF(Rad_Type="Continuous", (Ar39_DCerr*EXP(lambda_39Ar*(Run_Date-Rad_Date))), Ar39_DCerr*Ar39_DecayFactor)</f>
        <v>3.5185395410529905</v>
      </c>
      <c r="BI12" s="302">
        <f>Ar40BC-(Salt_40Ar39Ar_K*Ar39_IC)</f>
        <v>12187.872033098793</v>
      </c>
      <c r="BJ12" s="270">
        <f>SQRT(Ar40BCerr^2+(Ar39_ICerr*Salt_40Ar39Ar_K)^2)</f>
        <v>40.191623307395687</v>
      </c>
      <c r="BK12" s="302">
        <f>Ar39_DecayCor-(Salt_39Ar37Ar_Ca*Ar37_DecayCor)</f>
        <v>1100.6313134938455</v>
      </c>
      <c r="BL12" s="270">
        <f>SQRT(Ar39_DecayCorerr^2+(Ar37_DecayCorerr*Salt_39Ar37Ar_Ca)^2)</f>
        <v>3.5191674353419824</v>
      </c>
      <c r="BM12" s="302">
        <f>Ar38_DC-(Salt_38Ar39Ar_K*Ar39_DecayCor)</f>
        <v>2243.8159681364159</v>
      </c>
      <c r="BN12" s="270">
        <f>SQRT(Ar38_DCerr^2+(Ar39_DecayCorerr*Salt_38Ar39Ar_K)^2)</f>
        <v>7.3849537312839066</v>
      </c>
      <c r="BO12" s="270">
        <f>Ar36_DC-(Salt_36Ar37Ar_Ca*Ar37_DecayCor)</f>
        <v>1.7347960691443589</v>
      </c>
      <c r="BP12" s="270">
        <f>SQRT(Ar36_DCerr^2+(Ar37_DecayCorerr*Salt_36Ar37Ar_Ca)^2)</f>
        <v>0.15833717601084682</v>
      </c>
      <c r="BQ12" s="310">
        <v>1.0000023837007155</v>
      </c>
      <c r="BR12" s="268">
        <f>IF(Rad_Type="Continuous", BO12-((EXP(lambda_36Ar*(Run_Date-Rad_Date))-1)*Cl3638_PR*BT12),BO12*Ar36_DecayFactor)</f>
        <v>1.7348002043789901</v>
      </c>
      <c r="BS12" s="268">
        <f>IF(K:K="Continuous", SQRT(BP12^2+(((EXP(lambda_36Ar*(Run_Date-Rad_Date))-1)*Cl3638_PR)*BU12^2)), Ar36_ICerr*Ar36_DecayFactor)</f>
        <v>0.15833755343928657</v>
      </c>
      <c r="BT12" s="302">
        <f>IF(Rad_Type="Continuous", BM12-(Ar3836_Air*BO12)/(1-lambda_36Ar*(Run_Date-Rad_Date)),Ar38_IC-(Ar3836_Air*Ar36_IC)/Ar36_DecayFactor)</f>
        <v>2243.4898272528389</v>
      </c>
      <c r="BU12" s="268">
        <f>IF(Rad_Type ="Continuous", SQRT(BN12^2*(((EXP(lambda_36Ar*(Run_Date-Rad_Date))-1*0.188)*BP12^2))),SQRT(Ar38_ICerr^2*(((EXP(lambda_36Ar*(Ar36_DecayFactor))-1*0.188)*Ar36_ICerr^2))))</f>
        <v>1.0536798862236931</v>
      </c>
      <c r="BV12" s="302">
        <f>Ar40_IC-(Ar36_ClCor*Ar4036_Air)</f>
        <v>11675.2385727048</v>
      </c>
      <c r="BW12" s="302">
        <f>SQRT(Ar40_ICerr^2+(Ar36_ClCorerr*Ar4036_Air)^2)</f>
        <v>61.681062197235306</v>
      </c>
      <c r="BX12" s="303">
        <v>1.3539467276583303E-12</v>
      </c>
      <c r="BY12" s="303">
        <v>6.1488073529408856E-15</v>
      </c>
      <c r="BZ12" s="303">
        <f>Ar_Sensitivity*Ar36_ClCor</f>
        <v>2.3488270598599361E-12</v>
      </c>
      <c r="CA12" s="303">
        <f>Ar36CC*SQRT((Ar36_ClCorerr/Ar36_ClCor)^2+(Ar_sensitivityerr/Ar_Sensitivity)^2)</f>
        <v>2.146458264667216E-13</v>
      </c>
      <c r="CB12" s="303">
        <f>Ar37_DecayCor*Ar_Sensitivity</f>
        <v>3.2265080200696831E-9</v>
      </c>
      <c r="CC12" s="311">
        <f>Ar37CC*SQRT((Ar37_DecayCorerr/Ar37_DecayCor)^2+(Ar_sensitivityerr/Ar_Sensitivity)^2)</f>
        <v>9.9570623284692072E-11</v>
      </c>
      <c r="CD12" s="303">
        <f>Ar_Sensitivity*Ar38_Cl</f>
        <v>3.0375657101437342E-9</v>
      </c>
      <c r="CE12" s="303">
        <f>Ar38CC*SQRT((Ar38_Clerr/Ar38_Cl)^2+(Ar_sensitivityerr/Ar_Sensitivity)^2)</f>
        <v>1.3868359829169865E-11</v>
      </c>
      <c r="CF12" s="303">
        <f>Ar_Sensitivity*Ar39_IC</f>
        <v>1.4901961652632819E-9</v>
      </c>
      <c r="CG12" s="303">
        <f>Ar39CC*SQRT((Ar39_ICerr/Ar39_IC)^2+(Ar_sensitivityerr/Ar_Sensitivity)^2)</f>
        <v>8.2766533247683722E-12</v>
      </c>
      <c r="CH12" s="303">
        <f>Ar_Sensitivity*BV12</f>
        <v>1.5807651060143981E-8</v>
      </c>
      <c r="CI12" s="303">
        <f>Ar40CC*SQRT((BW12/BV12)^2+(Ar_sensitivityerr/Ar_Sensitivity)^2)</f>
        <v>1.101273381703055E-10</v>
      </c>
      <c r="CJ12" s="303">
        <f>Ar38CC/MV</f>
        <v>1.3552114124864378E-13</v>
      </c>
      <c r="CK12" s="303">
        <f>Ar38_mole*SQRT((Ar38CCerr/Ar38CC)^2+(MVerr/MV)^2)</f>
        <v>6.1873755033018663E-16</v>
      </c>
      <c r="CL12" s="303">
        <f>Ar40CC/MV</f>
        <v>7.052591175154121E-13</v>
      </c>
      <c r="CM12" s="303">
        <f>Ar40_mole*SQRT((Ar40CCerrr/Ar40CC)^2+(MVerr/MV)^2)</f>
        <v>4.9133365422833312E-15</v>
      </c>
      <c r="CN12" s="298">
        <v>3.3680591711743944E-2</v>
      </c>
      <c r="CO12" s="298">
        <v>1.4939121278557756E-4</v>
      </c>
      <c r="CP12" s="303">
        <v>3.1991558920690447E+18</v>
      </c>
      <c r="CQ12" s="303">
        <v>7.4463843346153808E+16</v>
      </c>
      <c r="CR12" s="303">
        <v>6.2863679359943967E+18</v>
      </c>
      <c r="CS12" s="303">
        <v>6.60242669182872E+16</v>
      </c>
      <c r="CT12" s="268">
        <v>0.52916459827613271</v>
      </c>
      <c r="CU12" s="268">
        <v>7.7432785700430442E-3</v>
      </c>
      <c r="CV12" s="268">
        <v>0.90235286123626368</v>
      </c>
      <c r="CW12" s="268">
        <v>1.3458076792302986E-2</v>
      </c>
      <c r="CX12" s="303">
        <f>J*(lambda_e/lambda)*K40_Abun</f>
        <v>4.0867730880536126E-7</v>
      </c>
      <c r="CY12" s="303">
        <f>K39_Prod*SQRT((Jerr/J)^2+(lambda_eerr/lambda_e)^2+(lambda_err/lambda)^2+(K40_Abunerr/K40_Abun)^2)</f>
        <v>4.1529221570829847E-9</v>
      </c>
      <c r="CZ12" s="303">
        <f>K39_Prod*Beta</f>
        <v>3.6877113892285382E-7</v>
      </c>
      <c r="DA12" s="303">
        <f>Cl38_Prod*SQRT((K39_Proderr/K39_Prod)^2+(Betaerr/Beta)^2)</f>
        <v>6.6553085835934638E-9</v>
      </c>
      <c r="DB12" s="303">
        <f>K39_Prod*alpha</f>
        <v>2.1625756393856003E-7</v>
      </c>
      <c r="DC12" s="303">
        <f>Ca37_Prod*SQRT((K39_Prod/K39_Proderr)^2+(alphaerr/alpha)^2)</f>
        <v>2.1281294682004443E-5</v>
      </c>
      <c r="DD12" s="303">
        <f>K_constant*Ar39CC/J</f>
        <v>1.6268379144558593E-7</v>
      </c>
      <c r="DE12" s="303">
        <f>K_mole*SQRT((Ar39ccerr/Ar39CC)^2+(Jerr/J)^2+(K_Constanterr/K_constant)^2)</f>
        <v>1.8839816751933221E-9</v>
      </c>
      <c r="DF12" s="302">
        <f>K_mole*MW_K/Sample_Mass*10^6</f>
        <v>12721.319366153904</v>
      </c>
      <c r="DG12" s="302">
        <f>K_ppm*SQRT((Sample_Masserr/Sample_Mass)^2+(MW_Kerr/MW_K)^2)+(K_moleerr/K_mole)^2</f>
        <v>254.42652145499895</v>
      </c>
      <c r="DH12" s="301">
        <f>K_ppm/10^4</f>
        <v>1.2721319366153905</v>
      </c>
      <c r="DI12" s="269">
        <f>K_ppmerr/10^4</f>
        <v>2.5442652145499896E-2</v>
      </c>
      <c r="DJ12" s="303">
        <f>Cl_Constant*Ar38CC/(J*Beta)</f>
        <v>4.0527984806193761E-7</v>
      </c>
      <c r="DK12" s="303">
        <f>Cl_mole*SQRT((Ar38CCerr/Ar38CC)^2+(Jerr/J)^2+(Betaerr/Beta)^2+(Cl_Constanterr/Cl_Constant)^2)</f>
        <v>7.5446136558579549E-9</v>
      </c>
      <c r="DL12" s="302">
        <f>Cl_mole*MW_Cl/Sample_Mass*10^6</f>
        <v>28736.772906679751</v>
      </c>
      <c r="DM12" s="302">
        <f>Cl_ppm*SQRT((Sample_Masserr/Sample_Mass)^2+(MW_Clerr/MW_Cl)^2)+(Cl_moleerr/Cl_mole)^2</f>
        <v>574.73582754500592</v>
      </c>
      <c r="DN12" s="301">
        <f>Cl_ppm/10^4</f>
        <v>2.8736772906679753</v>
      </c>
      <c r="DO12" s="269">
        <f>Cl_ppmerr/10^4</f>
        <v>5.7473582754500589E-2</v>
      </c>
      <c r="DP12" s="303">
        <f>Ca_Constant*Ar37CC/(J*alpha)</f>
        <v>6.4934122038266238E-7</v>
      </c>
      <c r="DQ12" s="303">
        <f>Ca_mole*SQRT((Ar37CCerr/Ar37CC)^2+(Jerr/J)^2+(alphaerr/alpha)^2+(Ca_Constanterr/Ca_Constant)^2)</f>
        <v>2.3138330244980895E-8</v>
      </c>
      <c r="DR12" s="302">
        <f>Ca_mole*MW_Ca/Sample_Mass*10^6</f>
        <v>52051.192225874212</v>
      </c>
      <c r="DS12" s="302">
        <f>Ca_ppm*SQRT((Sample_Masserr/Sample_Mass)^2+(MW_Caerr/MW_Ca)^2)+(Ca_moleerr/Ca_mole)^2</f>
        <v>1041.0380750890054</v>
      </c>
      <c r="DT12" s="268">
        <f>Ca_ppm/10^4</f>
        <v>5.2051192225874212</v>
      </c>
      <c r="DU12" s="268">
        <f>Ca_ppmerr/10^4</f>
        <v>0.10410380750890054</v>
      </c>
      <c r="DV12" s="268">
        <f>K_mole/Cl_mole</f>
        <v>0.40141100581128203</v>
      </c>
      <c r="DW12" s="268">
        <f>KCl_mol*SQRT(K_moleerr/K_mole)^2+(Cl_moleerr/Cl_mole)^2</f>
        <v>4.9951429807592431E-3</v>
      </c>
      <c r="DX12" s="268">
        <f>K_mole/Ca_mole</f>
        <v>0.25053667677175179</v>
      </c>
      <c r="DY12" s="268">
        <f>KCa_mol*SQRT(K_moleerr/K_mole)^2+(Ca_moleerr/Ca_mole)^2</f>
        <v>4.1711235099188759E-3</v>
      </c>
      <c r="DZ12" s="268">
        <f>K_ppm/Cl_ppm</f>
        <v>0.4426843406343961</v>
      </c>
      <c r="EA12" s="268">
        <f>KCl_wt*SQRT(K_ppmerr/K_ppm)^2+(Cl_ppmerr/Cl_ppm)^2</f>
        <v>9.2536919944939122E-3</v>
      </c>
      <c r="EB12" s="268">
        <f>K_ppm/Ca_ppm</f>
        <v>0.24440015342876706</v>
      </c>
      <c r="EC12" s="268">
        <f>KCa_wt*SQRT(K_ppmerr/K_ppm)^2+(Ca_ppmerr/Ca_ppm)^2</f>
        <v>5.2880165814007379E-3</v>
      </c>
      <c r="ED12" s="303">
        <f>Ar40_mole/Cl_mole</f>
        <v>1.7401781038163773E-6</v>
      </c>
      <c r="EE12" s="303">
        <f>Ar40Cl_mol*SQRT((Ar40_moleerr/Ar40_mole)^2+(Cl_moleerr/Cl_mole)^2)</f>
        <v>3.458901280532211E-8</v>
      </c>
      <c r="EF12" s="268">
        <f>Ar40_IC/Ar39_IC</f>
        <v>11.073528332034817</v>
      </c>
      <c r="EG12" s="268">
        <f>Ar40Ar39*SQRT((CG12/CF12)^2+(CI12/CH12)^2)</f>
        <v>9.8661815021992366E-2</v>
      </c>
      <c r="EH12" s="303">
        <f>(CH12/MV)/K_mole</f>
        <v>4.335152944547063E-6</v>
      </c>
      <c r="EI12" s="303">
        <f>Ar40K*SQRT((CI12/CH12)^2+(K_moleerr/K_mole)^2+(MVerr/MV)^2)</f>
        <v>5.8588141419411464E-8</v>
      </c>
      <c r="EJ12" s="302">
        <f>(1/lambda/10^6)*LN(1+(J*Ar40Ar39))</f>
        <v>571.20155760295586</v>
      </c>
      <c r="EK12" s="268">
        <f>SQRT((J^2*Ar40Ar39^2*((Ar40Ar39err/Ar40Ar39*100)^2))/(Age^2*0.00055305^2*((1+Ar40Ar39*J)^2)))*Age/100</f>
        <v>4.376284901830517</v>
      </c>
      <c r="EL12" s="268">
        <f>SQRT((J^2*Ar40Ar39^2*((Ar40Ar39err/Ar40Ar39*100)^2+(Jerr/J*100)^2))/(Age^2*0.00055305^2*((1+Ar40Ar39*J)^2)))*Age/100</f>
        <v>4.8885983376369602</v>
      </c>
      <c r="EM12" s="317">
        <v>2500.5980049999998</v>
      </c>
      <c r="EN12" s="317">
        <v>17.338058</v>
      </c>
      <c r="EO12" s="317">
        <v>927.76477699999998</v>
      </c>
      <c r="EP12" s="317">
        <v>6.4288730000000003</v>
      </c>
      <c r="EQ12" s="317">
        <v>5.0141999999999999E-2</v>
      </c>
      <c r="ER12" s="317">
        <v>0.152646</v>
      </c>
      <c r="ES12" s="317"/>
      <c r="EU12" s="268">
        <v>3.4137000000000001E-2</v>
      </c>
      <c r="EV12" s="268">
        <v>3.5684E-2</v>
      </c>
      <c r="EW12" s="268">
        <v>-1.2727E-2</v>
      </c>
      <c r="EX12" s="268">
        <v>1.5481E-2</v>
      </c>
      <c r="EY12" s="268">
        <v>-0.111127</v>
      </c>
      <c r="EZ12" s="268">
        <v>4.9378999999999999E-2</v>
      </c>
      <c r="FC12" s="268">
        <f>Kr80Raw-Kr80Blank</f>
        <v>2500.5638679999997</v>
      </c>
      <c r="FD12" s="268">
        <f>SQRT(Kr80Rawerr^2+Kr80Blankerr^2)</f>
        <v>17.338094721139921</v>
      </c>
      <c r="FE12" s="268">
        <f>Kr82Raw-Kr82Blank</f>
        <v>927.77750400000002</v>
      </c>
      <c r="FF12" s="268">
        <f>SQRT(Kr82Rawerr^2+Kr82Blankerr^2)</f>
        <v>6.4288916394266593</v>
      </c>
      <c r="FG12" s="268">
        <f>Kr84Raw-Kr84Blank</f>
        <v>0.161269</v>
      </c>
      <c r="FH12" s="268">
        <f>SQRT(Kr84Rawerr^2+Kr84Blankerr^2)</f>
        <v>0.16043405797086852</v>
      </c>
      <c r="FI12" s="268">
        <f>Kr86Raw-Kr86Blank</f>
        <v>0</v>
      </c>
      <c r="FJ12" s="268">
        <f>SQRT(Kr86Rawerr^2+Kr86Blankerr^2)</f>
        <v>0</v>
      </c>
      <c r="FK12" s="268">
        <f>Kr84BC-((Y86Kr*Kr8684_nf)/(Y134Xe*Xe134136_nf)*Xe134AC)</f>
        <v>0.16092502003900966</v>
      </c>
      <c r="FL12" s="268">
        <f>Kr84U*SQRT((Kr84BCerr/Kr84BC)^2+(Y86Kr_err/Y86Kr)^2+(Kr8684_nferr/Kr8684_nf)^2+(Y134Xeerr/Y134Xe)^2+(Xe134136_nferr/Xe134136_nf)^2+(Xe134ACerr/Xe134AC)^2)</f>
        <v>0.17285156178633135</v>
      </c>
      <c r="FM12" s="302">
        <f>Kr80BC-(Kr84U*Kr8084_Air)</f>
        <v>2500.5574953692062</v>
      </c>
      <c r="FN12" s="302">
        <f>SQRT(Kr80BCerr^2+(Kr84Uerr*Kr8084_Air)^2)</f>
        <v>17.338096072296263</v>
      </c>
      <c r="FO12" s="302">
        <f>Kr82BC-(Kr84U*Kr8284_Air)</f>
        <v>927.7449649609481</v>
      </c>
      <c r="FP12" s="302">
        <f>SQRT(Kr82BCerr^2+(Kr84Uerr*Kr8284_Air)^2)</f>
        <v>6.4289866429272733</v>
      </c>
      <c r="FQ12" s="268">
        <f>Kr86BC-(Kr84U*Kr8684_Air)</f>
        <v>-4.9114316115905755E-2</v>
      </c>
      <c r="FR12" s="268">
        <f>SQRT(Kr86BCerr^2+(Kr84Uerr*Kr8684_Air)^2)</f>
        <v>5.2754296657188331E-2</v>
      </c>
      <c r="FS12" s="303">
        <v>1.3380462282714104E-12</v>
      </c>
      <c r="FT12" s="303">
        <v>6.763342243574739E-14</v>
      </c>
      <c r="FU12" s="268">
        <v>1.1499999999999999</v>
      </c>
      <c r="FV12" s="268">
        <v>5.0000000000000001E-3</v>
      </c>
      <c r="FW12" s="303">
        <f>(Kr80AC*Kr_sensitivity)/YKr</f>
        <v>2.9094448045691928E-9</v>
      </c>
      <c r="FX12" s="303">
        <f>Kr80cc*SQRT((Kr_sensitivityerr/Kr_sensitivity)^2+(YKrerr/YKr)^2+(Kr80ACerr/Kr80AC)^2)</f>
        <v>1.4897716668079675E-10</v>
      </c>
      <c r="FY12" s="303">
        <f>(Kr82AC*Kr_sensitivity)/YKr</f>
        <v>1.0794483923163378E-9</v>
      </c>
      <c r="FZ12" s="303">
        <f>Kr82cc*SQRT((Kr_sensitivityerr/Kr_sensitivity)^2+(YKrerr/YKr)^2+(Kr82ACerr/Kr82AC)^2)</f>
        <v>5.527221620032231E-11</v>
      </c>
      <c r="GA12" s="303">
        <f>(Kr84U*Kr_sensitivity)/YKr</f>
        <v>1.8723923138930264E-13</v>
      </c>
      <c r="GB12" s="303">
        <f>Kr84cc*SQRT((Kr_sensitivityerr/Kr_sensitivity)^2+(YKrerr/YKr)^2+(Kr84Uerr/Kr84U)^2)</f>
        <v>2.0134019393427888E-13</v>
      </c>
      <c r="GC12" s="303">
        <f>(Kr86AC*Kr_sensitivity)/YKr</f>
        <v>-5.7145413420015181E-14</v>
      </c>
      <c r="GD12" s="303">
        <f>Kr86cc*SQRT((Kr_sensitivityerr/Kr_sensitivity)^2+(YKrerr/YKr)^2+(Kr86ACerr/Kr86AC)^2)</f>
        <v>-6.1449027188741899E-14</v>
      </c>
      <c r="GE12" s="303">
        <f>Kr80cc/MV</f>
        <v>1.2980502084233002E-13</v>
      </c>
      <c r="GF12" s="303">
        <f>Kr80_mole*SQRT((MVerr/MV)^2+(Kr80ccerr/Kr80cc)^2)</f>
        <v>6.6466235059358865E-15</v>
      </c>
      <c r="GG12" s="303">
        <f>Kr82cc/MV</f>
        <v>4.8159642294224369E-14</v>
      </c>
      <c r="GH12" s="303">
        <f>Kr82_mole*SQRT((MVerr/MV)^2+(Kr82ccerr/Kr82cc)^2)</f>
        <v>2.4659726024282598E-15</v>
      </c>
      <c r="GI12" s="303">
        <f>Kr84cc/MV</f>
        <v>8.3536873752754036E-18</v>
      </c>
      <c r="GJ12" s="303">
        <f>Kr84_mole*SQRT((MVerr/MV)^2+(Kr84ccerr/Kr84cc)^2)</f>
        <v>8.9828025020435111E-18</v>
      </c>
      <c r="GK12" s="268">
        <f>Kr80_mole/Kr82_mole</f>
        <v>2.6953069968689762</v>
      </c>
      <c r="GL12" s="268">
        <f>Kr8082_mole*SQRT(Kr80_moleerr/Kr80_mole)^2+(Kr82_moleerr/Kr82_mole)^2</f>
        <v>0.14063417346774232</v>
      </c>
      <c r="GM12" s="303">
        <f>(Kr80_mole/Ar38_mole)*Br79_Constant</f>
        <v>4.4761123234664614E-2</v>
      </c>
      <c r="GN12" s="303">
        <f>Br79_Cl_meas*SQRT((Kr80_moleerr/Kr80_mole)^2+(Ar38CCerr/Ar38CC)^2+(MVerr/MV)^2+(Br79_Constanterr/Br79_Constant)^2)</f>
        <v>2.399956617900162E-3</v>
      </c>
      <c r="GO12" s="305">
        <f>IF(Scapolite="BB2",Br79_Cl_meas/BB2_SP_BrCl,Br79_Cl_meas/BB1_BrCl)</f>
        <v>3.2435596546858418</v>
      </c>
      <c r="GP12" s="305">
        <f>IF(Scapolite="BB2",Br79_Factor*SQRT((Br79_Cl_measerr/Br79_Cl_meas)^2+(BB2_SP_BrClerr/BB2_SP_BrCl)^2),Br79_Factor*SQRT((Br79_Cl_measerr/Br79_Cl_meas)^2+(BB1_BrClerr/BB1_BrCl)^2))</f>
        <v>0.25612663502190819</v>
      </c>
      <c r="GQ12" s="313">
        <f>IF(Scapolite="BB2",(Kr80cc/Ar38CC)*(BB2_SP_Cl/BB2_SP_Br),(Kr80cc/Ar38CC)*(BB1_Cl/BB1_Br))</f>
        <v>68.606727130124426</v>
      </c>
      <c r="GR12" s="313">
        <f>IF(Scapolite="BB2",Pi*SQRT((Kr80ccerr/Kr80cc)^2+(Ar38CCerr/Ar38CC)^2+(BB2_SP_Brerr/BB2_SP_Br)^2+(BB2_SP_Clerr/BB2_SP_Cl)^2),Pi*SQRT((Kr80ccerr/Kr80cc)^2+(Ar38CCerr/Ar38CC)^2+(BB1_Brerr/BB1_Br)^2+(BB1_Clerr/BB1_Cl)^2))</f>
        <v>6.6132603819682094</v>
      </c>
      <c r="GS12" s="303">
        <f>Pi*Cl38_Prod</f>
        <v>2.5300180901545437E-5</v>
      </c>
      <c r="GT12" s="303">
        <f>GS12*SQRT((Pi_err/Pi)^2+(Cl38_Proderr/Cl38_Prod)^2)</f>
        <v>2.4811546403102316E-6</v>
      </c>
      <c r="GU12" s="303">
        <f>(Kr82_mole/Ar38_mole)*Br81_Constant</f>
        <v>7.2237921012559797E-2</v>
      </c>
      <c r="GV12" s="303">
        <f>GU12*SQRT((Kr82_moleerr/Kr82_mole)^2+(Ar38_moleerr/Ar38_mole)^2+(Br81_Constanterr/Br81_Constant)^2)</f>
        <v>3.9667400921210901E-3</v>
      </c>
      <c r="GW12" s="305">
        <f>IF(Scapolite="BB2",GU12/BB2_SP_BrCl,GU12/BB1_BrCl)</f>
        <v>5.2346319574318692</v>
      </c>
      <c r="GX12" s="305">
        <f>IF(Scapolite="BB2",GW12*SQRT((GV12/GU12)^2+(BB2_SP_BrClerr/BB2_SP_BrCl)^2),GW12*SQRT((GV12/GU12)^2+(BB1_BrClerr/BB1_BrCl)^2))</f>
        <v>0.41798408531425091</v>
      </c>
      <c r="GY12" s="313">
        <f>IF(Scapolite="BB2",(Kr82cc/Ar38CC)*(BB2_SP_Cl/BB2_SP_Br),(Kr82cc/Ar38CC)*(BB1_Cl/BB1_Br))</f>
        <v>25.454142036444072</v>
      </c>
      <c r="GZ12" s="313">
        <f>IF(Scapolite="BB2",Pi_prime*SQRT((Kr82ccerr/Kr82cc)^2+(Ar38CCerr/Ar38CC)^2+(BB2_SP_Brerr/BB2_SP_Br)^2+(BB2_SP_Clerr/BB2_SP_Cl)^2),Pi_prime*SQRT((Kr82ccerr/Kr82cc)^2+(Ar38CCerr/Ar38CC)^2+(BB1_Brerr/BB1_Br)^2+(BB1_Clerr/BB1_Cl)^2))</f>
        <v>2.4536131332141942</v>
      </c>
      <c r="HA12" s="303">
        <f>Pi_prime*Cl38_Prod</f>
        <v>9.3867529490835699E-6</v>
      </c>
      <c r="HB12" s="303">
        <f>Br81_Prod*SQRT((Pi_primeerr/Pi_prime)^2+(Cl38_Proderr/Cl38_Prod)^2)</f>
        <v>9.2054355562420022E-7</v>
      </c>
      <c r="HC12" s="268"/>
      <c r="HD12" s="268"/>
      <c r="HE12" s="302" t="e">
        <f>(Kr80_mole/Br79_FactorSW)/(Y_79Br*Br79_Abun*(Therm_CS_79Br*Therm_Flux))*(MW_Br/Sample_Mass*10^6)</f>
        <v>#DIV/0!</v>
      </c>
      <c r="HF12" s="302" t="e">
        <f>HE12*SQRT((Kr80_moleerr/Kr80_mole)^2+(Sample_Masserr/Sample_Mass)^2+(Br79Factor_SWerr/Br79_FactorSW)^2+(Therm_CS_79Brerr/Therm_CS_79Br)^2+(Br79_Abunerr/Br79_Abun)^2+(Therm_Fluxerr/Therm_Flux)^2)</f>
        <v>#DIV/0!</v>
      </c>
      <c r="HG12" s="268"/>
      <c r="HH12" s="268"/>
      <c r="HI12" s="302" t="e">
        <f>(Kr82_mole/Br81_FactorSW)/(Y_81Br*Br81_Abun*(Therm_CS_81Br*Therm_Flux))*(MW_Br/Sample_Mass*10^6)</f>
        <v>#DIV/0!</v>
      </c>
      <c r="HJ12" s="302" t="e">
        <f>HI12*SQRT((Kr82_moleerr/Kr82_mole)^2+(Sample_Masserr/Sample_Mass)^2+(Br81_FactorSWerr/Br81_FactorSW)^2+(Therm_CS_81Brerr/Therm_CS_81Br)^2+(Br81_Abunerr/Br81_Abun)^2+(Therm_Fluxerr/Therm_Flux)^2)</f>
        <v>#DIV/0!</v>
      </c>
      <c r="HK12" s="269">
        <v>4.5899169999999998</v>
      </c>
      <c r="HL12" s="269">
        <v>6.7153000000000004E-2</v>
      </c>
      <c r="HM12" s="269">
        <v>6.1050000000000002E-3</v>
      </c>
      <c r="HN12" s="269">
        <v>7.8200000000000003E-4</v>
      </c>
      <c r="HO12" s="269">
        <v>2.3800000000000002E-3</v>
      </c>
      <c r="HP12" s="269">
        <v>2.5599999999999999E-4</v>
      </c>
      <c r="HQ12" s="269">
        <v>0.87662399999999996</v>
      </c>
      <c r="HR12" s="269">
        <v>1.4197E-2</v>
      </c>
      <c r="HS12" s="269">
        <v>7.835E-3</v>
      </c>
      <c r="HT12" s="269">
        <v>7.1299999999999998E-4</v>
      </c>
      <c r="HU12" s="269">
        <v>5.7670000000000004E-3</v>
      </c>
      <c r="HV12" s="269">
        <v>7.1000000000000002E-4</v>
      </c>
      <c r="HW12" s="269">
        <v>5.7959999999999999E-3</v>
      </c>
      <c r="HX12" s="269">
        <v>5.3899999999999998E-4</v>
      </c>
      <c r="HY12" s="269">
        <v>3.7469999999999999E-3</v>
      </c>
      <c r="HZ12" s="269">
        <v>2.8899999999999998E-4</v>
      </c>
      <c r="IA12" s="269">
        <v>2.875E-3</v>
      </c>
      <c r="IB12" s="269">
        <v>1.93E-4</v>
      </c>
      <c r="IC12" s="269">
        <v>1.8550000000000001E-3</v>
      </c>
      <c r="ID12" s="269">
        <v>1.5799999999999999E-4</v>
      </c>
      <c r="IE12" s="269">
        <v>2.7799999999999999E-3</v>
      </c>
      <c r="IF12" s="269">
        <v>2.7900000000000001E-4</v>
      </c>
      <c r="IG12" s="269">
        <v>2.1909999999999998E-3</v>
      </c>
      <c r="IH12" s="269">
        <v>1.3899999999999999E-4</v>
      </c>
      <c r="II12" s="269">
        <v>1.6969999999999999E-3</v>
      </c>
      <c r="IJ12" s="269">
        <v>2.2599999999999999E-4</v>
      </c>
      <c r="IK12" s="269">
        <v>2.0739999999999999E-3</v>
      </c>
      <c r="IL12" s="269">
        <v>2.23E-4</v>
      </c>
      <c r="IM12" s="269">
        <f>Xe128Raw-Xe128Blank</f>
        <v>4.5861700000000001</v>
      </c>
      <c r="IN12" s="269">
        <f>SQRT(Xe128Rawerr^2+Xe128Blankerr^2)</f>
        <v>6.7153621868072014E-2</v>
      </c>
      <c r="IO12" s="269">
        <f>Xe129Raw-Xe129Blank</f>
        <v>3.2300000000000002E-3</v>
      </c>
      <c r="IP12" s="269">
        <f>SQRT(Xe129Rawerr^2+Xe129Blankerr^2)</f>
        <v>8.0546446228247715E-4</v>
      </c>
      <c r="IQ12" s="269">
        <f>Xe130Raw-Xe130Blank</f>
        <v>5.2500000000000008E-4</v>
      </c>
      <c r="IR12" s="269">
        <f>SQRT(Xe130Rawerr^2+Xe130Blankerr^2)</f>
        <v>3.0083217912982649E-4</v>
      </c>
      <c r="IS12" s="269">
        <f>Xe131Raw-Xe131Blank</f>
        <v>0.87384399999999995</v>
      </c>
      <c r="IT12" s="269">
        <f>SQRT(Xe131Rawerr^2+Xe131Blankerr^2)</f>
        <v>1.4199741194824643E-2</v>
      </c>
      <c r="IU12" s="269">
        <f>Xe132Raw-Xe132Blank</f>
        <v>5.6439999999999997E-3</v>
      </c>
      <c r="IV12" s="269">
        <f>SQRT(Xe132Rawerr^2+Xe132Blankerr^2)</f>
        <v>7.2642274193474975E-4</v>
      </c>
      <c r="IW12" s="269">
        <f>Xe134Raw-Xe134Blank</f>
        <v>4.0700000000000007E-3</v>
      </c>
      <c r="IX12" s="269">
        <f>SQRT(Xe134Rawerr^2+Xe134Blankerr^2)</f>
        <v>7.4510133539002605E-4</v>
      </c>
      <c r="IY12" s="269">
        <f>Xe136Raw-Xe136Blank</f>
        <v>3.722E-3</v>
      </c>
      <c r="IZ12" s="269">
        <f>SQRT(Xe136Rawerr^2+Xe136Blankerr^2)</f>
        <v>5.8330952332359524E-4</v>
      </c>
      <c r="JA12" s="269">
        <f>Xe128BC-(Xe130BC*Xe128130_Air)</f>
        <v>4.5859224108321248</v>
      </c>
      <c r="JB12" s="269">
        <f>SQRT(Xe128BCerr^2+(Xe130BCerr*Xe128130_Air)^2)</f>
        <v>6.7153771730695699E-2</v>
      </c>
      <c r="JC12" s="269">
        <f>Xe129BC-(Xe130BC*Xe129130_Air)</f>
        <v>-1.7868560095000031E-4</v>
      </c>
      <c r="JD12" s="269">
        <f>SQRT(Xe129BCerr^2+(Xe130BCerr*Xe129130_Air)^2)</f>
        <v>2.1127836828846911E-3</v>
      </c>
      <c r="JE12" s="269">
        <f>Xe131BC-(Xe130BC*Xe131130_Air)</f>
        <v>0.87110803566715</v>
      </c>
      <c r="JF12" s="269">
        <f>SQRT(Xe131BCerr^2+(Xe130BCerr*Xe131130_Air)^2)</f>
        <v>1.428602374032093E-2</v>
      </c>
      <c r="JG12" s="269">
        <f>Xe132BC-(Xe130BC*Xe132130_Air)</f>
        <v>2.1763645971249988E-3</v>
      </c>
      <c r="JH12" s="269">
        <f>SQRT(Xe132BCerr^2+(Xe130BCerr*Xe132130_Air)^2)</f>
        <v>2.1156249552950332E-3</v>
      </c>
      <c r="JI12" s="269">
        <f>Xe134BC-(Xe130BC*Xe134130_Air)</f>
        <v>2.7186624834500007E-3</v>
      </c>
      <c r="JJ12" s="269">
        <f>SQRT(Xe134BCerr^2+(Xe130BCerr*Xe134130_Air)^2)</f>
        <v>1.0746024846535747E-3</v>
      </c>
      <c r="JK12" s="269">
        <f>Xe136BC-(Xe130BC*Xe136130_Air)</f>
        <v>2.5797608983249998E-3</v>
      </c>
      <c r="JL12" s="269">
        <f>SQRT(Xe136BCerr^2+(Xe130BCerr*Xe136130_Air)^2)</f>
        <v>8.7672380500952967E-4</v>
      </c>
      <c r="JM12" s="303">
        <v>1.0646974269079652E-12</v>
      </c>
      <c r="JN12" s="303">
        <v>1.7365359098361633E-14</v>
      </c>
      <c r="JO12" s="301">
        <v>1</v>
      </c>
      <c r="JP12" s="301">
        <v>0</v>
      </c>
      <c r="JQ12" s="303">
        <f>(Xe128AC*Xe_Sensitivity)/YXe</f>
        <v>4.882619790812536E-12</v>
      </c>
      <c r="JR12" s="303">
        <f>Xe128CC*SQRT((Xe_Sensitivityerr/Xe_Sensitivity)^2+(YXeerr/YXe)^2+(Xe128ACerr/Xe128AC)^2)</f>
        <v>1.0702313177006337E-13</v>
      </c>
      <c r="JS12" s="303">
        <f>Xe128CC/MV</f>
        <v>2.1783831840227693E-16</v>
      </c>
      <c r="JT12" s="303">
        <f>Xe128mole*SQRT((Xe128CCerr/Xe128CC)^2+(MVerr/MV)^2)</f>
        <v>4.7748422080634494E-18</v>
      </c>
      <c r="JU12" s="268"/>
      <c r="JV12" s="268"/>
      <c r="JW12" s="303" t="e">
        <f>(Xe128mole/IFactor_SW)/((Therm_CS_127I*Therm_Flux)*I127_Abun*Y_127I)</f>
        <v>#DIV/0!</v>
      </c>
      <c r="JX12" s="303" t="e">
        <f>I_mole*SQRT((Xe128CCerr/Xe128CC)^2+(IFactor_SWerr/IFactor_SW)^2+(Therm_CS_127Ierr/Therm_CS_127I)^2+(Therm_Fluxerr/Therm_Flux)^2)</f>
        <v>#DIV/0!</v>
      </c>
      <c r="JY12" s="302" t="e">
        <f>I_mole*MW_I/Sample_Mass*10^9</f>
        <v>#DIV/0!</v>
      </c>
      <c r="JZ12" s="302" t="e">
        <f>JY12*SQRT(I_moleerr/I_mole)^2+(MVerr/MV)^2+(Sample_Masserr/Sample_Mass)</f>
        <v>#DIV/0!</v>
      </c>
      <c r="KA12" s="268">
        <f>Xe131AC-Xe131136_nf/Xe134136_nf*Xe134AC</f>
        <v>0.87011962948335964</v>
      </c>
      <c r="KB12" s="268">
        <f>SQRT(Xe131ACerr^2+(Xe131136_nf/Xe134136_nf*Xe134AC)^2*((Xe131136_nferr/Xe131136_nf)^2+(Xe134136_nferr/Xe134136_nf)^2+(Xe134ACerr/Xe134AC)^2))</f>
        <v>1.4291421554934536E-2</v>
      </c>
      <c r="KC12" s="303">
        <f>(Xe131Ba*Xe_Sensitivity)/YXe</f>
        <v>9.2641413061304513E-13</v>
      </c>
      <c r="KD12" s="303">
        <f>Xe131Bacc*SQRT((Xe_Sensitivityerr/Xe_Sensitivity)^2+(YXeerr/YXe)^2+(Xe131Baerr/Xe131Ba)^2)</f>
        <v>2.1443837048639168E-14</v>
      </c>
      <c r="KE12" s="303">
        <f>Xe131Bacc/MV</f>
        <v>4.1332011297826109E-17</v>
      </c>
      <c r="KF12" s="303">
        <f>Xe131mole*SQRT((Xe131CCerr/Xe131CC)^2+(MVerr/MV)^2)</f>
        <v>9.5671782861820261E-19</v>
      </c>
      <c r="KG12" s="305"/>
      <c r="KH12" s="305"/>
      <c r="KI12" s="303" t="e">
        <f>(Xe131mole/Ba_FactorSW)/((Therm_CS_130Ba*Therm_Flux)*Ba130_Abun*Y_130Ba)</f>
        <v>#DIV/0!</v>
      </c>
      <c r="KJ12" s="303" t="e">
        <f>Ba_mole*SQRT((Xe131moleerr/Xe131mole)^2+(Ba_FactorSWerr/Ba_FactorSW)^2+(Therm_CS_130Baerr/Therm_CS_130Ba)^2+(Therm_Fluxerr/Therm_Flux)^2)</f>
        <v>#DIV/0!</v>
      </c>
      <c r="KK12" s="302" t="e">
        <f>Ba_mole*MW_Ba/Sample_Mass*10^6</f>
        <v>#DIV/0!</v>
      </c>
      <c r="KL12" s="302" t="e">
        <f>KK12*SQRT(I_moleerr/I_mole)^2+(MVerr/MV)^2+(Sample_Masserr/Sample_Mass)</f>
        <v>#DIV/0!</v>
      </c>
      <c r="KM12" s="303">
        <f>(Xe134AC*Xe_Sensitivity)/YXe</f>
        <v>2.8945529507604342E-15</v>
      </c>
      <c r="KN12" s="303">
        <f>Xe134CC*SQRT((Xe_Sensitivityerr/Xe_Sensitivity)^2+(YXeerr/YXe)^2+(Xe134ACerr/Xe134AC)^2)</f>
        <v>1.1451001200261649E-15</v>
      </c>
      <c r="KO12" s="303">
        <f>Xe134CC/MV</f>
        <v>1.2914062006353158E-19</v>
      </c>
      <c r="KP12" s="303">
        <f>Xe134mole*SQRT((Xe134CCerr/Xe134CC)^2+(MVerr/MV)^2)</f>
        <v>5.1088697305161653E-20</v>
      </c>
      <c r="KQ12" s="303">
        <f>Xe134mole/((Therm_CS_235U*Therm_Flux)*U235_Abun*Y_235U)</f>
        <v>1.1931399045902365E-13</v>
      </c>
      <c r="KR12" s="303">
        <f>U_mole*SQRT((Xe134moleerr/Xe134mole)^2+(Therm_CS_235Uerr/Therm_CS_235U)^2+(Therm_Fluxerr/Therm_Flux)^2)</f>
        <v>4.7282860739047448E-14</v>
      </c>
      <c r="KS12" s="302">
        <f>U_mole*MW_U/Sample_Mass*10^9</f>
        <v>56.800358193423591</v>
      </c>
      <c r="KT12" s="302">
        <f>KS12*SQRT((U_moleerr/U_mole)^2+(MVerr/MV)^2+(Sample_Masserr/Sample_Mass)^2)</f>
        <v>22.538023482222254</v>
      </c>
      <c r="KU12" s="303">
        <f>(Xe128mole/Ar38_mole)*I127_Constant</f>
        <v>1.0429493152164426E-4</v>
      </c>
      <c r="KV12" s="303">
        <f>KU12*SQRT((Xe128moleerr/Xe128mole)^2+(Ar38_moleerr/Ar38_mole)^2+(I127_Constanterr/I127_Constant)^2)</f>
        <v>2.8609760143980164E-6</v>
      </c>
      <c r="KW12" s="305">
        <f>IF(Scapolite="BB2",KU12/BB2_SP_ICl,KU12/BB1_ICl)</f>
        <v>4.0268313328820176</v>
      </c>
      <c r="KX12" s="305">
        <f>IF(Scapolite="BB2",KW12*SQRT((KV12/KU12)^2+(BB2_SP_IClerr/BB2_SP_ICl)^2),KW12*SQRT((KV12/KU12)^2+(BB1_IClerr/BB1_ICl)^2))</f>
        <v>0.12676589469505184</v>
      </c>
      <c r="KY12" s="313">
        <f>IF(Scapolite="BB2",(Xe128CC/Ar38CC)*(BB2_SP_Cl/BB2_SP_I),(Xe128CC/Ar38CC)*(BB1_Cl/BB1_I))</f>
        <v>62.062242147344428</v>
      </c>
      <c r="KZ12" s="313">
        <f>IF(Scapolite="BB2",Omega*SQRT((Xe128CCerr/Xe128CC)^2+(Ar38CCerr/Ar38CC)^2+(BB2_SP_Ierr/BB2_SP_I)^2+(BB2_SP_Clerr/BB2_SP_Cl)^2),Omega*SQRT((Xe128CCerr/Xe128CC)^2+(Ar38CCerr/Ar38CC)^2+(BB1_Ierr/BB1_I)^2+(BB1_Ierr/BB1_I)^2))</f>
        <v>4.1823352946428107</v>
      </c>
      <c r="LA12" s="303">
        <f>Omega*Cl38_Prod</f>
        <v>2.2886763720782146E-5</v>
      </c>
      <c r="LB12" s="303">
        <f>I127_Prod*SQRT((Omegaerr/Omega)^2+(Cl38_Proderr/Cl38_Prod)^2)</f>
        <v>1.5966746209850946E-6</v>
      </c>
      <c r="LC12" s="303"/>
      <c r="LD12" s="266" t="str">
        <f>Scapolite</f>
        <v>BB1</v>
      </c>
      <c r="LE12" s="266" t="str">
        <f>Irradiation</f>
        <v>MN19a</v>
      </c>
      <c r="LF12" s="315">
        <f>Tube</f>
        <v>4</v>
      </c>
      <c r="LG12" s="315">
        <f>K_ppm</f>
        <v>12721.319366153904</v>
      </c>
      <c r="LH12" s="315">
        <f>K_ppmerr</f>
        <v>254.42652145499895</v>
      </c>
      <c r="LI12" s="315">
        <f>Cl_ppm</f>
        <v>28736.772906679751</v>
      </c>
      <c r="LJ12" s="315">
        <f>Cl_ppmerr</f>
        <v>574.73582754500592</v>
      </c>
      <c r="LK12" s="315">
        <f>Ca_ppm</f>
        <v>52051.192225874212</v>
      </c>
      <c r="LL12" s="315">
        <f>Ca_ppmerr</f>
        <v>1041.0380750890054</v>
      </c>
      <c r="LM12" s="315" t="e">
        <f>Br79_ppm</f>
        <v>#DIV/0!</v>
      </c>
      <c r="LN12" s="315" t="e">
        <f>Br79_ppmerr</f>
        <v>#DIV/0!</v>
      </c>
      <c r="LO12" s="315" t="e">
        <f>Br81_ppm</f>
        <v>#DIV/0!</v>
      </c>
      <c r="LP12" s="315" t="e">
        <f>Br81_ppmerr</f>
        <v>#DIV/0!</v>
      </c>
      <c r="LQ12" s="315" t="e">
        <f>I_ppb</f>
        <v>#DIV/0!</v>
      </c>
      <c r="LR12" s="315" t="e">
        <f>I_ppberr</f>
        <v>#DIV/0!</v>
      </c>
      <c r="LS12" s="308">
        <f>Br79_Factor</f>
        <v>3.2435596546858418</v>
      </c>
      <c r="LT12" s="308">
        <f>Br79_Factorerr</f>
        <v>0.25612663502190819</v>
      </c>
      <c r="LU12" s="316">
        <f>Pi</f>
        <v>68.606727130124426</v>
      </c>
      <c r="LV12" s="316">
        <f>Pi_err</f>
        <v>6.6132603819682094</v>
      </c>
      <c r="LW12" s="266">
        <f>Br79_Prod</f>
        <v>2.5300180901545437E-5</v>
      </c>
      <c r="LX12" s="266">
        <f>Br79_Proderr</f>
        <v>2.4811546403102316E-6</v>
      </c>
      <c r="LY12" s="308">
        <f>Br81_Factor</f>
        <v>5.2346319574318692</v>
      </c>
      <c r="LZ12" s="308">
        <f>Br81_Factorerr</f>
        <v>0.41798408531425091</v>
      </c>
      <c r="MA12" s="307">
        <f>Pi_prime</f>
        <v>25.454142036444072</v>
      </c>
      <c r="MB12" s="307">
        <f>Pi_primeerr</f>
        <v>2.4536131332141942</v>
      </c>
      <c r="MC12" s="266">
        <f>Br81_Prod</f>
        <v>9.3867529490835699E-6</v>
      </c>
      <c r="MD12" s="266">
        <f>Br81_Proderr</f>
        <v>9.2054355562420022E-7</v>
      </c>
      <c r="ME12" s="308">
        <f>I_Factor</f>
        <v>4.0268313328820176</v>
      </c>
      <c r="MF12" s="308">
        <f>I_Factorerr</f>
        <v>0.12676589469505184</v>
      </c>
      <c r="MG12" s="315">
        <f>Omega</f>
        <v>62.062242147344428</v>
      </c>
      <c r="MH12" s="315">
        <f>Omegaerr</f>
        <v>4.1823352946428107</v>
      </c>
      <c r="MI12" s="266">
        <f>I127_Prod</f>
        <v>2.2886763720782146E-5</v>
      </c>
      <c r="MJ12" s="266">
        <f>I127_Proderr</f>
        <v>1.5966746209850946E-6</v>
      </c>
    </row>
    <row r="13" spans="1:348" s="304" customFormat="1" ht="24.9" hidden="1" customHeight="1">
      <c r="A13" s="271" t="s">
        <v>844</v>
      </c>
      <c r="B13" s="271" t="s">
        <v>49</v>
      </c>
      <c r="C13" s="271">
        <v>5.0000000000000001E-4</v>
      </c>
      <c r="D13" s="298">
        <f t="shared" si="0"/>
        <v>1.0000000000000001E-5</v>
      </c>
      <c r="E13" s="299">
        <v>44232</v>
      </c>
      <c r="F13" s="271" t="s">
        <v>210</v>
      </c>
      <c r="G13" s="271" t="s">
        <v>834</v>
      </c>
      <c r="H13" s="271">
        <v>4</v>
      </c>
      <c r="I13" s="271">
        <v>30</v>
      </c>
      <c r="J13" s="299">
        <v>43831</v>
      </c>
      <c r="K13" s="299" t="s">
        <v>322</v>
      </c>
      <c r="L13" s="271" t="s">
        <v>832</v>
      </c>
      <c r="M13" s="309"/>
      <c r="N13" s="271">
        <v>120</v>
      </c>
      <c r="O13" s="317">
        <v>20541.357528</v>
      </c>
      <c r="P13" s="317">
        <v>64.544672000000006</v>
      </c>
      <c r="Q13" s="317">
        <v>1546.9774170000001</v>
      </c>
      <c r="R13" s="317">
        <v>4.8877810000000004</v>
      </c>
      <c r="S13" s="317">
        <v>2482.7665149999998</v>
      </c>
      <c r="T13" s="317">
        <v>8.0595320000000008</v>
      </c>
      <c r="U13" s="317">
        <v>1.3490500000000001</v>
      </c>
      <c r="V13" s="317">
        <v>3.9136999999999998E-2</v>
      </c>
      <c r="W13" s="317">
        <v>4.3261139999999996</v>
      </c>
      <c r="X13" s="317">
        <v>9.6439999999999998E-2</v>
      </c>
      <c r="Y13" s="268">
        <v>63.499560000000002</v>
      </c>
      <c r="Z13" s="268">
        <v>0.282914</v>
      </c>
      <c r="AA13" s="268">
        <v>0.727634</v>
      </c>
      <c r="AB13" s="268">
        <v>3.4834999999999998E-2</v>
      </c>
      <c r="AC13" s="268">
        <v>0.60790699999999998</v>
      </c>
      <c r="AD13" s="268">
        <v>0.124124</v>
      </c>
      <c r="AE13" s="268">
        <v>0.14067099999999999</v>
      </c>
      <c r="AF13" s="268">
        <v>1.9252999999999999E-2</v>
      </c>
      <c r="AG13" s="268">
        <v>0.162019</v>
      </c>
      <c r="AH13" s="268">
        <v>3.8245000000000001E-2</v>
      </c>
      <c r="AI13" s="270">
        <f>Ar40Raw-Ar40Blank</f>
        <v>20477.857968</v>
      </c>
      <c r="AJ13" s="270">
        <f>SQRT(Ar40Blankerr^2+Ar40Rawerr^2)</f>
        <v>64.545292035275367</v>
      </c>
      <c r="AK13" s="270">
        <f>Ar39Raw-Ar39Blank</f>
        <v>1546.249783</v>
      </c>
      <c r="AL13" s="270">
        <f>SQRT(Ar39Blankerr^2+Ar39Rawerr^2)</f>
        <v>4.8879051321794291</v>
      </c>
      <c r="AM13" s="270">
        <f>Ar38Raw-Ar38Blank</f>
        <v>2482.1586079999997</v>
      </c>
      <c r="AN13" s="270">
        <f>SQRT(Ar38Blankerr^2+Ar38Rawerr^2)</f>
        <v>8.0604877536288093</v>
      </c>
      <c r="AO13" s="270">
        <f>Ar37Raw-Ar37Blank</f>
        <v>1.2083790000000001</v>
      </c>
      <c r="AP13" s="270">
        <f>SQRT(Ar37Blankerr^2+Ar37Rawerr^2)</f>
        <v>4.3616313209623753E-2</v>
      </c>
      <c r="AQ13" s="270">
        <f>Ar36Raw-Ar36Blank</f>
        <v>4.1640949999999997</v>
      </c>
      <c r="AR13" s="270">
        <f>SQRT(Ar36Blankerr^2+Ar36Rawerr^2)</f>
        <v>0.10374658367869276</v>
      </c>
      <c r="AS13" s="271">
        <v>303</v>
      </c>
      <c r="AT13" s="271">
        <v>0.5</v>
      </c>
      <c r="AU13" s="270">
        <f>Ar39BC*(1+(Ar4036_Aircal/Ar4036_Air-1)/4)</f>
        <v>1556.0610125875633</v>
      </c>
      <c r="AV13" s="270">
        <f>SQRT(Ar39BCerr^2+(Ar39BC*(Ar4036_Aircal/Ar4036_Air-1)/4)^2*((Ar4036_Aircalerr/Ar4036_Aircal)^2+(Ar39BCerr/Ar39BC)^2+(Ar4036_airerr/Ar4036_Air)^2))</f>
        <v>4.8880411769939043</v>
      </c>
      <c r="AW13" s="270">
        <f>Ar38BC*(1+2*(Ar4036_Aircal/Ar4036_Air-1)/4)</f>
        <v>2513.6580827208118</v>
      </c>
      <c r="AX13" s="270">
        <f>SQRT(Ar38BCerr^2+(Ar38BC*(Ar4036_Aircal/Ar4036_Air-1)/4)^2*((Ar4036_Aircalerr/Ar4036_Aircal)^2+(Ar38BCerr/Ar38BC)^2+(Ar4036_airerr/Ar4036_Air)^2))</f>
        <v>8.0607088471531743</v>
      </c>
      <c r="AY13" s="270">
        <f>Ar37BC*(1+3*(Ar4036_Aircal/Ar4036_Air-1)/4)</f>
        <v>1.2313811383248732</v>
      </c>
      <c r="AZ13" s="270">
        <f>SQRT(Ar37BCerr^2+(Ar37BC*(Ar4036_Aircal/Ar4036_Air-1)/3)^2*((Ar4036_Aircalerr/Ar4036_Aircal)^2+(Ar37BCerr/Ar37BC)^2+(Ar4036_airerr/Ar4036_Air)^2))</f>
        <v>4.3617878694639518E-2</v>
      </c>
      <c r="BA13" s="270">
        <f>Ar36BC*(1+4*(Ar4036_Aircal/Ar4036_Air-1)/4)</f>
        <v>4.2697826903553295</v>
      </c>
      <c r="BB13" s="270">
        <f>SQRT(Ar36BCerr^2+(Ar36BC*(Ar4036_Aircal/Ar4036_Air-1)/4)^2*((Ar4036_Aircalerr/Ar4036_Aircal)^2+(Ar36BCerr/Ar36BC)^2+(Ar4036_airerr/Ar4036_Air)^2))</f>
        <v>0.10374868500712429</v>
      </c>
      <c r="BC13" s="268">
        <v>2279.2032462607435</v>
      </c>
      <c r="BD13" s="269">
        <v>1.0027995366556639</v>
      </c>
      <c r="BE13" s="270">
        <f>IF(Rad_Type="Continuous", Ar37_DC*EXP(lambda_37Ar*(Run_Date-Rad_Date)),Ar37_DC*Ar37_DecayFactor)</f>
        <v>2806.5678878543008</v>
      </c>
      <c r="BF13" s="270">
        <f>IF(Rad_Type="Continuous", (Ar37_DCerr*EXP(lambda_37Ar*(Run_Date-Rad_Date))), Ar37_DCerr*Ar37_DecayFactor)</f>
        <v>99.414010715829718</v>
      </c>
      <c r="BG13" s="270">
        <f>IF(Rad_Type="Continuous", Ar39_DC*EXP(lambda_39Ar*(Run_Date-Rad_Date)), Ar39_DC*Ar39_DecayFactor)</f>
        <v>1560.4172624307516</v>
      </c>
      <c r="BH13" s="270">
        <f>IF(Rad_Type="Continuous", (Ar39_DCerr*EXP(lambda_39Ar*(Run_Date-Rad_Date))), Ar39_DCerr*Ar39_DecayFactor)</f>
        <v>4.9017254274432931</v>
      </c>
      <c r="BI13" s="302">
        <f>Ar40BC-(Salt_40Ar39Ar_K*Ar39_IC)</f>
        <v>20275.000993157486</v>
      </c>
      <c r="BJ13" s="270">
        <f>SQRT(Ar40BCerr^2+(Ar39_ICerr*Salt_40Ar39Ar_K)^2)</f>
        <v>64.548448996145154</v>
      </c>
      <c r="BK13" s="302">
        <f>Ar39_DecayCor-(Salt_39Ar37Ar_Ca*Ar37_DecayCor)</f>
        <v>1557.8524299511987</v>
      </c>
      <c r="BL13" s="270">
        <f>SQRT(Ar39_DecayCorerr^2+(Ar37_DecayCorerr*Salt_39Ar37Ar_Ca)^2)</f>
        <v>4.9025672989802356</v>
      </c>
      <c r="BM13" s="302">
        <f>Ar38_DC-(Salt_38Ar39Ar_K*Ar39_DecayCor)</f>
        <v>2489.5619651509828</v>
      </c>
      <c r="BN13" s="270">
        <f>SQRT(Ar38_DCerr^2+(Ar39_DecayCorerr*Salt_38Ar39Ar_K)^2)</f>
        <v>8.0610642311043854</v>
      </c>
      <c r="BO13" s="270">
        <f>Ar36_DC-(Salt_36Ar37Ar_Ca*Ar37_DecayCor)</f>
        <v>3.2907700074088666</v>
      </c>
      <c r="BP13" s="270">
        <f>SQRT(Ar36_DCerr^2+(Ar37_DecayCorerr*Salt_36Ar37Ar_Ca)^2)</f>
        <v>0.10939098829712114</v>
      </c>
      <c r="BQ13" s="310">
        <v>1.0000023837007155</v>
      </c>
      <c r="BR13" s="268">
        <f>IF(Rad_Type="Continuous", BO13-((EXP(lambda_36Ar*(Run_Date-Rad_Date))-1)*Cl3638_PR*BT13),BO13*Ar36_DecayFactor)</f>
        <v>3.2907778516196879</v>
      </c>
      <c r="BS13" s="268">
        <f>IF(K:K="Continuous", SQRT(BP13^2+(((EXP(lambda_36Ar*(Run_Date-Rad_Date))-1)*Cl3638_PR)*BU13^2)), Ar36_ICerr*Ar36_DecayFactor)</f>
        <v>0.10939124905249821</v>
      </c>
      <c r="BT13" s="302">
        <f>IF(Rad_Type="Continuous", BM13-(Ar3836_Air*BO13)/(1-lambda_36Ar*(Run_Date-Rad_Date)),Ar38_IC-(Ar3836_Air*Ar36_IC)/Ar36_DecayFactor)</f>
        <v>2488.9433018642981</v>
      </c>
      <c r="BU13" s="268">
        <f>IF(Rad_Type ="Continuous", SQRT(BN13^2*(((EXP(lambda_36Ar*(Run_Date-Rad_Date))-1*0.188)*BP13^2))),SQRT(Ar38_ICerr^2*(((EXP(lambda_36Ar*(Ar36_DecayFactor))-1*0.188)*Ar36_ICerr^2))))</f>
        <v>0.79460619003233401</v>
      </c>
      <c r="BV13" s="302">
        <f>Ar40_IC-(Ar36_ClCor*Ar4036_Air)</f>
        <v>19302.576138003868</v>
      </c>
      <c r="BW13" s="302">
        <f>SQRT(Ar40_ICerr^2+(Ar36_ClCorerr*Ar4036_Air)^2)</f>
        <v>72.190132768014593</v>
      </c>
      <c r="BX13" s="303">
        <v>1.3539467276583303E-12</v>
      </c>
      <c r="BY13" s="303">
        <v>6.1488073529408856E-15</v>
      </c>
      <c r="BZ13" s="303">
        <f>Ar_Sensitivity*Ar36_ClCor</f>
        <v>4.4555379036509872E-12</v>
      </c>
      <c r="CA13" s="303">
        <f>Ar36CC*SQRT((Ar36_ClCorerr/Ar36_ClCor)^2+(Ar_sensitivityerr/Ar_Sensitivity)^2)</f>
        <v>1.4948571430537907E-13</v>
      </c>
      <c r="CB13" s="303">
        <f>Ar37_DecayCor*Ar_Sensitivity</f>
        <v>3.7999434077112823E-9</v>
      </c>
      <c r="CC13" s="311">
        <f>Ar37CC*SQRT((Ar37_DecayCorerr/Ar37_DecayCor)^2+(Ar_sensitivityerr/Ar_Sensitivity)^2)</f>
        <v>1.3570301656995424E-10</v>
      </c>
      <c r="CD13" s="303">
        <f>Ar_Sensitivity*Ar38_Cl</f>
        <v>3.3698966388862861E-9</v>
      </c>
      <c r="CE13" s="303">
        <f>Ar38CC*SQRT((Ar38_Clerr/Ar38_Cl)^2+(Ar_sensitivityerr/Ar_Sensitivity)^2)</f>
        <v>1.5341801884242554E-11</v>
      </c>
      <c r="CF13" s="303">
        <f>Ar_Sensitivity*Ar39_IC</f>
        <v>2.1092491997070036E-9</v>
      </c>
      <c r="CG13" s="303">
        <f>Ar39CC*SQRT((Ar39_ICerr/Ar39_IC)^2+(Ar_sensitivityerr/Ar_Sensitivity)^2)</f>
        <v>1.1654036769654309E-11</v>
      </c>
      <c r="CH13" s="303">
        <f>Ar_Sensitivity*BV13</f>
        <v>2.6134659797426108E-8</v>
      </c>
      <c r="CI13" s="303">
        <f>Ar40CC*SQRT((BW13/BV13)^2+(Ar_sensitivityerr/Ar_Sensitivity)^2)</f>
        <v>1.5375375870405511E-10</v>
      </c>
      <c r="CJ13" s="303">
        <f>Ar38CC/MV</f>
        <v>1.5034810172723084E-13</v>
      </c>
      <c r="CK13" s="303">
        <f>Ar38_mole*SQRT((Ar38CCerr/Ar38CC)^2+(MVerr/MV)^2)</f>
        <v>6.8447523952902785E-16</v>
      </c>
      <c r="CL13" s="303">
        <f>Ar40CC/MV</f>
        <v>1.1659991124026225E-12</v>
      </c>
      <c r="CM13" s="303">
        <f>Ar40_mole*SQRT((Ar40CCerrr/Ar40CC)^2+(MVerr/MV)^2)</f>
        <v>6.859731423263716E-15</v>
      </c>
      <c r="CN13" s="298">
        <v>3.3680591711743944E-2</v>
      </c>
      <c r="CO13" s="298">
        <v>1.4939121278557756E-4</v>
      </c>
      <c r="CP13" s="303">
        <v>3.1991558920690447E+18</v>
      </c>
      <c r="CQ13" s="303">
        <v>7.4463843346153808E+16</v>
      </c>
      <c r="CR13" s="303">
        <v>6.2863679359943967E+18</v>
      </c>
      <c r="CS13" s="303">
        <v>6.60242669182872E+16</v>
      </c>
      <c r="CT13" s="268">
        <v>0.52916459827613271</v>
      </c>
      <c r="CU13" s="268">
        <v>7.7432785700430442E-3</v>
      </c>
      <c r="CV13" s="268">
        <v>0.90235286123626368</v>
      </c>
      <c r="CW13" s="268">
        <v>1.3458076792302986E-2</v>
      </c>
      <c r="CX13" s="303">
        <f>J*(lambda_e/lambda)*K40_Abun</f>
        <v>4.0867730880536126E-7</v>
      </c>
      <c r="CY13" s="303">
        <f>K39_Prod*SQRT((Jerr/J)^2+(lambda_eerr/lambda_e)^2+(lambda_err/lambda)^2+(K40_Abunerr/K40_Abun)^2)</f>
        <v>4.1529221570829847E-9</v>
      </c>
      <c r="CZ13" s="303">
        <f>K39_Prod*Beta</f>
        <v>3.6877113892285382E-7</v>
      </c>
      <c r="DA13" s="303">
        <f>Cl38_Prod*SQRT((K39_Proderr/K39_Prod)^2+(Betaerr/Beta)^2)</f>
        <v>6.6553085835934638E-9</v>
      </c>
      <c r="DB13" s="303">
        <f>K39_Prod*alpha</f>
        <v>2.1625756393856003E-7</v>
      </c>
      <c r="DC13" s="303">
        <f>Ca37_Prod*SQRT((K39_Prod/K39_Proderr)^2+(alphaerr/alpha)^2)</f>
        <v>2.1281294682004443E-5</v>
      </c>
      <c r="DD13" s="303">
        <f>K_constant*Ar39CC/J</f>
        <v>2.302654274051755E-7</v>
      </c>
      <c r="DE13" s="303">
        <f>K_mole*SQRT((Ar39ccerr/Ar39CC)^2+(Jerr/J)^2+(K_Constanterr/K_constant)^2)</f>
        <v>2.663438802916878E-9</v>
      </c>
      <c r="DF13" s="302">
        <f>K_mole*MW_K/Sample_Mass*10^6</f>
        <v>18005.973520631545</v>
      </c>
      <c r="DG13" s="302">
        <f>K_ppm*SQRT((Sample_Masserr/Sample_Mass)^2+(MW_Kerr/MW_K)^2)+(K_moleerr/K_mole)^2</f>
        <v>360.11960423340804</v>
      </c>
      <c r="DH13" s="301">
        <f>K_ppm/10^4</f>
        <v>1.8005973520631546</v>
      </c>
      <c r="DI13" s="269">
        <f>K_ppmerr/10^4</f>
        <v>3.6011960423340802E-2</v>
      </c>
      <c r="DJ13" s="303">
        <f>Cl_Constant*Ar38CC/(J*Beta)</f>
        <v>4.4962029734251979E-7</v>
      </c>
      <c r="DK13" s="303">
        <f>Cl_mole*SQRT((Ar38CCerr/Ar38CC)^2+(Jerr/J)^2+(Betaerr/Beta)^2+(Cl_Constanterr/Cl_Constant)^2)</f>
        <v>8.3686140710535885E-9</v>
      </c>
      <c r="DL13" s="302">
        <f>Cl_mole*MW_Cl/Sample_Mass*10^6</f>
        <v>31880.77680336871</v>
      </c>
      <c r="DM13" s="302">
        <f>Cl_ppm*SQRT((Sample_Masserr/Sample_Mass)^2+(MW_Clerr/MW_Cl)^2)+(Cl_moleerr/Cl_mole)^2</f>
        <v>637.61590786149191</v>
      </c>
      <c r="DN13" s="301">
        <f>Cl_ppm/10^4</f>
        <v>3.1880776803368711</v>
      </c>
      <c r="DO13" s="269">
        <f>Cl_ppmerr/10^4</f>
        <v>6.3761590786149194E-2</v>
      </c>
      <c r="DP13" s="303">
        <f>Ca_Constant*Ar37CC/(J*alpha)</f>
        <v>7.647462440508693E-7</v>
      </c>
      <c r="DQ13" s="303">
        <f>Ca_mole*SQRT((Ar37CCerr/Ar37CC)^2+(Jerr/J)^2+(alphaerr/alpha)^2+(Ca_Constanterr/Ca_Constant)^2)</f>
        <v>3.0520323837540314E-8</v>
      </c>
      <c r="DR13" s="302">
        <f>Ca_mole*MW_Ca/Sample_Mass*10^6</f>
        <v>61302.058923117678</v>
      </c>
      <c r="DS13" s="302">
        <f>Ca_ppm*SQRT((Sample_Masserr/Sample_Mass)^2+(MW_Caerr/MW_Ca)^2)+(Ca_moleerr/Ca_mole)^2</f>
        <v>1226.0580354985893</v>
      </c>
      <c r="DT13" s="268">
        <f>Ca_ppm/10^4</f>
        <v>6.1302058923117677</v>
      </c>
      <c r="DU13" s="268">
        <f>Ca_ppmerr/10^4</f>
        <v>0.12260580354985894</v>
      </c>
      <c r="DV13" s="268">
        <f>K_mole/Cl_mole</f>
        <v>0.51213307932528629</v>
      </c>
      <c r="DW13" s="268">
        <f>KCl_mol*SQRT(K_moleerr/K_mole)^2+(Cl_moleerr/Cl_mole)^2</f>
        <v>6.2701810763920634E-3</v>
      </c>
      <c r="DX13" s="268">
        <f>K_mole/Ca_mole</f>
        <v>0.30110043585890267</v>
      </c>
      <c r="DY13" s="268">
        <f>KCa_mol*SQRT(K_moleerr/K_mole)^2+(Ca_moleerr/Ca_mole)^2</f>
        <v>5.0755097792161618E-3</v>
      </c>
      <c r="DZ13" s="268">
        <f>K_ppm/Cl_ppm</f>
        <v>0.56479092814102727</v>
      </c>
      <c r="EA13" s="268">
        <f>KCl_wt*SQRT(K_ppmerr/K_ppm)^2+(Cl_ppmerr/Cl_ppm)^2</f>
        <v>1.1695823226839467E-2</v>
      </c>
      <c r="EB13" s="268">
        <f>K_ppm/Ca_ppm</f>
        <v>0.29372542842669996</v>
      </c>
      <c r="EC13" s="268">
        <f>KCa_wt*SQRT(K_ppmerr/K_ppm)^2+(Ca_ppmerr/Ca_ppm)^2</f>
        <v>6.2745217509111691E-3</v>
      </c>
      <c r="ED13" s="303">
        <f>Ar40_mole/Cl_mole</f>
        <v>2.5932973206375666E-6</v>
      </c>
      <c r="EE13" s="303">
        <f>Ar40Cl_mol*SQRT((Ar40_moleerr/Ar40_mole)^2+(Cl_moleerr/Cl_mole)^2)</f>
        <v>5.0621874874827249E-8</v>
      </c>
      <c r="EF13" s="268">
        <f>Ar40_IC/Ar39_IC</f>
        <v>13.014712178991575</v>
      </c>
      <c r="EG13" s="268">
        <f>Ar40Ar39*SQRT((CG13/CF13)^2+(CI13/CH13)^2)</f>
        <v>0.10504025215703373</v>
      </c>
      <c r="EH13" s="303">
        <f>(CH13/MV)/K_mole</f>
        <v>5.063717665053244E-6</v>
      </c>
      <c r="EI13" s="303">
        <f>Ar40K*SQRT((CI13/CH13)^2+(K_moleerr/K_mole)^2+(MVerr/MV)^2)</f>
        <v>6.5711881897396605E-8</v>
      </c>
      <c r="EJ13" s="302">
        <f>(1/lambda/10^6)*LN(1+(J*Ar40Ar39))</f>
        <v>655.03478087602923</v>
      </c>
      <c r="EK13" s="268">
        <f>SQRT((J^2*Ar40Ar39^2*((Ar40Ar39err/Ar40Ar39*100)^2))/(Age^2*0.00055305^2*((1+Ar40Ar39*J)^2)))*Age/100</f>
        <v>4.4474240992619656</v>
      </c>
      <c r="EL13" s="268">
        <f>SQRT((J^2*Ar40Ar39^2*((Ar40Ar39err/Ar40Ar39*100)^2+(Jerr/J*100)^2))/(Age^2*0.00055305^2*((1+Ar40Ar39*J)^2)))*Age/100</f>
        <v>5.0747988686119108</v>
      </c>
      <c r="EM13" s="317">
        <v>2752.4893860000002</v>
      </c>
      <c r="EN13" s="317">
        <v>7.0141929999999997</v>
      </c>
      <c r="EO13" s="317">
        <v>1019.595922</v>
      </c>
      <c r="EP13" s="317">
        <v>18.694665000000001</v>
      </c>
      <c r="EQ13" s="317">
        <v>0.116785</v>
      </c>
      <c r="ER13" s="317">
        <v>9.1009000000000007E-2</v>
      </c>
      <c r="ES13" s="317"/>
      <c r="EU13" s="268">
        <v>3.4137000000000001E-2</v>
      </c>
      <c r="EV13" s="268">
        <v>3.5684E-2</v>
      </c>
      <c r="EW13" s="268">
        <v>-1.2727E-2</v>
      </c>
      <c r="EX13" s="268">
        <v>1.5481E-2</v>
      </c>
      <c r="EY13" s="268">
        <v>-0.111127</v>
      </c>
      <c r="EZ13" s="268">
        <v>4.9378999999999999E-2</v>
      </c>
      <c r="FC13" s="268">
        <f>Kr80Raw-Kr80Blank</f>
        <v>2752.4552490000001</v>
      </c>
      <c r="FD13" s="268">
        <f>SQRT(Kr80Rawerr^2+Kr80Blankerr^2)</f>
        <v>7.0142837687895829</v>
      </c>
      <c r="FE13" s="268">
        <f>Kr82Raw-Kr82Blank</f>
        <v>1019.608649</v>
      </c>
      <c r="FF13" s="268">
        <f>SQRT(Kr82Rawerr^2+Kr82Blankerr^2)</f>
        <v>18.694671409885384</v>
      </c>
      <c r="FG13" s="268">
        <f>Kr84Raw-Kr84Blank</f>
        <v>0.227912</v>
      </c>
      <c r="FH13" s="268">
        <f>SQRT(Kr84Rawerr^2+Kr84Blankerr^2)</f>
        <v>0.10354189356004652</v>
      </c>
      <c r="FI13" s="268">
        <f>Kr86Raw-Kr86Blank</f>
        <v>0</v>
      </c>
      <c r="FJ13" s="268">
        <f>SQRT(Kr86Rawerr^2+Kr86Blankerr^2)</f>
        <v>0</v>
      </c>
      <c r="FK13" s="268">
        <f>Kr84BC-((Y86Kr*Kr8684_nf)/(Y134Xe*Xe134136_nf)*Xe134AC)</f>
        <v>0.22588242049466989</v>
      </c>
      <c r="FL13" s="268">
        <f>Kr84U*SQRT((Kr84BCerr/Kr84BC)^2+(Y86Kr_err/Y86Kr)^2+(Kr8684_nferr/Kr8684_nf)^2+(Y134Xeerr/Y134Xe)^2+(Xe134136_nferr/Xe134136_nf)^2+(Xe134ACerr/Xe134AC)^2)</f>
        <v>0.10694228969838843</v>
      </c>
      <c r="FM13" s="302">
        <f>Kr80BC-(Kr84U*Kr8084_Air)</f>
        <v>2752.4463040561486</v>
      </c>
      <c r="FN13" s="302">
        <f>SQRT(Kr80BCerr^2+(Kr84Uerr*Kr8084_Air)^2)</f>
        <v>7.0142850472166636</v>
      </c>
      <c r="FO13" s="302">
        <f>Kr82BC-(Kr84U*Kr8284_Air)</f>
        <v>1019.5629755745759</v>
      </c>
      <c r="FP13" s="302">
        <f>SQRT(Kr82BCerr^2+(Kr84Uerr*Kr8284_Air)^2)</f>
        <v>18.694683915737311</v>
      </c>
      <c r="FQ13" s="268">
        <f>Kr86BC-(Kr84U*Kr8684_Air)</f>
        <v>-6.893931473497325E-2</v>
      </c>
      <c r="FR13" s="268">
        <f>SQRT(Kr86BCerr^2+(Kr84Uerr*Kr8684_Air)^2)</f>
        <v>3.2638786815948152E-2</v>
      </c>
      <c r="FS13" s="303">
        <v>1.3380462282714104E-12</v>
      </c>
      <c r="FT13" s="303">
        <v>6.763342243574739E-14</v>
      </c>
      <c r="FU13" s="268">
        <v>1.1499999999999999</v>
      </c>
      <c r="FV13" s="268">
        <v>5.0000000000000001E-3</v>
      </c>
      <c r="FW13" s="303">
        <f>(Kr80AC*Kr_sensitivity)/YKr</f>
        <v>3.2025220831842731E-9</v>
      </c>
      <c r="FX13" s="303">
        <f>Kr80cc*SQRT((Kr_sensitivityerr/Kr_sensitivity)^2+(YKrerr/YKr)^2+(Kr80ACerr/Kr80AC)^2)</f>
        <v>1.6267855778931543E-10</v>
      </c>
      <c r="FY13" s="303">
        <f>(Kr82AC*Kr_sensitivity)/YKr</f>
        <v>1.186280342567598E-9</v>
      </c>
      <c r="FZ13" s="303">
        <f>Kr82cc*SQRT((Kr_sensitivityerr/Kr_sensitivity)^2+(YKrerr/YKr)^2+(Kr82ACerr/Kr82AC)^2)</f>
        <v>6.3993754418794551E-11</v>
      </c>
      <c r="GA13" s="303">
        <f>(Kr84U*Kr_sensitivity)/YKr</f>
        <v>2.628183658919216E-13</v>
      </c>
      <c r="GB13" s="303">
        <f>Kr84cc*SQRT((Kr_sensitivityerr/Kr_sensitivity)^2+(YKrerr/YKr)^2+(Kr84Uerr/Kr84U)^2)</f>
        <v>1.251416876424549E-13</v>
      </c>
      <c r="GC13" s="303">
        <f>(Kr86AC*Kr_sensitivity)/YKr</f>
        <v>-8.0212165270214459E-14</v>
      </c>
      <c r="GD13" s="303">
        <f>Kr86cc*SQRT((Kr_sensitivityerr/Kr_sensitivity)^2+(YKrerr/YKr)^2+(Kr86ACerr/Kr86AC)^2)</f>
        <v>-3.8193243068477231E-14</v>
      </c>
      <c r="GE13" s="303">
        <f>Kr80cc/MV</f>
        <v>1.4288067781966764E-13</v>
      </c>
      <c r="GF13" s="303">
        <f>Kr80_mole*SQRT((MVerr/MV)^2+(Kr80ccerr/Kr80cc)^2)</f>
        <v>7.2579117337630678E-15</v>
      </c>
      <c r="GG13" s="303">
        <f>Kr82cc/MV</f>
        <v>5.2925954927897089E-14</v>
      </c>
      <c r="GH13" s="303">
        <f>Kr82_mole*SQRT((MVerr/MV)^2+(Kr82ccerr/Kr82cc)^2)</f>
        <v>2.8550844523825515E-15</v>
      </c>
      <c r="GI13" s="303">
        <f>Kr84cc/MV</f>
        <v>1.1725654120941296E-17</v>
      </c>
      <c r="GJ13" s="303">
        <f>Kr84_mole*SQRT((MVerr/MV)^2+(Kr84ccerr/Kr84cc)^2)</f>
        <v>5.5832024540127157E-18</v>
      </c>
      <c r="GK13" s="268">
        <f>Kr80_mole/Kr82_mole</f>
        <v>2.6996334409897575</v>
      </c>
      <c r="GL13" s="268">
        <f>Kr8082_mole*SQRT(Kr80_moleerr/Kr80_mole)^2+(Kr82_moleerr/Kr82_mole)^2</f>
        <v>0.14004336701964826</v>
      </c>
      <c r="GM13" s="303">
        <f>(Kr80_mole/Ar38_mole)*Br79_Constant</f>
        <v>4.4411157032995065E-2</v>
      </c>
      <c r="GN13" s="303">
        <f>Br79_Cl_meas*SQRT((Kr80_moleerr/Kr80_mole)^2+(Ar38CCerr/Ar38CC)^2+(MVerr/MV)^2+(Br79_Constanterr/Br79_Constant)^2)</f>
        <v>2.3638590567661641E-3</v>
      </c>
      <c r="GO13" s="305">
        <f>IF(Scapolite="BB2",Br79_Cl_meas/BB2_SP_BrCl,Br79_Cl_meas/BB1_BrCl)</f>
        <v>3.2181997849996424</v>
      </c>
      <c r="GP13" s="305">
        <f>IF(Scapolite="BB2",Br79_Factor*SQRT((Br79_Cl_measerr/Br79_Cl_meas)^2+(BB2_SP_BrClerr/BB2_SP_BrCl)^2),Br79_Factor*SQRT((Br79_Cl_measerr/Br79_Cl_meas)^2+(BB1_BrClerr/BB1_BrCl)^2))</f>
        <v>0.25327292530246764</v>
      </c>
      <c r="GQ13" s="313">
        <f>IF(Scapolite="BB2",(Kr80cc/Ar38CC)*(BB2_SP_Cl/BB2_SP_Br),(Kr80cc/Ar38CC)*(BB1_Cl/BB1_Br))</f>
        <v>68.070323350066602</v>
      </c>
      <c r="GR13" s="313">
        <f>IF(Scapolite="BB2",Pi*SQRT((Kr80ccerr/Kr80cc)^2+(Ar38CCerr/Ar38CC)^2+(BB2_SP_Brerr/BB2_SP_Br)^2+(BB2_SP_Clerr/BB2_SP_Cl)^2),Pi*SQRT((Kr80ccerr/Kr80cc)^2+(Ar38CCerr/Ar38CC)^2+(BB1_Brerr/BB1_Br)^2+(BB1_Clerr/BB1_Cl)^2))</f>
        <v>6.5468140413418521</v>
      </c>
      <c r="GS13" s="303">
        <f>Pi*Cl38_Prod</f>
        <v>2.510237066865099E-5</v>
      </c>
      <c r="GT13" s="303">
        <f>GS13*SQRT((Pi_err/Pi)^2+(Cl38_Proderr/Cl38_Prod)^2)</f>
        <v>2.4564128776045968E-6</v>
      </c>
      <c r="GU13" s="303">
        <f>(Kr82_mole/Ar38_mole)*Br81_Constant</f>
        <v>7.1558262972961695E-2</v>
      </c>
      <c r="GV13" s="303">
        <f>GU13*SQRT((Kr82_moleerr/Kr82_mole)^2+(Ar38_moleerr/Ar38_mole)^2+(Br81_Constanterr/Br81_Constant)^2)</f>
        <v>4.1128349443695514E-3</v>
      </c>
      <c r="GW13" s="305">
        <f>IF(Scapolite="BB2",GU13/BB2_SP_BrCl,GU13/BB1_BrCl)</f>
        <v>5.1853813748522972</v>
      </c>
      <c r="GX13" s="305">
        <f>IF(Scapolite="BB2",GW13*SQRT((GV13/GU13)^2+(BB2_SP_BrClerr/BB2_SP_BrCl)^2),GW13*SQRT((GV13/GU13)^2+(BB1_BrClerr/BB1_BrCl)^2))</f>
        <v>0.42330159346784202</v>
      </c>
      <c r="GY13" s="313">
        <f>IF(Scapolite="BB2",(Kr82cc/Ar38CC)*(BB2_SP_Cl/BB2_SP_Br),(Kr82cc/Ar38CC)*(BB1_Cl/BB1_Br))</f>
        <v>25.214654077299546</v>
      </c>
      <c r="GZ13" s="313">
        <f>IF(Scapolite="BB2",Pi_prime*SQRT((Kr82ccerr/Kr82cc)^2+(Ar38CCerr/Ar38CC)^2+(BB2_SP_Brerr/BB2_SP_Br)^2+(BB2_SP_Clerr/BB2_SP_Cl)^2),Pi_prime*SQRT((Kr82ccerr/Kr82cc)^2+(Ar38CCerr/Ar38CC)^2+(BB1_Brerr/BB1_Br)^2+(BB1_Clerr/BB1_Cl)^2))</f>
        <v>2.4679170692987102</v>
      </c>
      <c r="HA13" s="303">
        <f>Pi_prime*Cl38_Prod</f>
        <v>9.2984367016315332E-6</v>
      </c>
      <c r="HB13" s="303">
        <f>Br81_Prod*SQRT((Pi_primeerr/Pi_prime)^2+(Cl38_Proderr/Cl38_Prod)^2)</f>
        <v>9.2543850897496732E-7</v>
      </c>
      <c r="HC13" s="268"/>
      <c r="HD13" s="268"/>
      <c r="HE13" s="302" t="e">
        <f>(Kr80_mole/Br79_FactorSW)/(Y_79Br*Br79_Abun*(Therm_CS_79Br*Therm_Flux))*(MW_Br/Sample_Mass*10^6)</f>
        <v>#DIV/0!</v>
      </c>
      <c r="HF13" s="302" t="e">
        <f>HE13*SQRT((Kr80_moleerr/Kr80_mole)^2+(Sample_Masserr/Sample_Mass)^2+(Br79Factor_SWerr/Br79_FactorSW)^2+(Therm_CS_79Brerr/Therm_CS_79Br)^2+(Br79_Abunerr/Br79_Abun)^2+(Therm_Fluxerr/Therm_Flux)^2)</f>
        <v>#DIV/0!</v>
      </c>
      <c r="HG13" s="268"/>
      <c r="HH13" s="268"/>
      <c r="HI13" s="302" t="e">
        <f>(Kr82_mole/Br81_FactorSW)/(Y_81Br*Br81_Abun*(Therm_CS_81Br*Therm_Flux))*(MW_Br/Sample_Mass*10^6)</f>
        <v>#DIV/0!</v>
      </c>
      <c r="HJ13" s="302" t="e">
        <f>HI13*SQRT((Kr82_moleerr/Kr82_mole)^2+(Sample_Masserr/Sample_Mass)^2+(Br81_FactorSWerr/Br81_FactorSW)^2+(Therm_CS_81Brerr/Therm_CS_81Br)^2+(Br81_Abunerr/Br81_Abun)^2+(Therm_Fluxerr/Therm_Flux)^2)</f>
        <v>#DIV/0!</v>
      </c>
      <c r="HK13" s="269">
        <v>5.1444999999999999</v>
      </c>
      <c r="HL13" s="269">
        <v>0.21052599999999999</v>
      </c>
      <c r="HM13" s="269">
        <v>8.7690000000000008E-3</v>
      </c>
      <c r="HN13" s="269">
        <v>8.5599999999999999E-4</v>
      </c>
      <c r="HO13" s="269">
        <v>2.911E-3</v>
      </c>
      <c r="HP13" s="269">
        <v>4.5899999999999999E-4</v>
      </c>
      <c r="HQ13" s="269">
        <v>1.3470770000000001</v>
      </c>
      <c r="HR13" s="269">
        <v>1.9210999999999999E-2</v>
      </c>
      <c r="HS13" s="269">
        <v>1.8131000000000001E-2</v>
      </c>
      <c r="HT13" s="269">
        <v>6.0700000000000001E-4</v>
      </c>
      <c r="HU13" s="269">
        <v>2.0455999999999998E-2</v>
      </c>
      <c r="HV13" s="269">
        <v>9.7300000000000002E-4</v>
      </c>
      <c r="HW13" s="269">
        <v>1.9401000000000002E-2</v>
      </c>
      <c r="HX13" s="269">
        <v>4.44E-4</v>
      </c>
      <c r="HY13" s="269">
        <v>3.7469999999999999E-3</v>
      </c>
      <c r="HZ13" s="269">
        <v>2.8899999999999998E-4</v>
      </c>
      <c r="IA13" s="269">
        <v>2.875E-3</v>
      </c>
      <c r="IB13" s="269">
        <v>1.93E-4</v>
      </c>
      <c r="IC13" s="269">
        <v>1.8550000000000001E-3</v>
      </c>
      <c r="ID13" s="269">
        <v>1.5799999999999999E-4</v>
      </c>
      <c r="IE13" s="269">
        <v>2.7799999999999999E-3</v>
      </c>
      <c r="IF13" s="269">
        <v>2.7900000000000001E-4</v>
      </c>
      <c r="IG13" s="269">
        <v>2.1909999999999998E-3</v>
      </c>
      <c r="IH13" s="269">
        <v>1.3899999999999999E-4</v>
      </c>
      <c r="II13" s="269">
        <v>1.6969999999999999E-3</v>
      </c>
      <c r="IJ13" s="269">
        <v>2.2599999999999999E-4</v>
      </c>
      <c r="IK13" s="269">
        <v>2.0739999999999999E-3</v>
      </c>
      <c r="IL13" s="269">
        <v>2.23E-4</v>
      </c>
      <c r="IM13" s="269">
        <f>Xe128Raw-Xe128Blank</f>
        <v>5.1407530000000001</v>
      </c>
      <c r="IN13" s="269">
        <f>SQRT(Xe128Rawerr^2+Xe128Blankerr^2)</f>
        <v>0.21052619836257908</v>
      </c>
      <c r="IO13" s="269">
        <f>Xe129Raw-Xe129Blank</f>
        <v>5.8940000000000008E-3</v>
      </c>
      <c r="IP13" s="269">
        <f>SQRT(Xe129Rawerr^2+Xe129Blankerr^2)</f>
        <v>8.7748789165435217E-4</v>
      </c>
      <c r="IQ13" s="269">
        <f>Xe130Raw-Xe130Blank</f>
        <v>1.0559999999999999E-3</v>
      </c>
      <c r="IR13" s="269">
        <f>SQRT(Xe130Rawerr^2+Xe130Blankerr^2)</f>
        <v>4.8543279658465598E-4</v>
      </c>
      <c r="IS13" s="269">
        <f>Xe131Raw-Xe131Blank</f>
        <v>1.3442970000000001</v>
      </c>
      <c r="IT13" s="269">
        <f>SQRT(Xe131Rawerr^2+Xe131Blankerr^2)</f>
        <v>1.9213025841860517E-2</v>
      </c>
      <c r="IU13" s="269">
        <f>Xe132Raw-Xe132Blank</f>
        <v>1.5940000000000003E-2</v>
      </c>
      <c r="IV13" s="269">
        <f>SQRT(Xe132Rawerr^2+Xe132Blankerr^2)</f>
        <v>6.2271181135417695E-4</v>
      </c>
      <c r="IW13" s="269">
        <f>Xe134Raw-Xe134Blank</f>
        <v>1.8758999999999998E-2</v>
      </c>
      <c r="IX13" s="269">
        <f>SQRT(Xe134Rawerr^2+Xe134Blankerr^2)</f>
        <v>9.9890189708499392E-4</v>
      </c>
      <c r="IY13" s="269">
        <f>Xe136Raw-Xe136Blank</f>
        <v>1.7327000000000002E-2</v>
      </c>
      <c r="IZ13" s="269">
        <f>SQRT(Xe136Rawerr^2+Xe136Blankerr^2)</f>
        <v>4.9685510966477947E-4</v>
      </c>
      <c r="JA13" s="269">
        <f>Xe128BC-(Xe130BC*Xe128130_Air)</f>
        <v>5.1402549920737597</v>
      </c>
      <c r="JB13" s="269">
        <f>SQRT(Xe128BCerr^2+(Xe130BCerr*Xe128130_Air)^2)</f>
        <v>0.21052632283313538</v>
      </c>
      <c r="JC13" s="269">
        <f>Xe129BC-(Xe130BC*Xe129130_Air)</f>
        <v>-9.6232760876799849E-4</v>
      </c>
      <c r="JD13" s="269">
        <f>SQRT(Xe129BCerr^2+(Xe130BCerr*Xe129130_Air)^2)</f>
        <v>3.2716573167236663E-3</v>
      </c>
      <c r="JE13" s="269">
        <f>Xe131BC-(Xe130BC*Xe131130_Air)</f>
        <v>1.338793803170496</v>
      </c>
      <c r="JF13" s="269">
        <f>SQRT(Xe131BCerr^2+(Xe130BCerr*Xe131130_Air)^2)</f>
        <v>1.937885638550212E-2</v>
      </c>
      <c r="JG13" s="269">
        <f>Xe132BC-(Xe130BC*Xe132130_Air)</f>
        <v>8.9650990753600036E-3</v>
      </c>
      <c r="JH13" s="269">
        <f>SQRT(Xe132BCerr^2+(Xe130BCerr*Xe132130_Air)^2)</f>
        <v>3.2662036591041728E-3</v>
      </c>
      <c r="JI13" s="269">
        <f>Xe134BC-(Xe130BC*Xe134130_Air)</f>
        <v>1.6040881109567997E-2</v>
      </c>
      <c r="JJ13" s="269">
        <f>SQRT(Xe134BCerr^2+(Xe130BCerr*Xe134130_Air)^2)</f>
        <v>1.5996988613643801E-3</v>
      </c>
      <c r="JK13" s="269">
        <f>Xe136BC-(Xe130BC*Xe136130_Air)</f>
        <v>1.5029467635488002E-2</v>
      </c>
      <c r="JL13" s="269">
        <f>SQRT(Xe136BCerr^2+(Xe130BCerr*Xe136130_Air)^2)</f>
        <v>1.1671864226868781E-3</v>
      </c>
      <c r="JM13" s="303">
        <v>1.0646974269079652E-12</v>
      </c>
      <c r="JN13" s="303">
        <v>1.7365359098361633E-14</v>
      </c>
      <c r="JO13" s="301">
        <v>1</v>
      </c>
      <c r="JP13" s="301">
        <v>0</v>
      </c>
      <c r="JQ13" s="303">
        <f>(Xe128AC*Xe_Sensitivity)/YXe</f>
        <v>5.4728162637117549E-12</v>
      </c>
      <c r="JR13" s="303">
        <f>Xe128CC*SQRT((Xe_Sensitivityerr/Xe_Sensitivity)^2+(YXeerr/YXe)^2+(Xe128ACerr/Xe128AC)^2)</f>
        <v>2.4126660495157534E-13</v>
      </c>
      <c r="JS13" s="303">
        <f>Xe128CC/MV</f>
        <v>2.4416996262025227E-16</v>
      </c>
      <c r="JT13" s="303">
        <f>Xe128mole*SQRT((Xe128CCerr/Xe128CC)^2+(MVerr/MV)^2)</f>
        <v>1.076412126390042E-17</v>
      </c>
      <c r="JU13" s="268"/>
      <c r="JV13" s="268"/>
      <c r="JW13" s="303" t="e">
        <f>(Xe128mole/IFactor_SW)/((Therm_CS_127I*Therm_Flux)*I127_Abun*Y_127I)</f>
        <v>#DIV/0!</v>
      </c>
      <c r="JX13" s="303" t="e">
        <f>I_mole*SQRT((Xe128CCerr/Xe128CC)^2+(IFactor_SWerr/IFactor_SW)^2+(Therm_CS_127Ierr/Therm_CS_127I)^2+(Therm_Fluxerr/Therm_Flux)^2)</f>
        <v>#DIV/0!</v>
      </c>
      <c r="JY13" s="302" t="e">
        <f>I_mole*MW_I/Sample_Mass*10^9</f>
        <v>#DIV/0!</v>
      </c>
      <c r="JZ13" s="302" t="e">
        <f>JY13*SQRT(I_moleerr/I_mole)^2+(MVerr/MV)^2+(Sample_Masserr/Sample_Mass)</f>
        <v>#DIV/0!</v>
      </c>
      <c r="KA13" s="268">
        <f>Xe131AC-Xe131136_nf/Xe134136_nf*Xe134AC</f>
        <v>1.3329619258489596</v>
      </c>
      <c r="KB13" s="268">
        <f>SQRT(Xe131ACerr^2+(Xe131136_nf/Xe134136_nf*Xe134AC)^2*((Xe131136_nferr/Xe131136_nf)^2+(Xe134136_nferr/Xe134136_nf)^2+(Xe134ACerr/Xe134AC)^2))</f>
        <v>1.9389036204917789E-2</v>
      </c>
      <c r="KC13" s="303">
        <f>(Xe131Ba*Xe_Sensitivity)/YXe</f>
        <v>1.4192011326176732E-12</v>
      </c>
      <c r="KD13" s="303">
        <f>Xe131Bacc*SQRT((Xe_Sensitivityerr/Xe_Sensitivity)^2+(YXeerr/YXe)^2+(Xe131Baerr/Xe131Ba)^2)</f>
        <v>3.1015362422226395E-14</v>
      </c>
      <c r="KE13" s="303">
        <f>Xe131Bacc/MV</f>
        <v>6.3317727254899118E-17</v>
      </c>
      <c r="KF13" s="303">
        <f>Xe131mole*SQRT((Xe131CCerr/Xe131CC)^2+(MVerr/MV)^2)</f>
        <v>1.3837518968377438E-18</v>
      </c>
      <c r="KG13" s="305"/>
      <c r="KH13" s="305"/>
      <c r="KI13" s="303" t="e">
        <f>(Xe131mole/Ba_FactorSW)/((Therm_CS_130Ba*Therm_Flux)*Ba130_Abun*Y_130Ba)</f>
        <v>#DIV/0!</v>
      </c>
      <c r="KJ13" s="303" t="e">
        <f>Ba_mole*SQRT((Xe131moleerr/Xe131mole)^2+(Ba_FactorSWerr/Ba_FactorSW)^2+(Therm_CS_130Baerr/Therm_CS_130Ba)^2+(Therm_Fluxerr/Therm_Flux)^2)</f>
        <v>#DIV/0!</v>
      </c>
      <c r="KK13" s="302" t="e">
        <f>Ba_mole*MW_Ba/Sample_Mass*10^6</f>
        <v>#DIV/0!</v>
      </c>
      <c r="KL13" s="302" t="e">
        <f>KK13*SQRT(I_moleerr/I_mole)^2+(MVerr/MV)^2+(Sample_Masserr/Sample_Mass)</f>
        <v>#DIV/0!</v>
      </c>
      <c r="KM13" s="303">
        <f>(Xe134AC*Xe_Sensitivity)/YXe</f>
        <v>1.7078684842693633E-14</v>
      </c>
      <c r="KN13" s="303">
        <f>Xe134CC*SQRT((Xe_Sensitivityerr/Xe_Sensitivity)^2+(YXeerr/YXe)^2+(Xe134ACerr/Xe134AC)^2)</f>
        <v>1.7258236743630603E-15</v>
      </c>
      <c r="KO13" s="303">
        <f>Xe134CC/MV</f>
        <v>7.6196635127219518E-19</v>
      </c>
      <c r="KP13" s="303">
        <f>Xe134mole*SQRT((Xe134CCerr/Xe134CC)^2+(MVerr/MV)^2)</f>
        <v>7.6997706803977253E-20</v>
      </c>
      <c r="KQ13" s="303">
        <f>Xe134mole/((Therm_CS_235U*Therm_Flux)*U235_Abun*Y_235U)</f>
        <v>7.0398644455216635E-13</v>
      </c>
      <c r="KR13" s="303">
        <f>U_mole*SQRT((Xe134moleerr/Xe134mole)^2+(Therm_CS_235Uerr/Therm_CS_235U)^2+(Therm_Fluxerr/Therm_Flux)^2)</f>
        <v>7.3001547764635628E-14</v>
      </c>
      <c r="KS13" s="302">
        <f>U_mole*MW_U/Sample_Mass*10^9</f>
        <v>335.13825210305515</v>
      </c>
      <c r="KT13" s="302">
        <f>KS13*SQRT((U_moleerr/U_mole)^2+(MVerr/MV)^2+(Sample_Masserr/Sample_Mass)^2)</f>
        <v>35.39343339002469</v>
      </c>
      <c r="KU13" s="303">
        <f>(Xe128mole/Ar38_mole)*I127_Constant</f>
        <v>1.0537322336866655E-4</v>
      </c>
      <c r="KV13" s="303">
        <f>KU13*SQRT((Xe128moleerr/Xe128mole)^2+(Ar38_moleerr/Ar38_mole)^2+(I127_Constanterr/I127_Constant)^2)</f>
        <v>4.9596760630451039E-6</v>
      </c>
      <c r="KW13" s="305">
        <f>IF(Scapolite="BB2",KU13/BB2_SP_ICl,KU13/BB1_ICl)</f>
        <v>4.068464222728438</v>
      </c>
      <c r="KX13" s="305">
        <f>IF(Scapolite="BB2",KW13*SQRT((KV13/KU13)^2+(BB2_SP_IClerr/BB2_SP_ICl)^2),KW13*SQRT((KV13/KU13)^2+(BB1_IClerr/BB1_ICl)^2))</f>
        <v>0.20153837633341268</v>
      </c>
      <c r="KY13" s="313">
        <f>IF(Scapolite="BB2",(Xe128CC/Ar38CC)*(BB2_SP_Cl/BB2_SP_I),(Xe128CC/Ar38CC)*(BB1_Cl/BB1_I))</f>
        <v>62.703895665296223</v>
      </c>
      <c r="KZ13" s="313">
        <f>IF(Scapolite="BB2",Omega*SQRT((Xe128CCerr/Xe128CC)^2+(Ar38CCerr/Ar38CC)^2+(BB2_SP_Ierr/BB2_SP_I)^2+(BB2_SP_Clerr/BB2_SP_Cl)^2),Omega*SQRT((Xe128CCerr/Xe128CC)^2+(Ar38CCerr/Ar38CC)^2+(BB1_Ierr/BB1_I)^2+(BB1_Ierr/BB1_I)^2))</f>
        <v>4.8587240774824298</v>
      </c>
      <c r="LA13" s="303">
        <f>Omega*Cl38_Prod</f>
        <v>2.3123387019391085E-5</v>
      </c>
      <c r="LB13" s="303">
        <f>I127_Prod*SQRT((Omegaerr/Omega)^2+(Cl38_Proderr/Cl38_Prod)^2)</f>
        <v>1.8397132093767608E-6</v>
      </c>
      <c r="LC13" s="303"/>
      <c r="LD13" s="266" t="str">
        <f>Scapolite</f>
        <v>BB1</v>
      </c>
      <c r="LE13" s="266" t="str">
        <f>Irradiation</f>
        <v>MN19a</v>
      </c>
      <c r="LF13" s="315">
        <f>Tube</f>
        <v>4</v>
      </c>
      <c r="LG13" s="315">
        <f>K_ppm</f>
        <v>18005.973520631545</v>
      </c>
      <c r="LH13" s="315">
        <f>K_ppmerr</f>
        <v>360.11960423340804</v>
      </c>
      <c r="LI13" s="315">
        <f>Cl_ppm</f>
        <v>31880.77680336871</v>
      </c>
      <c r="LJ13" s="315">
        <f>Cl_ppmerr</f>
        <v>637.61590786149191</v>
      </c>
      <c r="LK13" s="315">
        <f>Ca_ppm</f>
        <v>61302.058923117678</v>
      </c>
      <c r="LL13" s="315">
        <f>Ca_ppmerr</f>
        <v>1226.0580354985893</v>
      </c>
      <c r="LM13" s="315" t="e">
        <f>Br79_ppm</f>
        <v>#DIV/0!</v>
      </c>
      <c r="LN13" s="315" t="e">
        <f>Br79_ppmerr</f>
        <v>#DIV/0!</v>
      </c>
      <c r="LO13" s="315" t="e">
        <f>Br81_ppm</f>
        <v>#DIV/0!</v>
      </c>
      <c r="LP13" s="315" t="e">
        <f>Br81_ppmerr</f>
        <v>#DIV/0!</v>
      </c>
      <c r="LQ13" s="315" t="e">
        <f>I_ppb</f>
        <v>#DIV/0!</v>
      </c>
      <c r="LR13" s="315" t="e">
        <f>I_ppberr</f>
        <v>#DIV/0!</v>
      </c>
      <c r="LS13" s="308">
        <f>Br79_Factor</f>
        <v>3.2181997849996424</v>
      </c>
      <c r="LT13" s="308">
        <f>Br79_Factorerr</f>
        <v>0.25327292530246764</v>
      </c>
      <c r="LU13" s="316">
        <f>Pi</f>
        <v>68.070323350066602</v>
      </c>
      <c r="LV13" s="316">
        <f>Pi_err</f>
        <v>6.5468140413418521</v>
      </c>
      <c r="LW13" s="266">
        <f>Br79_Prod</f>
        <v>2.510237066865099E-5</v>
      </c>
      <c r="LX13" s="266">
        <f>Br79_Proderr</f>
        <v>2.4564128776045968E-6</v>
      </c>
      <c r="LY13" s="308">
        <f>Br81_Factor</f>
        <v>5.1853813748522972</v>
      </c>
      <c r="LZ13" s="308">
        <f>Br81_Factorerr</f>
        <v>0.42330159346784202</v>
      </c>
      <c r="MA13" s="307">
        <f>Pi_prime</f>
        <v>25.214654077299546</v>
      </c>
      <c r="MB13" s="307">
        <f>Pi_primeerr</f>
        <v>2.4679170692987102</v>
      </c>
      <c r="MC13" s="266">
        <f>Br81_Prod</f>
        <v>9.2984367016315332E-6</v>
      </c>
      <c r="MD13" s="266">
        <f>Br81_Proderr</f>
        <v>9.2543850897496732E-7</v>
      </c>
      <c r="ME13" s="308">
        <f>I_Factor</f>
        <v>4.068464222728438</v>
      </c>
      <c r="MF13" s="308">
        <f>I_Factorerr</f>
        <v>0.20153837633341268</v>
      </c>
      <c r="MG13" s="315">
        <f>Omega</f>
        <v>62.703895665296223</v>
      </c>
      <c r="MH13" s="315">
        <f>Omegaerr</f>
        <v>4.8587240774824298</v>
      </c>
      <c r="MI13" s="266">
        <f>I127_Prod</f>
        <v>2.3123387019391085E-5</v>
      </c>
      <c r="MJ13" s="266">
        <f>I127_Proderr</f>
        <v>1.8397132093767608E-6</v>
      </c>
    </row>
    <row r="14" spans="1:348" s="304" customFormat="1" ht="24.9" hidden="1" customHeight="1">
      <c r="A14" s="271" t="s">
        <v>845</v>
      </c>
      <c r="B14" s="271" t="s">
        <v>794</v>
      </c>
      <c r="C14" s="271">
        <v>1.0399999999999999E-3</v>
      </c>
      <c r="D14" s="298">
        <f t="shared" si="0"/>
        <v>2.0799999999999997E-5</v>
      </c>
      <c r="E14" s="299">
        <v>44233</v>
      </c>
      <c r="F14" s="271" t="s">
        <v>210</v>
      </c>
      <c r="G14" s="271" t="s">
        <v>834</v>
      </c>
      <c r="H14" s="271">
        <v>5</v>
      </c>
      <c r="I14" s="271">
        <v>29</v>
      </c>
      <c r="J14" s="299">
        <v>43831</v>
      </c>
      <c r="K14" s="299" t="s">
        <v>322</v>
      </c>
      <c r="L14" s="271" t="s">
        <v>832</v>
      </c>
      <c r="M14" s="309"/>
      <c r="N14" s="271">
        <v>120</v>
      </c>
      <c r="O14" s="317">
        <v>660.80701999999997</v>
      </c>
      <c r="P14" s="317">
        <v>1.489876</v>
      </c>
      <c r="Q14" s="317">
        <v>1848.6039189999999</v>
      </c>
      <c r="R14" s="317">
        <v>6.0750549999999999</v>
      </c>
      <c r="S14" s="317">
        <v>5683.4342850000003</v>
      </c>
      <c r="T14" s="317">
        <v>19.032095000000002</v>
      </c>
      <c r="U14" s="317">
        <v>0.66039999999999999</v>
      </c>
      <c r="V14" s="317">
        <v>2.7418999999999999E-2</v>
      </c>
      <c r="W14" s="317">
        <v>5.0229080000000002</v>
      </c>
      <c r="X14" s="317">
        <v>7.0844000000000004E-2</v>
      </c>
      <c r="Y14" s="268">
        <v>63.499560000000002</v>
      </c>
      <c r="Z14" s="268">
        <v>0.282914</v>
      </c>
      <c r="AA14" s="268">
        <v>0.727634</v>
      </c>
      <c r="AB14" s="268">
        <v>3.4834999999999998E-2</v>
      </c>
      <c r="AC14" s="268">
        <v>0.60790699999999998</v>
      </c>
      <c r="AD14" s="268">
        <v>0.124124</v>
      </c>
      <c r="AE14" s="268">
        <v>0.14067099999999999</v>
      </c>
      <c r="AF14" s="268">
        <v>1.9252999999999999E-2</v>
      </c>
      <c r="AG14" s="268">
        <v>0.162019</v>
      </c>
      <c r="AH14" s="268">
        <v>3.8245000000000001E-2</v>
      </c>
      <c r="AI14" s="270">
        <f>Ar40Raw-Ar40Blank</f>
        <v>597.30745999999999</v>
      </c>
      <c r="AJ14" s="270">
        <f>SQRT(Ar40Blankerr^2+Ar40Rawerr^2)</f>
        <v>1.5164995307523177</v>
      </c>
      <c r="AK14" s="270">
        <f>Ar39Raw-Ar39Blank</f>
        <v>1847.8762849999998</v>
      </c>
      <c r="AL14" s="270">
        <f>SQRT(Ar39Blankerr^2+Ar39Rawerr^2)</f>
        <v>6.0751548729435694</v>
      </c>
      <c r="AM14" s="270">
        <f>Ar38Raw-Ar38Blank</f>
        <v>5682.8263780000007</v>
      </c>
      <c r="AN14" s="270">
        <f>SQRT(Ar38Blankerr^2+Ar38Rawerr^2)</f>
        <v>19.032499753222147</v>
      </c>
      <c r="AO14" s="270">
        <f>Ar37Raw-Ar37Blank</f>
        <v>0.519729</v>
      </c>
      <c r="AP14" s="270">
        <f>SQRT(Ar37Blankerr^2+Ar37Rawerr^2)</f>
        <v>3.3503426242699419E-2</v>
      </c>
      <c r="AQ14" s="270">
        <f>Ar36Raw-Ar36Blank</f>
        <v>4.8608890000000002</v>
      </c>
      <c r="AR14" s="270">
        <f>SQRT(Ar36Blankerr^2+Ar36Rawerr^2)</f>
        <v>8.050808879236919E-2</v>
      </c>
      <c r="AS14" s="271">
        <v>303</v>
      </c>
      <c r="AT14" s="271">
        <v>0.5</v>
      </c>
      <c r="AU14" s="270">
        <f>Ar39BC*(1+(Ar4036_Aircal/Ar4036_Air-1)/4)</f>
        <v>1859.601388331218</v>
      </c>
      <c r="AV14" s="270">
        <f>SQRT(Ar39BCerr^2+(Ar39BC*(Ar4036_Aircal/Ar4036_Air-1)/4)^2*((Ar4036_Aircalerr/Ar4036_Aircal)^2+(Ar39BCerr/Ar39BC)^2+(Ar4036_airerr/Ar4036_Air)^2))</f>
        <v>6.0753204305241066</v>
      </c>
      <c r="AW14" s="270">
        <f>Ar38BC*(1+2*(Ar4036_Aircal/Ar4036_Air-1)/4)</f>
        <v>5754.9434640152285</v>
      </c>
      <c r="AX14" s="270">
        <f>SQRT(Ar38BCerr^2+(Ar38BC*(Ar4036_Aircal/Ar4036_Air-1)/4)^2*((Ar4036_Aircalerr/Ar4036_Aircal)^2+(Ar38BCerr/Ar38BC)^2+(Ar4036_airerr/Ar4036_Air)^2))</f>
        <v>19.033013488336092</v>
      </c>
      <c r="AY14" s="270">
        <f>Ar37BC*(1+3*(Ar4036_Aircal/Ar4036_Air-1)/4)</f>
        <v>0.52962231852791875</v>
      </c>
      <c r="AZ14" s="270">
        <f>SQRT(Ar37BCerr^2+(Ar37BC*(Ar4036_Aircal/Ar4036_Air-1)/3)^2*((Ar4036_Aircalerr/Ar4036_Aircal)^2+(Ar37BCerr/Ar37BC)^2+(Ar4036_airerr/Ar4036_Air)^2))</f>
        <v>3.3504626338503318E-2</v>
      </c>
      <c r="BA14" s="270">
        <f>Ar36BC*(1+4*(Ar4036_Aircal/Ar4036_Air-1)/4)</f>
        <v>4.9842618172588837</v>
      </c>
      <c r="BB14" s="270">
        <f>SQRT(Ar36BCerr^2+(Ar36BC*(Ar4036_Aircal/Ar4036_Air-1)/4)^2*((Ar4036_Aircalerr/Ar4036_Aircal)^2+(Ar36BCerr/Ar36BC)^2+(Ar4036_airerr/Ar4036_Air)^2))</f>
        <v>8.0509732045179055E-2</v>
      </c>
      <c r="BC14" s="268">
        <v>2279.2032462607435</v>
      </c>
      <c r="BD14" s="269">
        <v>1.0027995366556639</v>
      </c>
      <c r="BE14" s="270">
        <f>IF(Rad_Type="Continuous", Ar37_DC*EXP(lambda_37Ar*(Run_Date-Rad_Date)),Ar37_DC*Ar37_DecayFactor)</f>
        <v>1207.116907680974</v>
      </c>
      <c r="BF14" s="270">
        <f>IF(Rad_Type="Continuous", (Ar37_DCerr*EXP(lambda_37Ar*(Run_Date-Rad_Date))), Ar37_DCerr*Ar37_DecayFactor)</f>
        <v>76.363853115469979</v>
      </c>
      <c r="BG14" s="270">
        <f>IF(Rad_Type="Continuous", Ar39_DC*EXP(lambda_39Ar*(Run_Date-Rad_Date)), Ar39_DC*Ar39_DecayFactor)</f>
        <v>1864.8074105827748</v>
      </c>
      <c r="BH14" s="270">
        <f>IF(Rad_Type="Continuous", (Ar39_DCerr*EXP(lambda_39Ar*(Run_Date-Rad_Date))), Ar39_DCerr*Ar39_DecayFactor)</f>
        <v>6.0923285127642623</v>
      </c>
      <c r="BI14" s="302">
        <f>Ar40BC-(Salt_40Ar39Ar_K*Ar39_IC)</f>
        <v>354.62374878755213</v>
      </c>
      <c r="BJ14" s="270">
        <f>SQRT(Ar40BCerr^2+(Ar39_ICerr*Salt_40Ar39Ar_K)^2)</f>
        <v>1.7114922709445441</v>
      </c>
      <c r="BK14" s="302">
        <f>Ar39_DecayCor-(Salt_39Ar37Ar_Ca*Ar37_DecayCor)</f>
        <v>1863.7042651128802</v>
      </c>
      <c r="BL14" s="270">
        <f>SQRT(Ar39_DecayCorerr^2+(Ar37_DecayCorerr*Salt_39Ar37Ar_Ca)^2)</f>
        <v>6.0927281951585543</v>
      </c>
      <c r="BM14" s="302">
        <f>Ar38_DC-(Salt_38Ar39Ar_K*Ar39_DecayCor)</f>
        <v>5726.146923697228</v>
      </c>
      <c r="BN14" s="270">
        <f>SQRT(Ar38_DCerr^2+(Ar39_DecayCorerr*Salt_38Ar39Ar_K)^2)</f>
        <v>19.033245996966549</v>
      </c>
      <c r="BO14" s="270">
        <f>Ar36_DC-(Salt_36Ar37Ar_Ca*Ar37_DecayCor)</f>
        <v>4.5631842557528639</v>
      </c>
      <c r="BP14" s="270">
        <f>SQRT(Ar36_DCerr^2+(Ar37_DecayCorerr*Salt_36Ar37Ar_Ca)^2)</f>
        <v>8.4802103052612168E-2</v>
      </c>
      <c r="BQ14" s="310">
        <v>1.0000023837007199</v>
      </c>
      <c r="BR14" s="268">
        <f>IF(Rad_Type="Continuous", BO14-((EXP(lambda_36Ar*(Run_Date-Rad_Date))-1)*Cl3638_PR*BT14),BO14*Ar36_DecayFactor)</f>
        <v>4.5631951330184597</v>
      </c>
      <c r="BS14" s="268">
        <f>IF(K:K="Continuous", SQRT(BP14^2+(((EXP(lambda_36Ar*(Run_Date-Rad_Date))-1)*Cl3638_PR)*BU14^2)), Ar36_ICerr*Ar36_DecayFactor)</f>
        <v>8.4802305195446265E-2</v>
      </c>
      <c r="BT14" s="302">
        <f>IF(Rad_Type="Continuous", BM14-(Ar3836_Air*BO14)/(1-lambda_36Ar*(Run_Date-Rad_Date)),Ar38_IC-(Ar3836_Air*Ar36_IC)/Ar36_DecayFactor)</f>
        <v>5725.2890471020673</v>
      </c>
      <c r="BU14" s="268">
        <f>IF(Rad_Type ="Continuous", SQRT(BN14^2*(((EXP(lambda_36Ar*(Run_Date-Rad_Date))-1*0.188)*BP14^2))),SQRT(Ar38_ICerr^2*(((EXP(lambda_36Ar*(Ar36_DecayFactor))-1*0.188)*Ar36_ICerr^2))))</f>
        <v>1.4544456586382344</v>
      </c>
      <c r="BV14" s="302">
        <f>Ar40_IC-(Ar36_ClCor*Ar4036_Air)</f>
        <v>-993.80041301940264</v>
      </c>
      <c r="BW14" s="302">
        <f>SQRT(Ar40_ICerr^2+(Ar36_ClCorerr*Ar4036_Air)^2)</f>
        <v>25.117459179675649</v>
      </c>
      <c r="BX14" s="303">
        <v>1.3539467276583303E-12</v>
      </c>
      <c r="BY14" s="303">
        <v>6.1488073529408856E-15</v>
      </c>
      <c r="BZ14" s="303">
        <f>Ar_Sensitivity*Ar36_ClCor</f>
        <v>6.1783231180167632E-12</v>
      </c>
      <c r="CA14" s="303">
        <f>Ar36CC*SQRT((Ar36_ClCorerr/Ar36_ClCor)^2+(Ar_sensitivityerr/Ar_Sensitivity)^2)</f>
        <v>1.1819640879357886E-13</v>
      </c>
      <c r="CB14" s="303">
        <f>Ar37_DecayCor*Ar_Sensitivity</f>
        <v>1.6343719870556975E-9</v>
      </c>
      <c r="CC14" s="311">
        <f>Ar37CC*SQRT((Ar37_DecayCorerr/Ar37_DecayCor)^2+(Ar_sensitivityerr/Ar_Sensitivity)^2)</f>
        <v>1.0365866312224391E-10</v>
      </c>
      <c r="CD14" s="303">
        <f>Ar_Sensitivity*Ar38_Cl</f>
        <v>7.751736370221924E-9</v>
      </c>
      <c r="CE14" s="303">
        <f>Ar38CC*SQRT((Ar38_Clerr/Ar38_Cl)^2+(Ar_sensitivityerr/Ar_Sensitivity)^2)</f>
        <v>3.5258734585880307E-11</v>
      </c>
      <c r="CF14" s="303">
        <f>Ar_Sensitivity*Ar39_IC</f>
        <v>2.5233562910724575E-9</v>
      </c>
      <c r="CG14" s="303">
        <f>Ar39CC*SQRT((Ar39_ICerr/Ar39_IC)^2+(Ar_sensitivityerr/Ar_Sensitivity)^2)</f>
        <v>1.4119889039794749E-11</v>
      </c>
      <c r="CH14" s="303">
        <f>Ar_Sensitivity*BV14</f>
        <v>-1.3455528171531174E-9</v>
      </c>
      <c r="CI14" s="303">
        <f>Ar40CC*SQRT((BW14/BV14)^2+(Ar_sensitivityerr/Ar_Sensitivity)^2)</f>
        <v>-3.4552341042921834E-11</v>
      </c>
      <c r="CJ14" s="303">
        <f>Ar38CC/MV</f>
        <v>3.4584409352625492E-13</v>
      </c>
      <c r="CK14" s="303">
        <f>Ar38_mole*SQRT((Ar38CCerr/Ar38CC)^2+(MVerr/MV)^2)</f>
        <v>1.5730701637010669E-15</v>
      </c>
      <c r="CL14" s="303">
        <f>Ar40CC/MV</f>
        <v>-6.003190409411408E-14</v>
      </c>
      <c r="CM14" s="303">
        <f>Ar40_mole*SQRT((Ar40CCerrr/Ar40CC)^2+(MVerr/MV)^2)</f>
        <v>-1.5415543691800331E-15</v>
      </c>
      <c r="CN14" s="298">
        <v>3.3680591711743944E-2</v>
      </c>
      <c r="CO14" s="298">
        <v>1.4939121278557756E-4</v>
      </c>
      <c r="CP14" s="303">
        <v>3.1991558920690447E+18</v>
      </c>
      <c r="CQ14" s="303">
        <v>7.4463843346153808E+16</v>
      </c>
      <c r="CR14" s="303">
        <v>6.2863679359943967E+18</v>
      </c>
      <c r="CS14" s="303">
        <v>6.60242669182872E+16</v>
      </c>
      <c r="CT14" s="268">
        <v>0.52916459827613271</v>
      </c>
      <c r="CU14" s="268">
        <v>7.7432785700430442E-3</v>
      </c>
      <c r="CV14" s="268">
        <v>0.90235286123626368</v>
      </c>
      <c r="CW14" s="268">
        <v>1.3458076792302986E-2</v>
      </c>
      <c r="CX14" s="303">
        <f>J*(lambda_e/lambda)*K40_Abun</f>
        <v>4.0867730880536126E-7</v>
      </c>
      <c r="CY14" s="303">
        <f>K39_Prod*SQRT((Jerr/J)^2+(lambda_eerr/lambda_e)^2+(lambda_err/lambda)^2+(K40_Abunerr/K40_Abun)^2)</f>
        <v>4.1529221570829847E-9</v>
      </c>
      <c r="CZ14" s="303">
        <f>K39_Prod*Beta</f>
        <v>3.6877113892285382E-7</v>
      </c>
      <c r="DA14" s="303">
        <f>Cl38_Prod*SQRT((K39_Proderr/K39_Prod)^2+(Betaerr/Beta)^2)</f>
        <v>6.6553085835934638E-9</v>
      </c>
      <c r="DB14" s="303">
        <f>K39_Prod*alpha</f>
        <v>2.1625756393856003E-7</v>
      </c>
      <c r="DC14" s="303">
        <f>Ca37_Prod*SQRT((K39_Prod/K39_Proderr)^2+(alphaerr/alpha)^2)</f>
        <v>2.1281294682004443E-5</v>
      </c>
      <c r="DD14" s="303">
        <f>K_constant*Ar39CC/J</f>
        <v>2.7547324182465049E-7</v>
      </c>
      <c r="DE14" s="303">
        <f>K_mole*SQRT((Ar39ccerr/Ar39CC)^2+(Jerr/J)^2+(K_Constanterr/K_constant)^2)</f>
        <v>3.1956681554750376E-9</v>
      </c>
      <c r="DF14" s="302">
        <f>K_mole*MW_K/Sample_Mass*10^6</f>
        <v>10356.284087339167</v>
      </c>
      <c r="DG14" s="302">
        <f>K_ppm*SQRT((Sample_Masserr/Sample_Mass)^2+(MW_Kerr/MW_K)^2)+(K_moleerr/K_mole)^2</f>
        <v>207.12581633875772</v>
      </c>
      <c r="DH14" s="301">
        <f>K_ppm/10^4</f>
        <v>1.0356284087339167</v>
      </c>
      <c r="DI14" s="269">
        <f>K_ppmerr/10^4</f>
        <v>2.0712581633875772E-2</v>
      </c>
      <c r="DJ14" s="303">
        <f>Cl_Constant*Ar38CC/(J*Beta)</f>
        <v>1.0342566509256121E-6</v>
      </c>
      <c r="DK14" s="303">
        <f>Cl_mole*SQRT((Ar38CCerr/Ar38CC)^2+(Jerr/J)^2+(Betaerr/Beta)^2+(Cl_Constanterr/Cl_Constant)^2)</f>
        <v>1.9249192593765471E-8</v>
      </c>
      <c r="DL14" s="302">
        <f>Cl_mole*MW_Cl/Sample_Mass*10^6</f>
        <v>35257.212543524744</v>
      </c>
      <c r="DM14" s="302">
        <f>Cl_ppm*SQRT((Sample_Masserr/Sample_Mass)^2+(MW_Clerr/MW_Cl)^2)+(Cl_moleerr/Cl_mole)^2</f>
        <v>705.14462531351251</v>
      </c>
      <c r="DN14" s="301">
        <f>Cl_ppm/10^4</f>
        <v>3.5257212543524745</v>
      </c>
      <c r="DO14" s="269">
        <f>Cl_ppmerr/10^4</f>
        <v>7.0514462531351255E-2</v>
      </c>
      <c r="DP14" s="303">
        <f>Ca_Constant*Ar37CC/(J*alpha)</f>
        <v>3.2892064548814087E-7</v>
      </c>
      <c r="DQ14" s="303">
        <f>Ca_mole*SQRT((Ar37CCerr/Ar37CC)^2+(Jerr/J)^2+(alphaerr/alpha)^2+(Ca_Constanterr/Ca_Constant)^2)</f>
        <v>2.1668912427797549E-8</v>
      </c>
      <c r="DR14" s="302">
        <f>Ca_mole*MW_Ca/Sample_Mass*10^6</f>
        <v>12676.095645350661</v>
      </c>
      <c r="DS14" s="302">
        <f>Ca_ppm*SQRT((Sample_Masserr/Sample_Mass)^2+(MW_Caerr/MW_Ca)^2)+(Ca_moleerr/Ca_mole)^2</f>
        <v>253.52940929540873</v>
      </c>
      <c r="DT14" s="268">
        <f>Ca_ppm/10^4</f>
        <v>1.267609564535066</v>
      </c>
      <c r="DU14" s="268">
        <f>Ca_ppmerr/10^4</f>
        <v>2.5352940929540872E-2</v>
      </c>
      <c r="DV14" s="268">
        <f>K_mole/Cl_mole</f>
        <v>0.26634901654063781</v>
      </c>
      <c r="DW14" s="268">
        <f>KCl_mol*SQRT(K_moleerr/K_mole)^2+(Cl_moleerr/Cl_mole)^2</f>
        <v>3.4362136569267674E-3</v>
      </c>
      <c r="DX14" s="268">
        <f>K_mole/Ca_mole</f>
        <v>0.83750669227779617</v>
      </c>
      <c r="DY14" s="268">
        <f>KCa_mol*SQRT(K_moleerr/K_mole)^2+(Ca_moleerr/Ca_mole)^2</f>
        <v>1.4055642768667548E-2</v>
      </c>
      <c r="DZ14" s="268">
        <f>K_ppm/Cl_ppm</f>
        <v>0.2937351917584074</v>
      </c>
      <c r="EA14" s="268">
        <f>KCl_wt*SQRT(K_ppmerr/K_ppm)^2+(Cl_ppmerr/Cl_ppm)^2</f>
        <v>6.2747080774121673E-3</v>
      </c>
      <c r="EB14" s="268">
        <f>K_ppm/Ca_ppm</f>
        <v>0.81699321124463475</v>
      </c>
      <c r="EC14" s="268">
        <f>KCa_wt*SQRT(K_ppmerr/K_ppm)^2+(Ca_ppmerr/Ca_ppm)^2</f>
        <v>1.6739898498217508E-2</v>
      </c>
      <c r="ED14" s="303">
        <f>Ar40_mole/Cl_mole</f>
        <v>-5.8043527242864031E-8</v>
      </c>
      <c r="EE14" s="303">
        <f>Ar40Cl_mol*SQRT((Ar40_moleerr/Ar40_mole)^2+(Cl_moleerr/Cl_mole)^2)</f>
        <v>-1.8408120840502354E-9</v>
      </c>
      <c r="EF14" s="268">
        <f>Ar40_IC/Ar39_IC</f>
        <v>0.19027898118056483</v>
      </c>
      <c r="EG14" s="268">
        <f>Ar40Ar39*SQRT((CG14/CF14)^2+(CI14/CH14)^2)</f>
        <v>5.0008214638845609E-3</v>
      </c>
      <c r="EH14" s="303">
        <f>(CH14/MV)/K_mole</f>
        <v>-2.1792281419596732E-7</v>
      </c>
      <c r="EI14" s="303">
        <f>Ar40K*SQRT((CI14/CH14)^2+(K_moleerr/K_mole)^2+(MVerr/MV)^2)</f>
        <v>-6.1405602507524488E-9</v>
      </c>
      <c r="EJ14" s="302">
        <f>(1/lambda/10^6)*LN(1+(J*Ar40Ar39))</f>
        <v>11.512038171228848</v>
      </c>
      <c r="EK14" s="268">
        <f>SQRT((J^2*Ar40Ar39^2*((Ar40Ar39err/Ar40Ar39*100)^2))/(Age^2*0.00055305^2*((1+Ar40Ar39*J)^2)))*Age/100</f>
        <v>0.30260930619224791</v>
      </c>
      <c r="EL14" s="268">
        <f>SQRT((J^2*Ar40Ar39^2*((Ar40Ar39err/Ar40Ar39*100)^2+(Jerr/J*100)^2))/(Age^2*0.00055305^2*((1+Ar40Ar39*J)^2)))*Age/100</f>
        <v>0.30688869639770788</v>
      </c>
      <c r="EM14" s="317">
        <v>455.83683500000001</v>
      </c>
      <c r="EN14" s="317">
        <v>2.8783750000000001</v>
      </c>
      <c r="EO14" s="317">
        <v>168.82959299999999</v>
      </c>
      <c r="EP14" s="317">
        <v>1.1532500000000001</v>
      </c>
      <c r="EQ14" s="317">
        <v>-0.17566100000000001</v>
      </c>
      <c r="ER14" s="317">
        <v>5.9310000000000002E-2</v>
      </c>
      <c r="ES14" s="317"/>
      <c r="EU14" s="268">
        <v>3.4137000000000001E-2</v>
      </c>
      <c r="EV14" s="268">
        <v>3.5684E-2</v>
      </c>
      <c r="EW14" s="268">
        <v>-1.2727E-2</v>
      </c>
      <c r="EX14" s="268">
        <v>1.5481E-2</v>
      </c>
      <c r="EY14" s="268">
        <v>-0.111127</v>
      </c>
      <c r="EZ14" s="268">
        <v>4.9378999999999999E-2</v>
      </c>
      <c r="FC14" s="268">
        <f>Kr80Raw-Kr80Blank</f>
        <v>455.80269800000002</v>
      </c>
      <c r="FD14" s="268">
        <f>SQRT(Kr80Rawerr^2+Kr80Blankerr^2)</f>
        <v>2.8785961836424714</v>
      </c>
      <c r="FE14" s="268">
        <f>Kr82Raw-Kr82Blank</f>
        <v>168.84232</v>
      </c>
      <c r="FF14" s="268">
        <f>SQRT(Kr82Rawerr^2+Kr82Blankerr^2)</f>
        <v>1.1533539022611405</v>
      </c>
      <c r="FG14" s="268">
        <f>Kr84Raw-Kr84Blank</f>
        <v>-6.4534000000000008E-2</v>
      </c>
      <c r="FH14" s="268">
        <f>SQRT(Kr84Rawerr^2+Kr84Blankerr^2)</f>
        <v>7.7174877654583945E-2</v>
      </c>
      <c r="FI14" s="268">
        <f>Kr86Raw-Kr86Blank</f>
        <v>0</v>
      </c>
      <c r="FJ14" s="268">
        <f>SQRT(Kr86Rawerr^2+Kr86Blankerr^2)</f>
        <v>0</v>
      </c>
      <c r="FK14" s="268">
        <f>Kr84BC-((Y86Kr*Kr8684_nf)/(Y134Xe*Xe134136_nf)*Xe134AC)</f>
        <v>-6.5174481042526031E-2</v>
      </c>
      <c r="FL14" s="268">
        <f>Kr84U*SQRT((Kr84BCerr/Kr84BC)^2+(Y86Kr_err/Y86Kr)^2+(Kr8684_nferr/Kr8684_nf)^2+(Y134Xeerr/Y134Xe)^2+(Xe134136_nferr/Xe134136_nf)^2+(Xe134ACerr/Xe134AC)^2)</f>
        <v>-7.9888690959871472E-2</v>
      </c>
      <c r="FM14" s="302">
        <f>Kr80BC-(Kr84U*Kr8084_Air)</f>
        <v>455.80527890944933</v>
      </c>
      <c r="FN14" s="302">
        <f>SQRT(Kr80BCerr^2+(Kr84Uerr*Kr8084_Air)^2)</f>
        <v>2.8785979220440581</v>
      </c>
      <c r="FO14" s="302">
        <f>Kr82BC-(Kr84U*Kr8284_Air)</f>
        <v>168.8554982800668</v>
      </c>
      <c r="FP14" s="302">
        <f>SQRT(Kr82BCerr^2+(Kr84Uerr*Kr8284_Air)^2)</f>
        <v>1.1534670169567851</v>
      </c>
      <c r="FQ14" s="268">
        <f>Kr86BC-(Kr84U*Kr8684_Air)</f>
        <v>1.9891251614178946E-2</v>
      </c>
      <c r="FR14" s="268">
        <f>SQRT(Kr86BCerr^2+(Kr84Uerr*Kr8684_Air)^2)</f>
        <v>2.4382028480952774E-2</v>
      </c>
      <c r="FS14" s="303">
        <v>1.3380462282714104E-12</v>
      </c>
      <c r="FT14" s="303">
        <v>6.763342243574739E-14</v>
      </c>
      <c r="FU14" s="268">
        <v>1.1499999999999999</v>
      </c>
      <c r="FV14" s="268">
        <v>5.0000000000000001E-3</v>
      </c>
      <c r="FW14" s="303">
        <f>(Kr80AC*Kr_sensitivity)/YKr</f>
        <v>5.3033785588781482E-10</v>
      </c>
      <c r="FX14" s="303">
        <f>Kr80cc*SQRT((Kr_sensitivityerr/Kr_sensitivity)^2+(YKrerr/YKr)^2+(Kr80ACerr/Kr80AC)^2)</f>
        <v>2.711332130804421E-11</v>
      </c>
      <c r="FY14" s="303">
        <f>(Kr82AC*Kr_sensitivity)/YKr</f>
        <v>1.9646648921437655E-10</v>
      </c>
      <c r="FZ14" s="303">
        <f>Kr82cc*SQRT((Kr_sensitivityerr/Kr_sensitivity)^2+(YKrerr/YKr)^2+(Kr82ACerr/Kr82AC)^2)</f>
        <v>1.0057292332383618E-11</v>
      </c>
      <c r="GA14" s="303">
        <f>(Kr84U*Kr_sensitivity)/YKr</f>
        <v>-7.5831711772607397E-14</v>
      </c>
      <c r="GB14" s="303">
        <f>Kr84cc*SQRT((Kr_sensitivityerr/Kr_sensitivity)^2+(YKrerr/YKr)^2+(Kr84Uerr/Kr84U)^2)</f>
        <v>-9.3031547593068508E-14</v>
      </c>
      <c r="GC14" s="303">
        <f>(Kr86AC*Kr_sensitivity)/YKr</f>
        <v>2.3143838432999781E-14</v>
      </c>
      <c r="GD14" s="303">
        <f>Kr86cc*SQRT((Kr_sensitivityerr/Kr_sensitivity)^2+(YKrerr/YKr)^2+(Kr86ACerr/Kr86AC)^2)</f>
        <v>2.8393228325404513E-14</v>
      </c>
      <c r="GE14" s="303">
        <f>Kr80cc/MV</f>
        <v>2.3661049121427744E-14</v>
      </c>
      <c r="GF14" s="303">
        <f>Kr80_mole*SQRT((MVerr/MV)^2+(Kr80ccerr/Kr80cc)^2)</f>
        <v>1.2096621431672365E-15</v>
      </c>
      <c r="GG14" s="303">
        <f>Kr82cc/MV</f>
        <v>8.7653619299602877E-15</v>
      </c>
      <c r="GH14" s="303">
        <f>Kr82_mole*SQRT((MVerr/MV)^2+(Kr82ccerr/Kr82cc)^2)</f>
        <v>4.4870658445076099E-16</v>
      </c>
      <c r="GI14" s="303">
        <f>Kr84cc/MV</f>
        <v>-3.3832354927971859E-18</v>
      </c>
      <c r="GJ14" s="303">
        <f>Kr84_mole*SQRT((MVerr/MV)^2+(Kr84ccerr/Kr84cc)^2)</f>
        <v>-4.1506070008095367E-18</v>
      </c>
      <c r="GK14" s="268">
        <f>Kr80_mole/Kr82_mole</f>
        <v>2.6993807341318696</v>
      </c>
      <c r="GL14" s="268">
        <f>Kr8082_mole*SQRT(Kr80_moleerr/Kr80_mole)^2+(Kr82_moleerr/Kr82_mole)^2</f>
        <v>0.14062532016542437</v>
      </c>
      <c r="GM14" s="303">
        <f>(Kr80_mole/Ar38_mole)*Br79_Constant</f>
        <v>3.1972026874546272E-3</v>
      </c>
      <c r="GN14" s="303">
        <f>Br79_Cl_meas*SQRT((Kr80_moleerr/Kr80_mole)^2+(Ar38CCerr/Ar38CC)^2+(MVerr/MV)^2+(Br79_Constanterr/Br79_Constant)^2)</f>
        <v>1.711753092565877E-4</v>
      </c>
      <c r="GO14" s="305">
        <f>IF(Scapolite="BB2",Br79_Cl_meas/BB2_SP_BrCl,Br79_Cl_meas/BB1_BrCl)</f>
        <v>3.2960852447985847</v>
      </c>
      <c r="GP14" s="305">
        <f>IF(Scapolite="BB2",Br79_Factor*SQRT((Br79_Cl_measerr/Br79_Cl_meas)^2+(BB2_SP_BrClerr/BB2_SP_BrCl)^2),Br79_Factor*SQRT((Br79_Cl_measerr/Br79_Cl_meas)^2+(BB1_BrClerr/BB1_BrCl)^2))</f>
        <v>0.26964631851472715</v>
      </c>
      <c r="GQ14" s="313">
        <f>IF(Scapolite="BB2",(Kr80cc/Ar38CC)*(BB2_SP_Cl/BB2_SP_Br),(Kr80cc/Ar38CC)*(BB1_Cl/BB1_Br))</f>
        <v>70.12574684211657</v>
      </c>
      <c r="GR14" s="313">
        <f>IF(Scapolite="BB2",Pi*SQRT((Kr80ccerr/Kr80cc)^2+(Ar38CCerr/Ar38CC)^2+(BB2_SP_Brerr/BB2_SP_Br)^2+(BB2_SP_Clerr/BB2_SP_Cl)^2),Pi*SQRT((Kr80ccerr/Kr80cc)^2+(Ar38CCerr/Ar38CC)^2+(BB1_Brerr/BB1_Br)^2+(BB1_Clerr/BB1_Cl)^2))</f>
        <v>6.8701419920698514</v>
      </c>
      <c r="GS14" s="303">
        <f>Pi*Cl38_Prod</f>
        <v>2.5860351530783045E-5</v>
      </c>
      <c r="GT14" s="303">
        <f>GS14*SQRT((Pi_err/Pi)^2+(Cl38_Proderr/Cl38_Prod)^2)</f>
        <v>2.5761386163565523E-6</v>
      </c>
      <c r="GU14" s="303">
        <f>(Kr82_mole/Ar38_mole)*Br81_Constant</f>
        <v>5.1520317002888595E-3</v>
      </c>
      <c r="GV14" s="303">
        <f>GU14*SQRT((Kr82_moleerr/Kr82_mole)^2+(Ar38_moleerr/Ar38_mole)^2+(Br81_Constanterr/Br81_Constant)^2)</f>
        <v>2.8283819491062805E-4</v>
      </c>
      <c r="GW14" s="305">
        <f>IF(Scapolite="BB2",GU14/BB2_SP_BrCl,GU14/BB1_BrCl)</f>
        <v>5.3113728868957315</v>
      </c>
      <c r="GX14" s="305">
        <f>IF(Scapolite="BB2",GW14*SQRT((GV14/GU14)^2+(BB2_SP_BrClerr/BB2_SP_BrCl)^2),GW14*SQRT((GV14/GU14)^2+(BB1_BrClerr/BB1_BrCl)^2))</f>
        <v>0.43927192621960137</v>
      </c>
      <c r="GY14" s="313">
        <f>IF(Scapolite="BB2",(Kr82cc/Ar38CC)*(BB2_SP_Cl/BB2_SP_Br),(Kr82cc/Ar38CC)*(BB1_Cl/BB1_Br))</f>
        <v>25.978457190356014</v>
      </c>
      <c r="GZ14" s="313">
        <f>IF(Scapolite="BB2",Pi_prime*SQRT((Kr82ccerr/Kr82cc)^2+(Ar38CCerr/Ar38CC)^2+(BB2_SP_Brerr/BB2_SP_Br)^2+(BB2_SP_Clerr/BB2_SP_Cl)^2),Pi_prime*SQRT((Kr82ccerr/Kr82cc)^2+(Ar38CCerr/Ar38CC)^2+(BB1_Brerr/BB1_Br)^2+(BB1_Clerr/BB1_Cl)^2))</f>
        <v>2.545979452435009</v>
      </c>
      <c r="HA14" s="303">
        <f>Pi_prime*Cl38_Prod</f>
        <v>9.5801052455461883E-6</v>
      </c>
      <c r="HB14" s="303">
        <f>Br81_Prod*SQRT((Pi_primeerr/Pi_prime)^2+(Cl38_Proderr/Cl38_Prod)^2)</f>
        <v>9.5467022648845059E-7</v>
      </c>
      <c r="HC14" s="268"/>
      <c r="HD14" s="268"/>
      <c r="HE14" s="302" t="e">
        <f>(Kr80_mole/Br79_FactorSW)/(Y_79Br*Br79_Abun*(Therm_CS_79Br*Therm_Flux))*(MW_Br/Sample_Mass*10^6)</f>
        <v>#DIV/0!</v>
      </c>
      <c r="HF14" s="302" t="e">
        <f>HE14*SQRT((Kr80_moleerr/Kr80_mole)^2+(Sample_Masserr/Sample_Mass)^2+(Br79Factor_SWerr/Br79_FactorSW)^2+(Therm_CS_79Brerr/Therm_CS_79Br)^2+(Br79_Abunerr/Br79_Abun)^2+(Therm_Fluxerr/Therm_Flux)^2)</f>
        <v>#DIV/0!</v>
      </c>
      <c r="HG14" s="268"/>
      <c r="HH14" s="268"/>
      <c r="HI14" s="302" t="e">
        <f>(Kr82_mole/Br81_FactorSW)/(Y_81Br*Br81_Abun*(Therm_CS_81Br*Therm_Flux))*(MW_Br/Sample_Mass*10^6)</f>
        <v>#DIV/0!</v>
      </c>
      <c r="HJ14" s="302" t="e">
        <f>HI14*SQRT((Kr82_moleerr/Kr82_mole)^2+(Sample_Masserr/Sample_Mass)^2+(Br81_FactorSWerr/Br81_FactorSW)^2+(Therm_CS_81Brerr/Therm_CS_81Br)^2+(Br81_Abunerr/Br81_Abun)^2+(Therm_Fluxerr/Therm_Flux)^2)</f>
        <v>#DIV/0!</v>
      </c>
      <c r="HK14" s="269">
        <v>0.63006099999999998</v>
      </c>
      <c r="HL14" s="269">
        <v>9.41E-3</v>
      </c>
      <c r="HM14" s="269">
        <v>5.8869999999999999E-3</v>
      </c>
      <c r="HN14" s="269">
        <v>7.9500000000000003E-4</v>
      </c>
      <c r="HO14" s="269">
        <v>1.658E-3</v>
      </c>
      <c r="HP14" s="269">
        <v>3.7800000000000003E-4</v>
      </c>
      <c r="HQ14" s="269">
        <v>0.35022700000000001</v>
      </c>
      <c r="HR14" s="269">
        <v>5.751E-3</v>
      </c>
      <c r="HS14" s="269">
        <v>7.0400000000000003E-3</v>
      </c>
      <c r="HT14" s="269">
        <v>7.6099999999999996E-4</v>
      </c>
      <c r="HU14" s="269">
        <v>6.2519999999999997E-3</v>
      </c>
      <c r="HV14" s="269">
        <v>7.0100000000000002E-4</v>
      </c>
      <c r="HW14" s="269">
        <v>6.1159999999999999E-3</v>
      </c>
      <c r="HX14" s="269">
        <v>6.7500000000000004E-4</v>
      </c>
      <c r="HY14" s="269">
        <v>3.7469999999999999E-3</v>
      </c>
      <c r="HZ14" s="269">
        <v>2.8899999999999998E-4</v>
      </c>
      <c r="IA14" s="269">
        <v>2.875E-3</v>
      </c>
      <c r="IB14" s="269">
        <v>1.93E-4</v>
      </c>
      <c r="IC14" s="269">
        <v>1.8550000000000001E-3</v>
      </c>
      <c r="ID14" s="269">
        <v>1.5799999999999999E-4</v>
      </c>
      <c r="IE14" s="269">
        <v>2.7799999999999999E-3</v>
      </c>
      <c r="IF14" s="269">
        <v>2.7900000000000001E-4</v>
      </c>
      <c r="IG14" s="269">
        <v>2.1909999999999998E-3</v>
      </c>
      <c r="IH14" s="269">
        <v>1.3899999999999999E-4</v>
      </c>
      <c r="II14" s="269">
        <v>1.6969999999999999E-3</v>
      </c>
      <c r="IJ14" s="269">
        <v>2.2599999999999999E-4</v>
      </c>
      <c r="IK14" s="269">
        <v>2.0739999999999999E-3</v>
      </c>
      <c r="IL14" s="269">
        <v>2.23E-4</v>
      </c>
      <c r="IM14" s="269">
        <f>Xe128Raw-Xe128Blank</f>
        <v>0.62631400000000004</v>
      </c>
      <c r="IN14" s="269">
        <f>SQRT(Xe128Rawerr^2+Xe128Blankerr^2)</f>
        <v>9.4144368392379153E-3</v>
      </c>
      <c r="IO14" s="269">
        <f>Xe129Raw-Xe129Blank</f>
        <v>3.0119999999999999E-3</v>
      </c>
      <c r="IP14" s="269">
        <f>SQRT(Xe129Rawerr^2+Xe129Blankerr^2)</f>
        <v>8.1809168190368495E-4</v>
      </c>
      <c r="IQ14" s="269">
        <f>Xe130Raw-Xe130Blank</f>
        <v>-1.9700000000000013E-4</v>
      </c>
      <c r="IR14" s="269">
        <f>SQRT(Xe130Rawerr^2+Xe130Blankerr^2)</f>
        <v>4.0969256766507252E-4</v>
      </c>
      <c r="IS14" s="269">
        <f>Xe131Raw-Xe131Blank</f>
        <v>0.34744700000000001</v>
      </c>
      <c r="IT14" s="269">
        <f>SQRT(Xe131Rawerr^2+Xe131Blankerr^2)</f>
        <v>5.7577636283543286E-3</v>
      </c>
      <c r="IU14" s="269">
        <f>Xe132Raw-Xe132Blank</f>
        <v>4.8490000000000009E-3</v>
      </c>
      <c r="IV14" s="269">
        <f>SQRT(Xe132Rawerr^2+Xe132Blankerr^2)</f>
        <v>7.7359033085994545E-4</v>
      </c>
      <c r="IW14" s="269">
        <f>Xe134Raw-Xe134Blank</f>
        <v>4.555E-3</v>
      </c>
      <c r="IX14" s="269">
        <f>SQRT(Xe134Rawerr^2+Xe134Blankerr^2)</f>
        <v>7.3653037954995451E-4</v>
      </c>
      <c r="IY14" s="269">
        <f>Xe136Raw-Xe136Blank</f>
        <v>4.0420000000000005E-3</v>
      </c>
      <c r="IZ14" s="269">
        <f>SQRT(Xe136Rawerr^2+Xe136Blankerr^2)</f>
        <v>7.1088255007420182E-4</v>
      </c>
      <c r="JA14" s="269">
        <f>Xe128BC-(Xe130BC*Xe128130_Air)</f>
        <v>0.62640690488775508</v>
      </c>
      <c r="JB14" s="269">
        <f>SQRT(Xe128BCerr^2+(Xe130BCerr*Xe128130_Air)^2)</f>
        <v>9.416419236915656E-3</v>
      </c>
      <c r="JC14" s="269">
        <f>Xe129BC-(Xe130BC*Xe129130_Air)</f>
        <v>4.291068692166001E-3</v>
      </c>
      <c r="JD14" s="269">
        <f>SQRT(Xe129BCerr^2+(Xe130BCerr*Xe129130_Air)^2)</f>
        <v>2.7829853246023046E-3</v>
      </c>
      <c r="JE14" s="269">
        <f>Xe131BC-(Xe130BC*Xe131130_Air)</f>
        <v>0.348473638044898</v>
      </c>
      <c r="JF14" s="269">
        <f>SQRT(Xe131BCerr^2+(Xe130BCerr*Xe131130_Air)^2)</f>
        <v>6.140871674605297E-3</v>
      </c>
      <c r="JG14" s="269">
        <f>Xe132BC-(Xe130BC*Xe132130_Air)</f>
        <v>6.1501889035550017E-3</v>
      </c>
      <c r="JH14" s="269">
        <f>SQRT(Xe132BCerr^2+(Xe130BCerr*Xe132130_Air)^2)</f>
        <v>2.814431910619294E-3</v>
      </c>
      <c r="JI14" s="269">
        <f>Xe134BC-(Xe130BC*Xe134130_Air)</f>
        <v>5.062073315734E-3</v>
      </c>
      <c r="JJ14" s="269">
        <f>SQRT(Xe134BCerr^2+(Xe130BCerr*Xe134130_Air)^2)</f>
        <v>1.2862850965524315E-3</v>
      </c>
      <c r="JK14" s="269">
        <f>Xe136BC-(Xe130BC*Xe136130_Air)</f>
        <v>4.4706116248190006E-3</v>
      </c>
      <c r="JL14" s="269">
        <f>SQRT(Xe136BCerr^2+(Xe130BCerr*Xe136130_Air)^2)</f>
        <v>1.1401256056694053E-3</v>
      </c>
      <c r="JM14" s="303">
        <v>1.0646974269079652E-12</v>
      </c>
      <c r="JN14" s="303">
        <v>1.7365359098361633E-14</v>
      </c>
      <c r="JO14" s="301">
        <v>1</v>
      </c>
      <c r="JP14" s="301">
        <v>0</v>
      </c>
      <c r="JQ14" s="303">
        <f>(Xe128AC*Xe_Sensitivity)/YXe</f>
        <v>6.6693381983137532E-13</v>
      </c>
      <c r="JR14" s="303">
        <f>Xe128CC*SQRT((Xe_Sensitivityerr/Xe_Sensitivity)^2+(YXeerr/YXe)^2+(Xe128ACerr/Xe128AC)^2)</f>
        <v>1.4793225477588451E-14</v>
      </c>
      <c r="JS14" s="303">
        <f>Xe128CC/MV</f>
        <v>2.9755284667270131E-17</v>
      </c>
      <c r="JT14" s="303">
        <f>Xe128mole*SQRT((Xe128CCerr/Xe128CC)^2+(MVerr/MV)^2)</f>
        <v>6.6000047125295335E-19</v>
      </c>
      <c r="JU14" s="268"/>
      <c r="JV14" s="268"/>
      <c r="JW14" s="303" t="e">
        <f>(Xe128mole/IFactor_SW)/((Therm_CS_127I*Therm_Flux)*I127_Abun*Y_127I)</f>
        <v>#DIV/0!</v>
      </c>
      <c r="JX14" s="303" t="e">
        <f>I_mole*SQRT((Xe128CCerr/Xe128CC)^2+(IFactor_SWerr/IFactor_SW)^2+(Therm_CS_127Ierr/Therm_CS_127I)^2+(Therm_Fluxerr/Therm_Flux)^2)</f>
        <v>#DIV/0!</v>
      </c>
      <c r="JY14" s="302" t="e">
        <f>I_mole*MW_I/Sample_Mass*10^9</f>
        <v>#DIV/0!</v>
      </c>
      <c r="JZ14" s="302" t="e">
        <f>JY14*SQRT(I_moleerr/I_mole)^2+(MVerr/MV)^2+(Sample_Masserr/Sample_Mass)</f>
        <v>#DIV/0!</v>
      </c>
      <c r="KA14" s="268">
        <f>Xe131AC-Xe131136_nf/Xe134136_nf*Xe134AC</f>
        <v>0.34663325344455492</v>
      </c>
      <c r="KB14" s="268">
        <f>SQRT(Xe131ACerr^2+(Xe131136_nf/Xe134136_nf*Xe134AC)^2*((Xe131136_nferr/Xe131136_nf)^2+(Xe134136_nferr/Xe134136_nf)^2+(Xe134ACerr/Xe134AC)^2))</f>
        <v>6.1591082675314119E-3</v>
      </c>
      <c r="KC14" s="303">
        <f>(Xe131Ba*Xe_Sensitivity)/YXe</f>
        <v>3.6905953302315421E-13</v>
      </c>
      <c r="KD14" s="303">
        <f>Xe131Bacc*SQRT((Xe_Sensitivityerr/Xe_Sensitivity)^2+(YXeerr/YXe)^2+(Xe131Baerr/Xe131Ba)^2)</f>
        <v>8.9014185100485722E-15</v>
      </c>
      <c r="KE14" s="303">
        <f>Xe131Bacc/MV</f>
        <v>1.6465608937105997E-17</v>
      </c>
      <c r="KF14" s="303">
        <f>Xe131mole*SQRT((Xe131CCerr/Xe131CC)^2+(MVerr/MV)^2)</f>
        <v>3.9713721798146365E-19</v>
      </c>
      <c r="KG14" s="305"/>
      <c r="KH14" s="305"/>
      <c r="KI14" s="303" t="e">
        <f>(Xe131mole/Ba_FactorSW)/((Therm_CS_130Ba*Therm_Flux)*Ba130_Abun*Y_130Ba)</f>
        <v>#DIV/0!</v>
      </c>
      <c r="KJ14" s="303" t="e">
        <f>Ba_mole*SQRT((Xe131moleerr/Xe131mole)^2+(Ba_FactorSWerr/Ba_FactorSW)^2+(Therm_CS_130Baerr/Therm_CS_130Ba)^2+(Therm_Fluxerr/Therm_Flux)^2)</f>
        <v>#DIV/0!</v>
      </c>
      <c r="KK14" s="302" t="e">
        <f>Ba_mole*MW_Ba/Sample_Mass*10^6</f>
        <v>#DIV/0!</v>
      </c>
      <c r="KL14" s="302" t="e">
        <f>KK14*SQRT(I_moleerr/I_mole)^2+(MVerr/MV)^2+(Sample_Masserr/Sample_Mass)</f>
        <v>#DIV/0!</v>
      </c>
      <c r="KM14" s="303">
        <f>(Xe134AC*Xe_Sensitivity)/YXe</f>
        <v>5.3895764340814616E-15</v>
      </c>
      <c r="KN14" s="303">
        <f>Xe134CC*SQRT((Xe_Sensitivityerr/Xe_Sensitivity)^2+(YXeerr/YXe)^2+(Xe134ACerr/Xe134AC)^2)</f>
        <v>1.3723227137905988E-15</v>
      </c>
      <c r="KO14" s="303">
        <f>Xe134CC/MV</f>
        <v>2.4045621359050497E-19</v>
      </c>
      <c r="KP14" s="303">
        <f>Xe134mole*SQRT((Xe134CCerr/Xe134CC)^2+(MVerr/MV)^2)</f>
        <v>6.1226244329055225E-20</v>
      </c>
      <c r="KQ14" s="303">
        <f>Xe134mole/((Therm_CS_235U*Therm_Flux)*U235_Abun*Y_235U)</f>
        <v>2.2215930479531794E-13</v>
      </c>
      <c r="KR14" s="303">
        <f>U_mole*SQRT((Xe134moleerr/Xe134mole)^2+(Therm_CS_235Uerr/Therm_CS_235U)^2+(Therm_Fluxerr/Therm_Flux)^2)</f>
        <v>5.6803244640315221E-14</v>
      </c>
      <c r="KS14" s="302">
        <f>U_mole*MW_U/Sample_Mass*10^9</f>
        <v>50.846478044987791</v>
      </c>
      <c r="KT14" s="302">
        <f>KS14*SQRT((U_moleerr/U_mole)^2+(MVerr/MV)^2+(Sample_Masserr/Sample_Mass)^2)</f>
        <v>13.040494871777668</v>
      </c>
      <c r="KU14" s="303">
        <f>(Xe128mole/Ar38_mole)*I127_Constant</f>
        <v>5.5823842170030255E-6</v>
      </c>
      <c r="KV14" s="303">
        <f>KU14*SQRT((Xe128moleerr/Xe128mole)^2+(Ar38_moleerr/Ar38_mole)^2+(I127_Constanterr/I127_Constant)^2)</f>
        <v>1.54287979350812E-7</v>
      </c>
      <c r="KW14" s="305">
        <f>IF(Scapolite="BB2",KU14/BB2_SP_ICl,KU14/BB1_ICl)</f>
        <v>4.6910791739521223</v>
      </c>
      <c r="KX14" s="305">
        <f>IF(Scapolite="BB2",KW14*SQRT((KV14/KU14)^2+(BB2_SP_IClerr/BB2_SP_ICl)^2),KW14*SQRT((KV14/KU14)^2+(BB1_IClerr/BB1_ICl)^2))</f>
        <v>0.15174355664420133</v>
      </c>
      <c r="KY14" s="313">
        <f>IF(Scapolite="BB2",(Xe128CC/Ar38CC)*(BB2_SP_Cl/BB2_SP_I),(Xe128CC/Ar38CC)*(BB1_Cl/BB1_I))</f>
        <v>72.29974825337716</v>
      </c>
      <c r="KZ14" s="313">
        <f>IF(Scapolite="BB2",Omega*SQRT((Xe128CCerr/Xe128CC)^2+(Ar38CCerr/Ar38CC)^2+(BB2_SP_Ierr/BB2_SP_I)^2+(BB2_SP_Clerr/BB2_SP_Cl)^2),Omega*SQRT((Xe128CCerr/Xe128CC)^2+(Ar38CCerr/Ar38CC)^2+(BB1_Ierr/BB1_I)^2+(BB1_Ierr/BB1_I)^2))</f>
        <v>4.2602452589646234</v>
      </c>
      <c r="LA14" s="303">
        <f>Omega*Cl38_Prod</f>
        <v>2.6662060507233508E-5</v>
      </c>
      <c r="LB14" s="303">
        <f>I127_Prod*SQRT((Omegaerr/Omega)^2+(Cl38_Proderr/Cl38_Prod)^2)</f>
        <v>1.6430906267296383E-6</v>
      </c>
      <c r="LC14" s="303"/>
      <c r="LD14" s="266" t="str">
        <f>Scapolite</f>
        <v>BB2</v>
      </c>
      <c r="LE14" s="266" t="str">
        <f>Irradiation</f>
        <v>MN19a</v>
      </c>
      <c r="LF14" s="315">
        <f>Tube</f>
        <v>5</v>
      </c>
      <c r="LG14" s="315">
        <f>K_ppm</f>
        <v>10356.284087339167</v>
      </c>
      <c r="LH14" s="315">
        <f>K_ppmerr</f>
        <v>207.12581633875772</v>
      </c>
      <c r="LI14" s="315">
        <f>Cl_ppm</f>
        <v>35257.212543524744</v>
      </c>
      <c r="LJ14" s="315">
        <f>Cl_ppmerr</f>
        <v>705.14462531351251</v>
      </c>
      <c r="LK14" s="315">
        <f>Ca_ppm</f>
        <v>12676.095645350661</v>
      </c>
      <c r="LL14" s="315">
        <f>Ca_ppmerr</f>
        <v>253.52940929540873</v>
      </c>
      <c r="LM14" s="315" t="e">
        <f>Br79_ppm</f>
        <v>#DIV/0!</v>
      </c>
      <c r="LN14" s="315" t="e">
        <f>Br79_ppmerr</f>
        <v>#DIV/0!</v>
      </c>
      <c r="LO14" s="315" t="e">
        <f>Br81_ppm</f>
        <v>#DIV/0!</v>
      </c>
      <c r="LP14" s="315" t="e">
        <f>Br81_ppmerr</f>
        <v>#DIV/0!</v>
      </c>
      <c r="LQ14" s="315" t="e">
        <f>I_ppb</f>
        <v>#DIV/0!</v>
      </c>
      <c r="LR14" s="315" t="e">
        <f>I_ppberr</f>
        <v>#DIV/0!</v>
      </c>
      <c r="LS14" s="308">
        <f>Br79_Factor</f>
        <v>3.2960852447985847</v>
      </c>
      <c r="LT14" s="308">
        <f>Br79_Factorerr</f>
        <v>0.26964631851472715</v>
      </c>
      <c r="LU14" s="316">
        <f>Pi</f>
        <v>70.12574684211657</v>
      </c>
      <c r="LV14" s="316">
        <f>Pi_err</f>
        <v>6.8701419920698514</v>
      </c>
      <c r="LW14" s="266">
        <f>Br79_Prod</f>
        <v>2.5860351530783045E-5</v>
      </c>
      <c r="LX14" s="266">
        <f>Br79_Proderr</f>
        <v>2.5761386163565523E-6</v>
      </c>
      <c r="LY14" s="308">
        <f>Br81_Factor</f>
        <v>5.3113728868957315</v>
      </c>
      <c r="LZ14" s="308">
        <f>Br81_Factorerr</f>
        <v>0.43927192621960137</v>
      </c>
      <c r="MA14" s="307">
        <f>Pi_prime</f>
        <v>25.978457190356014</v>
      </c>
      <c r="MB14" s="307">
        <f>Pi_primeerr</f>
        <v>2.545979452435009</v>
      </c>
      <c r="MC14" s="266">
        <f>Br81_Prod</f>
        <v>9.5801052455461883E-6</v>
      </c>
      <c r="MD14" s="266">
        <f>Br81_Proderr</f>
        <v>9.5467022648845059E-7</v>
      </c>
      <c r="ME14" s="308">
        <f>I_Factor</f>
        <v>4.6910791739521223</v>
      </c>
      <c r="MF14" s="308">
        <f>I_Factorerr</f>
        <v>0.15174355664420133</v>
      </c>
      <c r="MG14" s="315">
        <f>Omega</f>
        <v>72.29974825337716</v>
      </c>
      <c r="MH14" s="315">
        <f>Omegaerr</f>
        <v>4.2602452589646234</v>
      </c>
      <c r="MI14" s="266">
        <f>I127_Prod</f>
        <v>2.6662060507233508E-5</v>
      </c>
      <c r="MJ14" s="266">
        <f>I127_Proderr</f>
        <v>1.6430906267296383E-6</v>
      </c>
    </row>
    <row r="15" spans="1:348" s="13" customFormat="1" ht="24.9" hidden="1" customHeight="1">
      <c r="A15" s="1"/>
      <c r="B15" s="85"/>
      <c r="C15" s="5"/>
      <c r="D15" s="85"/>
      <c r="E15" s="85"/>
      <c r="F15" s="85"/>
      <c r="G15" s="85"/>
      <c r="H15" s="85"/>
      <c r="I15" s="85"/>
      <c r="J15" s="85"/>
      <c r="K15" s="85"/>
      <c r="L15" s="85"/>
      <c r="M15" s="85"/>
      <c r="N15" s="85"/>
      <c r="O15" s="85"/>
      <c r="P15" s="85"/>
      <c r="Q15" s="85"/>
      <c r="R15" s="85"/>
      <c r="S15" s="85"/>
      <c r="T15" s="85"/>
      <c r="U15" s="85"/>
      <c r="V15" s="85"/>
      <c r="W15" s="85"/>
      <c r="X15" s="85"/>
      <c r="Y15" s="85"/>
      <c r="Z15" s="85"/>
      <c r="AA15" s="85"/>
      <c r="AB15" s="85"/>
      <c r="AC15" s="85"/>
      <c r="AD15" s="85"/>
      <c r="AE15" s="85"/>
      <c r="AF15" s="85"/>
      <c r="AG15" s="85"/>
      <c r="AH15" s="85"/>
      <c r="AI15" s="139"/>
      <c r="AJ15" s="139"/>
      <c r="AK15" s="139"/>
      <c r="AL15" s="139"/>
      <c r="AM15" s="139"/>
      <c r="AN15" s="139"/>
      <c r="AO15" s="139"/>
      <c r="AP15" s="139"/>
      <c r="AQ15" s="139"/>
      <c r="AR15" s="139"/>
      <c r="AS15" s="85"/>
      <c r="AT15" s="85"/>
      <c r="AU15" s="139"/>
      <c r="AV15" s="139"/>
      <c r="AW15" s="139"/>
      <c r="AX15" s="139"/>
      <c r="AY15" s="139"/>
      <c r="AZ15" s="139"/>
      <c r="BA15" s="139"/>
      <c r="BB15" s="139"/>
      <c r="BC15" s="85"/>
      <c r="BD15" s="85"/>
      <c r="BE15" s="139"/>
      <c r="BF15" s="139"/>
      <c r="BG15" s="139"/>
      <c r="BH15" s="139"/>
      <c r="BI15" s="139"/>
      <c r="BJ15" s="139"/>
      <c r="BK15" s="139"/>
      <c r="BL15" s="139"/>
      <c r="BM15" s="139"/>
      <c r="BN15" s="139"/>
      <c r="BO15" s="139"/>
      <c r="BP15" s="139"/>
      <c r="BQ15" s="85"/>
      <c r="BR15" s="139"/>
      <c r="BS15" s="139"/>
      <c r="BT15" s="139"/>
      <c r="BU15" s="139"/>
      <c r="BV15" s="139"/>
      <c r="BW15" s="139"/>
      <c r="BX15" s="85"/>
      <c r="BY15" s="85"/>
      <c r="BZ15" s="139"/>
      <c r="CA15" s="139"/>
      <c r="CB15" s="139"/>
      <c r="CC15" s="139"/>
      <c r="CD15" s="139"/>
      <c r="CE15" s="139"/>
      <c r="CF15" s="139"/>
      <c r="CG15" s="139"/>
      <c r="CH15" s="139"/>
      <c r="CI15" s="139"/>
      <c r="CJ15" s="139"/>
      <c r="CK15" s="139"/>
      <c r="CL15" s="139"/>
      <c r="CM15" s="139"/>
      <c r="CN15" s="85"/>
      <c r="CO15" s="85"/>
      <c r="CP15" s="85"/>
      <c r="CQ15" s="85"/>
      <c r="CR15" s="85"/>
      <c r="CS15" s="85"/>
      <c r="CT15" s="85"/>
      <c r="CU15" s="85"/>
      <c r="CV15" s="85"/>
      <c r="CW15" s="85"/>
      <c r="CX15" s="139"/>
      <c r="CY15" s="139"/>
      <c r="CZ15" s="139"/>
      <c r="DA15" s="139"/>
      <c r="DB15" s="139"/>
      <c r="DC15" s="139"/>
      <c r="DD15" s="139"/>
      <c r="DE15" s="139"/>
      <c r="DF15" s="139"/>
      <c r="DG15" s="139"/>
      <c r="DH15" s="139"/>
      <c r="DI15" s="139"/>
      <c r="DJ15" s="139"/>
      <c r="DK15" s="139"/>
      <c r="DL15" s="139"/>
      <c r="DM15" s="139"/>
      <c r="DN15" s="139"/>
      <c r="DO15" s="139"/>
      <c r="DP15" s="139"/>
      <c r="DQ15" s="139"/>
      <c r="DR15" s="139"/>
      <c r="DS15" s="139"/>
      <c r="DT15" s="139"/>
      <c r="DU15" s="139"/>
      <c r="DV15" s="139"/>
      <c r="DW15" s="139"/>
      <c r="DX15" s="139"/>
      <c r="DY15" s="139"/>
      <c r="DZ15" s="139"/>
      <c r="EA15" s="139"/>
      <c r="EB15" s="139"/>
      <c r="EC15" s="139"/>
      <c r="ED15" s="139"/>
      <c r="EE15" s="139"/>
      <c r="EF15" s="139"/>
      <c r="EG15" s="139"/>
      <c r="EH15" s="139"/>
      <c r="EI15" s="139"/>
      <c r="EJ15" s="139"/>
      <c r="EK15" s="139"/>
      <c r="EL15" s="139"/>
      <c r="EM15" s="85"/>
      <c r="EN15" s="85"/>
      <c r="EO15" s="85"/>
      <c r="EP15" s="85"/>
      <c r="EQ15" s="85"/>
      <c r="ER15" s="85"/>
      <c r="ES15" s="85"/>
      <c r="ET15" s="85"/>
      <c r="EU15" s="85"/>
      <c r="EV15" s="85"/>
      <c r="EW15" s="85"/>
      <c r="EX15" s="85"/>
      <c r="EY15" s="85"/>
      <c r="EZ15" s="85"/>
      <c r="FA15" s="85"/>
      <c r="FB15" s="85"/>
      <c r="FC15" s="139"/>
      <c r="FD15" s="139"/>
      <c r="FE15" s="139"/>
      <c r="FF15" s="139"/>
      <c r="FG15" s="139"/>
      <c r="FH15" s="139"/>
      <c r="FI15" s="139"/>
      <c r="FJ15" s="139"/>
      <c r="FK15" s="139"/>
      <c r="FL15" s="139"/>
      <c r="FM15" s="139"/>
      <c r="FN15" s="139"/>
      <c r="FO15" s="139"/>
      <c r="FP15" s="139"/>
      <c r="FQ15" s="139"/>
      <c r="FR15" s="139"/>
      <c r="FS15" s="85"/>
      <c r="FT15" s="85"/>
      <c r="FU15" s="85"/>
      <c r="FV15" s="85"/>
      <c r="FW15" s="139"/>
      <c r="FX15" s="139"/>
      <c r="FY15" s="139"/>
      <c r="FZ15" s="139"/>
      <c r="GA15" s="139"/>
      <c r="GB15" s="139"/>
      <c r="GC15" s="139"/>
      <c r="GD15" s="139"/>
      <c r="GE15" s="139"/>
      <c r="GF15" s="139"/>
      <c r="GG15" s="139"/>
      <c r="GH15" s="139"/>
      <c r="GI15" s="139"/>
      <c r="GJ15" s="139"/>
      <c r="GK15" s="139"/>
      <c r="GL15" s="139"/>
      <c r="GM15" s="139"/>
      <c r="GN15" s="139"/>
      <c r="GO15" s="139"/>
      <c r="GP15" s="139"/>
      <c r="GQ15" s="139"/>
      <c r="GR15" s="139"/>
      <c r="GS15" s="139"/>
      <c r="GT15" s="139"/>
      <c r="GU15" s="139"/>
      <c r="GV15" s="139"/>
      <c r="GW15" s="139"/>
      <c r="GX15" s="139"/>
      <c r="GY15" s="139"/>
      <c r="GZ15" s="139"/>
      <c r="HA15" s="139"/>
      <c r="HB15" s="139"/>
      <c r="HC15" s="85"/>
      <c r="HD15" s="85"/>
      <c r="HE15" s="139"/>
      <c r="HF15" s="139"/>
      <c r="HG15" s="85"/>
      <c r="HH15" s="85"/>
      <c r="HI15" s="139"/>
      <c r="HJ15" s="139"/>
      <c r="HK15" s="85"/>
      <c r="HL15" s="85"/>
      <c r="HM15" s="85"/>
      <c r="HN15" s="85"/>
      <c r="HO15" s="85"/>
      <c r="HP15" s="85"/>
      <c r="HQ15" s="85"/>
      <c r="HR15" s="85"/>
      <c r="HS15" s="85"/>
      <c r="HT15" s="85"/>
      <c r="HU15" s="85"/>
      <c r="HV15" s="85"/>
      <c r="HW15" s="85"/>
      <c r="HX15" s="85"/>
      <c r="HY15" s="85"/>
      <c r="HZ15" s="85"/>
      <c r="IA15" s="85"/>
      <c r="IB15" s="85"/>
      <c r="IC15" s="85"/>
      <c r="ID15" s="85"/>
      <c r="IE15" s="85"/>
      <c r="IF15" s="85"/>
      <c r="IG15" s="85"/>
      <c r="IH15" s="85"/>
      <c r="II15" s="85"/>
      <c r="IJ15" s="85"/>
      <c r="IK15" s="85"/>
      <c r="IL15" s="85"/>
      <c r="IM15" s="139"/>
      <c r="IN15" s="139"/>
      <c r="IO15" s="139"/>
      <c r="IP15" s="139"/>
      <c r="IQ15" s="139"/>
      <c r="IR15" s="139"/>
      <c r="IS15" s="139"/>
      <c r="IT15" s="139"/>
      <c r="IU15" s="139"/>
      <c r="IV15" s="139"/>
      <c r="IW15" s="139"/>
      <c r="IX15" s="139"/>
      <c r="IY15" s="139"/>
      <c r="IZ15" s="139"/>
      <c r="JA15" s="139"/>
      <c r="JB15" s="139"/>
      <c r="JC15" s="139"/>
      <c r="JD15" s="139"/>
      <c r="JE15" s="139"/>
      <c r="JF15" s="139"/>
      <c r="JG15" s="139"/>
      <c r="JH15" s="139"/>
      <c r="JI15" s="139"/>
      <c r="JJ15" s="139"/>
      <c r="JK15" s="139"/>
      <c r="JL15" s="139"/>
      <c r="JM15" s="85"/>
      <c r="JN15" s="85"/>
      <c r="JO15" s="85"/>
      <c r="JP15" s="85"/>
      <c r="JQ15" s="139"/>
      <c r="JR15" s="139"/>
      <c r="JS15" s="139"/>
      <c r="JT15" s="139"/>
      <c r="JU15" s="85"/>
      <c r="JV15" s="85"/>
      <c r="JW15" s="139"/>
      <c r="JX15" s="139"/>
      <c r="JY15" s="139"/>
      <c r="JZ15" s="139"/>
      <c r="KA15" s="139"/>
      <c r="KB15" s="139"/>
      <c r="KC15" s="139"/>
      <c r="KD15" s="139"/>
      <c r="KE15" s="139"/>
      <c r="KF15" s="139"/>
      <c r="KG15" s="119"/>
      <c r="KH15" s="119"/>
      <c r="KI15" s="139"/>
      <c r="KJ15" s="139"/>
      <c r="KK15" s="139"/>
      <c r="KL15" s="139"/>
      <c r="KM15" s="139"/>
      <c r="KN15" s="139"/>
      <c r="KO15" s="139"/>
      <c r="KP15" s="139"/>
      <c r="KQ15" s="139"/>
      <c r="KR15" s="139"/>
      <c r="KS15" s="139"/>
      <c r="KT15" s="139"/>
      <c r="KU15" s="139"/>
      <c r="KV15" s="139"/>
      <c r="KW15" s="170"/>
      <c r="KX15" s="170"/>
      <c r="KY15" s="139"/>
      <c r="KZ15" s="139"/>
      <c r="LA15" s="139"/>
      <c r="LB15" s="139"/>
      <c r="LD15" s="221"/>
      <c r="LE15" s="221"/>
      <c r="LF15" s="221"/>
      <c r="LG15" s="64"/>
      <c r="LH15" s="64"/>
      <c r="LI15" s="64"/>
      <c r="LJ15" s="64"/>
      <c r="LK15" s="64"/>
      <c r="LL15" s="64"/>
      <c r="LM15" s="64"/>
      <c r="LN15" s="64"/>
      <c r="LO15" s="64"/>
      <c r="LP15" s="64"/>
      <c r="LQ15" s="64"/>
      <c r="LR15" s="64"/>
      <c r="LS15" s="64"/>
      <c r="LT15" s="64"/>
      <c r="LU15" s="64"/>
      <c r="LV15" s="64"/>
      <c r="LW15" s="64"/>
      <c r="LX15" s="64"/>
      <c r="LY15" s="64"/>
      <c r="LZ15" s="64"/>
      <c r="MA15" s="64"/>
      <c r="MB15" s="64"/>
      <c r="MC15" s="64"/>
      <c r="MD15" s="64"/>
      <c r="ME15" s="64"/>
      <c r="MF15" s="64"/>
      <c r="MG15" s="64"/>
      <c r="MH15" s="64"/>
      <c r="MI15" s="64"/>
      <c r="MJ15" s="64"/>
    </row>
    <row r="16" spans="1:348" s="13" customFormat="1" ht="24.9" hidden="1" customHeight="1">
      <c r="A16" s="1"/>
      <c r="B16" s="85"/>
      <c r="C16" s="5"/>
      <c r="D16" s="85"/>
      <c r="E16" s="85"/>
      <c r="F16" s="85"/>
      <c r="G16" s="85"/>
      <c r="H16" s="85"/>
      <c r="I16" s="85"/>
      <c r="J16" s="85"/>
      <c r="K16" s="85"/>
      <c r="L16" s="85"/>
      <c r="M16" s="85"/>
      <c r="N16" s="85"/>
      <c r="O16" s="85"/>
      <c r="P16" s="85"/>
      <c r="Q16" s="85"/>
      <c r="R16" s="85"/>
      <c r="S16" s="85"/>
      <c r="T16" s="85"/>
      <c r="U16" s="85"/>
      <c r="V16" s="85"/>
      <c r="W16" s="85"/>
      <c r="X16" s="85"/>
      <c r="Y16" s="85"/>
      <c r="Z16" s="85"/>
      <c r="AA16" s="85"/>
      <c r="AB16" s="85"/>
      <c r="AC16" s="85"/>
      <c r="AD16" s="85"/>
      <c r="AE16" s="85"/>
      <c r="AF16" s="85"/>
      <c r="AG16" s="85"/>
      <c r="AH16" s="296"/>
      <c r="AI16" s="139"/>
      <c r="AJ16" s="139"/>
      <c r="AK16" s="139"/>
      <c r="AL16" s="139"/>
      <c r="AM16" s="139"/>
      <c r="AN16" s="139"/>
      <c r="AO16" s="139"/>
      <c r="AP16" s="139"/>
      <c r="AQ16" s="139"/>
      <c r="AR16" s="139"/>
      <c r="AS16" s="85"/>
      <c r="AT16" s="85"/>
      <c r="AU16" s="139"/>
      <c r="AV16" s="139"/>
      <c r="AW16" s="139"/>
      <c r="AX16" s="139"/>
      <c r="AY16" s="139"/>
      <c r="AZ16" s="139"/>
      <c r="BA16" s="139"/>
      <c r="BB16" s="139"/>
      <c r="BC16" s="85"/>
      <c r="BD16" s="85"/>
      <c r="BE16" s="139"/>
      <c r="BF16" s="139"/>
      <c r="BG16" s="139"/>
      <c r="BH16" s="139"/>
      <c r="BI16" s="139"/>
      <c r="BJ16" s="139"/>
      <c r="BK16" s="139"/>
      <c r="BL16" s="139"/>
      <c r="BM16" s="139"/>
      <c r="BN16" s="139"/>
      <c r="BO16" s="139"/>
      <c r="BP16" s="139"/>
      <c r="BQ16" s="85"/>
      <c r="BR16" s="139"/>
      <c r="BS16" s="139"/>
      <c r="BT16" s="139"/>
      <c r="BU16" s="139"/>
      <c r="BV16" s="139"/>
      <c r="BW16" s="139"/>
      <c r="BX16" s="85"/>
      <c r="BY16" s="85"/>
      <c r="BZ16" s="139"/>
      <c r="CA16" s="139"/>
      <c r="CB16" s="139"/>
      <c r="CC16" s="139"/>
      <c r="CD16" s="139"/>
      <c r="CE16" s="139"/>
      <c r="CF16" s="139"/>
      <c r="CG16" s="139"/>
      <c r="CH16" s="139"/>
      <c r="CI16" s="139"/>
      <c r="CJ16" s="139"/>
      <c r="CK16" s="139"/>
      <c r="CL16" s="139"/>
      <c r="CM16" s="139"/>
      <c r="CN16" s="85"/>
      <c r="CO16" s="85"/>
      <c r="CP16" s="85"/>
      <c r="CQ16" s="85"/>
      <c r="CR16" s="85"/>
      <c r="CS16" s="85"/>
      <c r="CT16" s="85"/>
      <c r="CU16" s="85"/>
      <c r="CV16" s="85"/>
      <c r="CW16" s="85"/>
      <c r="CX16" s="139"/>
      <c r="CY16" s="139"/>
      <c r="CZ16" s="139"/>
      <c r="DA16" s="139"/>
      <c r="DB16" s="139"/>
      <c r="DC16" s="139"/>
      <c r="DD16" s="139"/>
      <c r="DE16" s="139"/>
      <c r="DF16" s="139"/>
      <c r="DG16" s="139"/>
      <c r="DH16" s="139"/>
      <c r="DI16" s="139"/>
      <c r="DJ16" s="139"/>
      <c r="DK16" s="139"/>
      <c r="DL16" s="139"/>
      <c r="DM16" s="139"/>
      <c r="DN16" s="139"/>
      <c r="DO16" s="139"/>
      <c r="DP16" s="139"/>
      <c r="DQ16" s="139"/>
      <c r="DR16" s="139"/>
      <c r="DS16" s="139"/>
      <c r="DT16" s="139"/>
      <c r="DU16" s="139"/>
      <c r="DV16" s="139"/>
      <c r="DW16" s="139"/>
      <c r="DX16" s="139"/>
      <c r="DY16" s="139"/>
      <c r="DZ16" s="139"/>
      <c r="EA16" s="139"/>
      <c r="EB16" s="139"/>
      <c r="EC16" s="139"/>
      <c r="ED16" s="139"/>
      <c r="EE16" s="139"/>
      <c r="EF16" s="139"/>
      <c r="EG16" s="139"/>
      <c r="EH16" s="139"/>
      <c r="EI16" s="139"/>
      <c r="EJ16" s="139"/>
      <c r="EK16" s="139"/>
      <c r="EL16" s="139"/>
      <c r="EM16" s="85"/>
      <c r="EN16" s="85"/>
      <c r="EO16" s="85"/>
      <c r="EP16" s="85"/>
      <c r="EQ16" s="85" t="s">
        <v>846</v>
      </c>
      <c r="ER16" s="85" t="s">
        <v>846</v>
      </c>
      <c r="ES16" s="85" t="s">
        <v>846</v>
      </c>
      <c r="ET16" s="85" t="s">
        <v>846</v>
      </c>
      <c r="EU16" s="85"/>
      <c r="EV16" s="85"/>
      <c r="EW16" s="85"/>
      <c r="EX16" s="85"/>
      <c r="EY16" s="85" t="s">
        <v>846</v>
      </c>
      <c r="EZ16" s="85" t="s">
        <v>846</v>
      </c>
      <c r="FA16" s="85" t="s">
        <v>846</v>
      </c>
      <c r="FB16" s="85" t="s">
        <v>846</v>
      </c>
      <c r="FC16" s="139"/>
      <c r="FD16" s="139"/>
      <c r="FE16" s="139"/>
      <c r="FF16" s="139"/>
      <c r="FG16" s="139"/>
      <c r="FH16" s="139"/>
      <c r="FI16" s="139"/>
      <c r="FJ16" s="139"/>
      <c r="FK16" s="139"/>
      <c r="FL16" s="139"/>
      <c r="FM16" s="139"/>
      <c r="FN16" s="139"/>
      <c r="FO16" s="139"/>
      <c r="FP16" s="139"/>
      <c r="FQ16" s="139"/>
      <c r="FR16" s="139"/>
      <c r="FS16" s="85" t="s">
        <v>846</v>
      </c>
      <c r="FT16" s="85" t="s">
        <v>846</v>
      </c>
      <c r="FU16" s="85"/>
      <c r="FV16" s="85"/>
      <c r="FW16" s="139"/>
      <c r="FX16" s="139"/>
      <c r="FY16" s="139"/>
      <c r="FZ16" s="139"/>
      <c r="GA16" s="139"/>
      <c r="GB16" s="139"/>
      <c r="GC16" s="139"/>
      <c r="GD16" s="139"/>
      <c r="GE16" s="139"/>
      <c r="GF16" s="139"/>
      <c r="GG16" s="139"/>
      <c r="GH16" s="139"/>
      <c r="GI16" s="139"/>
      <c r="GJ16" s="139"/>
      <c r="GK16" s="139"/>
      <c r="GL16" s="139"/>
      <c r="GM16" s="139"/>
      <c r="GN16" s="139"/>
      <c r="GO16" s="139"/>
      <c r="GP16" s="139"/>
      <c r="GQ16" s="139"/>
      <c r="GR16" s="139"/>
      <c r="GS16" s="139"/>
      <c r="GT16" s="139"/>
      <c r="GU16" s="139"/>
      <c r="GV16" s="139"/>
      <c r="GW16" s="139"/>
      <c r="GX16" s="139"/>
      <c r="GY16" s="139"/>
      <c r="GZ16" s="139"/>
      <c r="HA16" s="139"/>
      <c r="HB16" s="139"/>
      <c r="HC16" s="85"/>
      <c r="HD16" s="85"/>
      <c r="HE16" s="139"/>
      <c r="HF16" s="139"/>
      <c r="HG16" s="85"/>
      <c r="HH16" s="85"/>
      <c r="HI16" s="139"/>
      <c r="HJ16" s="139"/>
      <c r="HK16" s="85"/>
      <c r="HL16" s="85"/>
      <c r="HM16" s="85"/>
      <c r="HN16" s="85"/>
      <c r="HO16" s="85"/>
      <c r="HP16" s="85"/>
      <c r="HQ16" s="85"/>
      <c r="HR16" s="85"/>
      <c r="HS16" s="85"/>
      <c r="HT16" s="85"/>
      <c r="HU16" s="85"/>
      <c r="HV16" s="85"/>
      <c r="HW16" s="85"/>
      <c r="HX16" s="85"/>
      <c r="HY16" s="85"/>
      <c r="HZ16" s="85"/>
      <c r="IA16" s="85"/>
      <c r="IB16" s="85"/>
      <c r="IC16" s="85"/>
      <c r="ID16" s="85"/>
      <c r="IE16" s="85"/>
      <c r="IF16" s="85"/>
      <c r="IG16" s="85"/>
      <c r="IH16" s="85"/>
      <c r="II16" s="85"/>
      <c r="IJ16" s="85"/>
      <c r="IK16" s="85"/>
      <c r="IL16" s="85"/>
      <c r="IM16" s="139"/>
      <c r="IN16" s="139"/>
      <c r="IO16" s="139"/>
      <c r="IP16" s="139"/>
      <c r="IQ16" s="139"/>
      <c r="IR16" s="139"/>
      <c r="IS16" s="139"/>
      <c r="IT16" s="139"/>
      <c r="IU16" s="139"/>
      <c r="IV16" s="139"/>
      <c r="IW16" s="139"/>
      <c r="IX16" s="139"/>
      <c r="IY16" s="139"/>
      <c r="IZ16" s="139"/>
      <c r="JA16" s="139"/>
      <c r="JB16" s="139"/>
      <c r="JC16" s="139"/>
      <c r="JD16" s="139"/>
      <c r="JE16" s="139"/>
      <c r="JF16" s="139"/>
      <c r="JG16" s="139"/>
      <c r="JH16" s="139"/>
      <c r="JI16" s="139"/>
      <c r="JJ16" s="139"/>
      <c r="JK16" s="139"/>
      <c r="JL16" s="139"/>
      <c r="JM16" s="85"/>
      <c r="JN16" s="85"/>
      <c r="JO16" s="85"/>
      <c r="JP16" s="85"/>
      <c r="JQ16" s="139"/>
      <c r="JR16" s="139"/>
      <c r="JS16" s="139"/>
      <c r="JT16" s="139"/>
      <c r="JU16" s="85"/>
      <c r="JV16" s="85"/>
      <c r="JW16" s="139"/>
      <c r="JX16" s="139"/>
      <c r="JY16" s="139"/>
      <c r="JZ16" s="139"/>
      <c r="KA16" s="139"/>
      <c r="KB16" s="139"/>
      <c r="KC16" s="139"/>
      <c r="KD16" s="139"/>
      <c r="KE16" s="139"/>
      <c r="KF16" s="139"/>
      <c r="KG16" s="119"/>
      <c r="KH16" s="119"/>
      <c r="KI16" s="139"/>
      <c r="KJ16" s="139"/>
      <c r="KK16" s="139"/>
      <c r="KL16" s="139"/>
      <c r="KM16" s="139"/>
      <c r="KN16" s="139"/>
      <c r="KO16" s="139"/>
      <c r="KP16" s="139"/>
      <c r="KQ16" s="139"/>
      <c r="KR16" s="139"/>
      <c r="KS16" s="139"/>
      <c r="KT16" s="139"/>
      <c r="KU16" s="139"/>
      <c r="KV16" s="139"/>
      <c r="KW16" s="170"/>
      <c r="KX16" s="170"/>
      <c r="KY16" s="139"/>
      <c r="KZ16" s="139"/>
      <c r="LA16" s="139"/>
      <c r="LB16" s="139"/>
      <c r="LD16" s="221"/>
      <c r="LE16" s="221"/>
      <c r="LF16" s="221"/>
      <c r="LG16" s="64"/>
      <c r="LH16" s="64"/>
      <c r="LI16" s="64"/>
      <c r="LJ16" s="64"/>
      <c r="LK16" s="64"/>
      <c r="LL16" s="64"/>
      <c r="LM16" s="64"/>
      <c r="LN16" s="64"/>
      <c r="LO16" s="64"/>
      <c r="LP16" s="64"/>
      <c r="LQ16" s="64"/>
      <c r="LR16" s="64"/>
      <c r="LS16" s="64"/>
      <c r="LT16" s="64"/>
      <c r="LU16" s="64"/>
      <c r="LV16" s="64"/>
      <c r="LW16" s="64"/>
      <c r="LX16" s="64"/>
      <c r="LY16" s="64"/>
      <c r="LZ16" s="64"/>
      <c r="MA16" s="64"/>
      <c r="MB16" s="64"/>
      <c r="MC16" s="64"/>
      <c r="MD16" s="64"/>
      <c r="ME16" s="64"/>
      <c r="MF16" s="64"/>
      <c r="MG16" s="64"/>
      <c r="MH16" s="64"/>
      <c r="MI16" s="64"/>
      <c r="MJ16" s="64"/>
    </row>
    <row r="17" spans="1:348" s="13" customFormat="1" ht="24.9" customHeight="1">
      <c r="A17" s="469" t="s">
        <v>899</v>
      </c>
      <c r="B17" s="5" t="s">
        <v>49</v>
      </c>
      <c r="C17" s="5">
        <f>0.34/1000</f>
        <v>3.4000000000000002E-4</v>
      </c>
      <c r="D17" s="66">
        <f>C17*2%</f>
        <v>6.800000000000001E-6</v>
      </c>
      <c r="E17" s="67">
        <v>44706</v>
      </c>
      <c r="F17" s="5" t="s">
        <v>210</v>
      </c>
      <c r="G17" s="327" t="s">
        <v>901</v>
      </c>
      <c r="H17" s="5">
        <v>1</v>
      </c>
      <c r="I17" s="5"/>
      <c r="J17" s="327">
        <v>44644</v>
      </c>
      <c r="K17" s="67" t="s">
        <v>857</v>
      </c>
      <c r="L17" s="5" t="s">
        <v>858</v>
      </c>
      <c r="M17" s="273" t="s">
        <v>859</v>
      </c>
      <c r="N17" s="5">
        <v>110</v>
      </c>
      <c r="O17" s="368">
        <v>5450.5787620000001</v>
      </c>
      <c r="P17" s="368">
        <v>13.908071</v>
      </c>
      <c r="Q17" s="406">
        <v>52.450991000000002</v>
      </c>
      <c r="R17" s="406">
        <v>0.180532</v>
      </c>
      <c r="S17" s="368">
        <v>2996.8016480000001</v>
      </c>
      <c r="T17" s="368">
        <v>10.364947000000001</v>
      </c>
      <c r="U17" s="406">
        <v>29.755889</v>
      </c>
      <c r="V17" s="406">
        <v>0.121236</v>
      </c>
      <c r="W17" s="368">
        <v>1.1982809999999999</v>
      </c>
      <c r="X17" s="368">
        <v>0.16781699999999999</v>
      </c>
      <c r="Y17" s="368">
        <v>11.790601000000001</v>
      </c>
      <c r="Z17" s="68">
        <v>0.30840800000000002</v>
      </c>
      <c r="AA17" s="368">
        <v>0.78236700000000003</v>
      </c>
      <c r="AB17" s="328">
        <v>0.108393</v>
      </c>
      <c r="AC17" s="368">
        <v>7.1070999999999995E-2</v>
      </c>
      <c r="AD17" s="68">
        <v>6.1585000000000001E-2</v>
      </c>
      <c r="AE17" s="368">
        <v>0.41088000000000002</v>
      </c>
      <c r="AF17" s="328">
        <v>6.1577E-2</v>
      </c>
      <c r="AG17" s="368">
        <v>9.1380000000000003E-3</v>
      </c>
      <c r="AH17" s="68">
        <v>0.130576</v>
      </c>
      <c r="AI17" s="133">
        <f t="shared" ref="AI17:AI22" si="1">Ar40Raw-Ar40Blank</f>
        <v>5438.7881610000004</v>
      </c>
      <c r="AJ17" s="133">
        <f t="shared" ref="AJ17:AJ22" si="2">SQRT(Ar40Blankerr^2+Ar40Rawerr^2)</f>
        <v>13.911490014930283</v>
      </c>
      <c r="AK17" s="133">
        <f t="shared" ref="AK17:AK22" si="3">Ar39Raw-Ar39Blank</f>
        <v>51.668624000000001</v>
      </c>
      <c r="AL17" s="133">
        <f t="shared" ref="AL17:AL22" si="4">SQRT(Ar39Blankerr^2+Ar39Rawerr^2)</f>
        <v>0.21057266079194611</v>
      </c>
      <c r="AM17" s="133">
        <f t="shared" ref="AM17:AM22" si="5">Ar38Raw-Ar38Blank</f>
        <v>2996.7305770000003</v>
      </c>
      <c r="AN17" s="133">
        <f t="shared" ref="AN17:AN22" si="6">SQRT(Ar38Blankerr^2+Ar38Rawerr^2)</f>
        <v>10.365129956977579</v>
      </c>
      <c r="AO17" s="133">
        <f t="shared" ref="AO17:AO22" si="7">Ar37Raw-Ar37Blank</f>
        <v>29.345009000000001</v>
      </c>
      <c r="AP17" s="133">
        <f t="shared" ref="AP17:AP22" si="8">SQRT(Ar37Blankerr^2+Ar37Rawerr^2)</f>
        <v>0.1359775519157482</v>
      </c>
      <c r="AQ17" s="133">
        <f t="shared" ref="AQ17:AQ22" si="9">Ar36Raw-Ar36Blank</f>
        <v>1.1891429999999998</v>
      </c>
      <c r="AR17" s="133">
        <f t="shared" ref="AR17:AR22" si="10">SQRT(Ar36Blankerr^2+Ar36Rawerr^2)</f>
        <v>0.21263263452490069</v>
      </c>
      <c r="AS17" s="4">
        <v>301.3</v>
      </c>
      <c r="AT17" s="326">
        <v>0.9</v>
      </c>
      <c r="AU17" s="133">
        <f t="shared" ref="AU17:AU22" si="11">Ar39BC*(1+(Ar4036_Aircal/Ar4036_Air-1)/4)</f>
        <v>51.92215870321489</v>
      </c>
      <c r="AV17" s="133">
        <f t="shared" ref="AV17:AV22" si="12">SQRT(Ar39BCerr^2+(Ar39BC*(Ar4036_Aircal/Ar4036_Air-1)/4)^2*((Ar4036_Aircalerr/Ar4036_Aircal)^2+(Ar39BCerr/Ar39BC)^2+(Ar4036_airerr/Ar4036_Air)^2))</f>
        <v>0.21057672566919611</v>
      </c>
      <c r="AW17" s="133">
        <f t="shared" ref="AW17:AW22" si="13">Ar38BC*(1+2*(Ar4036_Aircal/Ar4036_Air-1)/4)</f>
        <v>3026.1401156575293</v>
      </c>
      <c r="AX17" s="133">
        <f t="shared" ref="AX17:AX22" si="14">SQRT(Ar38BCerr^2+(Ar38BC*(Ar4036_Aircal/Ar4036_Air-1)/4)^2*((Ar4036_Aircalerr/Ar4036_Aircal)^2+(Ar38BCerr/Ar38BC)^2+(Ar4036_airerr/Ar4036_Air)^2))</f>
        <v>10.365359287427703</v>
      </c>
      <c r="AY17" s="133">
        <f t="shared" ref="AY17:AY22" si="15">Ar37BC*(1+3*(Ar4036_Aircal/Ar4036_Air-1)/4)</f>
        <v>29.776991365989851</v>
      </c>
      <c r="AZ17" s="133">
        <f t="shared" ref="AZ17:AZ22" si="16">SQRT(Ar37BCerr^2+(Ar37BC*(Ar4036_Aircal/Ar4036_Air-1)/3)^2*((Ar4036_Aircalerr/Ar4036_Aircal)^2+(Ar37BCerr/Ar37BC)^2+(Ar4036_airerr/Ar4036_Air)^2))</f>
        <v>0.13598182066664036</v>
      </c>
      <c r="BA17" s="133">
        <f t="shared" ref="BA17:BA22" si="17">Ar36BC*(1+4*(Ar4036_Aircal/Ar4036_Air-1)/4)</f>
        <v>1.2124832010152282</v>
      </c>
      <c r="BB17" s="133">
        <f t="shared" ref="BB17:BB22" si="18">SQRT(Ar36BCerr^2+(Ar36BC*(Ar4036_Aircal/Ar4036_Air-1)/4)^2*((Ar4036_Aircalerr/Ar4036_Aircal)^2+(Ar36BCerr/Ar36BC)^2+(Ar4036_airerr/Ar4036_Air)^2))</f>
        <v>0.21263519519991733</v>
      </c>
      <c r="BC17" s="6"/>
      <c r="BD17" s="8"/>
      <c r="BE17" s="133">
        <f t="shared" ref="BE17:BE22" si="19">IF(Rad_Type="Continuous", Ar37_DC*EXP(lambda_37Ar*(Run_Date-Rad_Date)),Ar37_DC*Ar37_DecayFactor)</f>
        <v>101.3012281058583</v>
      </c>
      <c r="BF17" s="133">
        <f t="shared" ref="BF17:BF22" si="20">IF(Rad_Type="Continuous", (Ar37_DCerr*EXP(lambda_37Ar*(Run_Date-Rad_Date))), Ar37_DCerr*Ar37_DecayFactor)</f>
        <v>0.4626097131268499</v>
      </c>
      <c r="BG17" s="133">
        <f t="shared" ref="BG17:BG22" si="21">IF(Rad_Type="Continuous", Ar39_DC*EXP(lambda_39Ar*(Run_Date-Rad_Date)), Ar39_DC*Ar39_DecayFactor)</f>
        <v>51.94488976875661</v>
      </c>
      <c r="BH17" s="133">
        <f t="shared" ref="BH17:BH22" si="22">IF(Rad_Type="Continuous", (Ar39_DCerr*EXP(lambda_39Ar*(Run_Date-Rad_Date))), Ar39_DCerr*Ar39_DecayFactor)</f>
        <v>0.21066891431220125</v>
      </c>
      <c r="BI17" s="143">
        <f t="shared" ref="BI17:BI22" si="23">Ar40BC-(Salt_40Ar39Ar_K*Ar39_IC)</f>
        <v>5432.0361713261173</v>
      </c>
      <c r="BJ17" s="133">
        <f t="shared" ref="BJ17:BJ22" si="24">SQRT(Ar40BCerr^2+(Ar39_ICerr*Salt_40Ar39Ar_K)^2)</f>
        <v>13.91151706235086</v>
      </c>
      <c r="BK17" s="143">
        <f t="shared" ref="BK17:BK22" si="25">Ar39_DecayCor-(Salt_39Ar37Ar_Ca*Ar37_DecayCor)</f>
        <v>51.852313821747131</v>
      </c>
      <c r="BL17" s="133">
        <f t="shared" ref="BL17:BL22" si="26">SQRT(Ar39_DecayCorerr^2+(Ar37_DecayCorerr*Salt_39Ar37Ar_Ca)^2)</f>
        <v>0.21066933850716696</v>
      </c>
      <c r="BM17" s="143">
        <f t="shared" ref="BM17:BM22" si="27">Ar38_DC-(Salt_38Ar39Ar_K*Ar39_DecayCor)</f>
        <v>3025.3379775364283</v>
      </c>
      <c r="BN17" s="133">
        <f t="shared" ref="BN17:BN22" si="28">SQRT(Ar38_DCerr^2+(Ar39_DecayCorerr*Salt_38Ar39Ar_K)^2)</f>
        <v>10.365359797931765</v>
      </c>
      <c r="BO17" s="133">
        <f t="shared" ref="BO17:BO22" si="29">Ar36_DC-(Salt_36Ar37Ar_Ca*Ar37_DecayCor)</f>
        <v>1.1771463800023183</v>
      </c>
      <c r="BP17" s="133">
        <f t="shared" ref="BP17:BP22" si="30">SQRT(Ar36_DCerr^2+(Ar37_DecayCorerr*Salt_36Ar37Ar_Ca)^2)</f>
        <v>0.21263525643352091</v>
      </c>
      <c r="BQ17" s="369"/>
      <c r="BR17" s="147">
        <f t="shared" ref="BR17:BR22" si="31">IF(Rad_Type="Continuous", BO17-((EXP(lambda_36Ar*(Run_Date-Rad_Date))-1)*Cl3638_PR*BT17),BO17*Ar36_DecayFactor)</f>
        <v>0.8140751079443227</v>
      </c>
      <c r="BS17" s="147">
        <f t="shared" ref="BS17:BS22" si="32">IF(K:K="Continuous", SQRT(BP17^2+(((EXP(lambda_36Ar*(Run_Date-Rad_Date))-1)*Cl3638_PR)*BU17^2)), Ar36_ICerr*Ar36_DecayFactor)</f>
        <v>0.21374557507563616</v>
      </c>
      <c r="BT17" s="143">
        <f t="shared" ref="BT17:BT22" si="33">IF(Rad_Type="Continuous", BM17-(Ar3836_Air*BO17)/(1-lambda_36Ar*(Run_Date-Rad_Date)),Ar38_IC-(Ar3836_Air*Ar36_IC)/Ar36_DecayFactor)</f>
        <v>3025.1166739329351</v>
      </c>
      <c r="BU17" s="147">
        <f t="shared" ref="BU17:BU22" si="34">IF(Rad_Type ="Continuous", SQRT(BN17^2*(((EXP(lambda_36Ar*(Run_Date-Rad_Date))-1*0.188)*BP17^2))),SQRT(Ar38_ICerr^2*(((EXP(lambda_36Ar*(Ar36_DecayFactor))-1*0.188)*Ar36_ICerr^2))))</f>
        <v>1.9860847338326</v>
      </c>
      <c r="BV17" s="143">
        <f t="shared" ref="BV17:BV22" si="35">Ar40_IC-(Ar36_ClCor*Ar4036_Air)</f>
        <v>5191.4769769285704</v>
      </c>
      <c r="BW17" s="143">
        <f t="shared" ref="BW17:BW22" si="36">SQRT(Ar40_ICerr^2+(Ar36_ClCorerr*Ar4036_Air)^2)</f>
        <v>64.675694728773195</v>
      </c>
      <c r="BX17" s="3">
        <v>1.3734579270446072E-12</v>
      </c>
      <c r="BY17" s="3">
        <v>4.434063793042434E-15</v>
      </c>
      <c r="BZ17" s="157">
        <f t="shared" ref="BZ17:BZ22" si="37">Ar_Sensitivity*Ar36_ClCor</f>
        <v>1.1180979102158242E-12</v>
      </c>
      <c r="CA17" s="157">
        <f t="shared" ref="CA17:CA22" si="38">Ar36CC*SQRT((Ar36_ClCorerr/Ar36_ClCor)^2+(Ar_sensitivityerr/Ar_Sensitivity)^2)</f>
        <v>2.9359274530756134E-13</v>
      </c>
      <c r="CB17" s="157">
        <f t="shared" ref="CB17:CB22" si="39">Ar37_DecayCor*Ar_Sensitivity</f>
        <v>1.3913297476134504E-10</v>
      </c>
      <c r="CC17" s="158">
        <f t="shared" ref="CC17:CC22" si="40">Ar37CC*SQRT((Ar37_DecayCorerr/Ar37_DecayCor)^2+(Ar_sensitivityerr/Ar_Sensitivity)^2)</f>
        <v>7.781134479932384E-13</v>
      </c>
      <c r="CD17" s="157">
        <f t="shared" ref="CD17:CD22" si="41">Ar_Sensitivity*Ar38_Cl</f>
        <v>4.1548704760480059E-9</v>
      </c>
      <c r="CE17" s="157">
        <f t="shared" ref="CE17:CE22" si="42">Ar38CC*SQRT((Ar38_Clerr/Ar38_Cl)^2+(Ar_sensitivityerr/Ar_Sensitivity)^2)</f>
        <v>1.3688115793467853E-11</v>
      </c>
      <c r="CF17" s="157">
        <f t="shared" ref="CF17:CF22" si="43">Ar_Sensitivity*Ar39_IC</f>
        <v>7.1216971454083243E-11</v>
      </c>
      <c r="CG17" s="157">
        <f t="shared" ref="CG17:CG22" si="44">Ar39CC*SQRT((Ar39_ICerr/Ar39_IC)^2+(Ar_sensitivityerr/Ar_Sensitivity)^2)</f>
        <v>3.6957054084178773E-13</v>
      </c>
      <c r="CH17" s="157">
        <f t="shared" ref="CH17:CH22" si="45">Ar_Sensitivity*BV17</f>
        <v>7.130275207032118E-9</v>
      </c>
      <c r="CI17" s="157">
        <f t="shared" ref="CI17:CI22" si="46">Ar40CC*SQRT((BW17/BV17)^2+(Ar_sensitivityerr/Ar_Sensitivity)^2)</f>
        <v>9.1763514864923934E-11</v>
      </c>
      <c r="CJ17" s="157">
        <f t="shared" ref="CJ17:CJ22" si="47">Ar38CC/MV</f>
        <v>1.8536974748364461E-13</v>
      </c>
      <c r="CK17" s="157">
        <f t="shared" ref="CK17:CK22" si="48">Ar38_mole*SQRT((Ar38CCerr/Ar38CC)^2+(MVerr/MV)^2)</f>
        <v>6.1069595842057354E-16</v>
      </c>
      <c r="CL17" s="157">
        <f t="shared" ref="CL17:CL22" si="49">Ar40CC/MV</f>
        <v>3.1811757363700883E-13</v>
      </c>
      <c r="CM17" s="157">
        <f t="shared" ref="CM17:CM22" si="50">Ar40_mole*SQRT((Ar40CCerrr/Ar40CC)^2+(MVerr/MV)^2)</f>
        <v>4.0940336633975002E-15</v>
      </c>
      <c r="CN17" s="66">
        <v>3.8350333275558941E-3</v>
      </c>
      <c r="CO17" s="66">
        <v>7.6676428222284996E-6</v>
      </c>
      <c r="CP17" s="3">
        <v>1.0113071561336437E+19</v>
      </c>
      <c r="CQ17" s="3">
        <v>2.3277435056492074E+17</v>
      </c>
      <c r="CR17" s="3">
        <v>7.1282898634698573E+17</v>
      </c>
      <c r="CS17" s="3">
        <v>7063538631279223</v>
      </c>
      <c r="CT17" s="6">
        <v>0.47923995966916078</v>
      </c>
      <c r="CU17" s="6">
        <v>6.5673979999256492E-3</v>
      </c>
      <c r="CV17" s="6">
        <v>25.155822496231</v>
      </c>
      <c r="CW17" s="6">
        <v>0.37529485176746119</v>
      </c>
      <c r="CX17" s="157">
        <f t="shared" ref="CX17:CX22" si="51">J*(lambda_e/lambda)*K40_Abun</f>
        <v>4.6533953824152086E-8</v>
      </c>
      <c r="CY17" s="157">
        <f t="shared" ref="CY17:CY22" si="52">K39_Prod*SQRT((Jerr/J)^2+(lambda_eerr/lambda_e)^2+(lambda_err/lambda)^2+(K40_Abunerr/K40_Abun)^2)</f>
        <v>4.3550159750825405E-10</v>
      </c>
      <c r="CZ17" s="157">
        <f t="shared" ref="CZ17:CZ22" si="53">K39_Prod*Beta</f>
        <v>1.1705998824481796E-6</v>
      </c>
      <c r="DA17" s="157">
        <f t="shared" ref="DA17:DA22" si="54">Cl38_Prod*SQRT((K39_Proderr/K39_Prod)^2+(Betaerr/Beta)^2)</f>
        <v>2.0615782145689274E-8</v>
      </c>
      <c r="DB17" s="157">
        <f t="shared" ref="DB17:DB22" si="55">K39_Prod*alpha</f>
        <v>2.2300930153933236E-8</v>
      </c>
      <c r="DC17" s="157">
        <f t="shared" ref="DC17:DC22" si="56">Ca37_Prod*SQRT((K39_Prod/K39_Proderr)^2+(alphaerr/alpha)^2)</f>
        <v>2.3828855473571513E-6</v>
      </c>
      <c r="DD17" s="157">
        <f t="shared" ref="DD17:DD22" si="57">K_constant*Ar39CC/J</f>
        <v>6.8280220546694576E-8</v>
      </c>
      <c r="DE17" s="157">
        <f t="shared" ref="DE17:DE22" si="58">K_mole*SQRT((Ar39ccerr/Ar39CC)^2+(Jerr/J)^2+(K_Constanterr/K_constant)^2)</f>
        <v>7.3068275291479635E-10</v>
      </c>
      <c r="DF17" s="143">
        <f t="shared" ref="DF17:DF22" si="59">K_mole*MW_K/Sample_Mass*10^6</f>
        <v>7851.8839617671438</v>
      </c>
      <c r="DG17" s="143">
        <f t="shared" ref="DG17:DG22" si="60">K_ppm*SQRT((Sample_Masserr/Sample_Mass)^2+(MW_Kerr/MW_K)^2)+(K_moleerr/K_mole)^2</f>
        <v>157.03779376463538</v>
      </c>
      <c r="DH17" s="159">
        <f t="shared" ref="DH17:DH22" si="61">K_ppm/10^4</f>
        <v>0.78518839617671443</v>
      </c>
      <c r="DI17" s="167">
        <f t="shared" ref="DI17:DI22" si="62">K_ppmerr/10^4</f>
        <v>1.5703779376463538E-2</v>
      </c>
      <c r="DJ17" s="157">
        <f t="shared" ref="DJ17:DJ22" si="63">Cl_Constant*Ar38CC/(J*Beta)</f>
        <v>1.7463659943749271E-7</v>
      </c>
      <c r="DK17" s="157">
        <f t="shared" ref="DK17:DK22" si="64">Cl_mole*SQRT((Ar38CCerr/Ar38CC)^2+(Jerr/J)^2+(Betaerr/Beta)^2+(Cl_Constanterr/Cl_Constant)^2)</f>
        <v>3.1289273378303656E-9</v>
      </c>
      <c r="DL17" s="143">
        <f t="shared" ref="DL17:DL22" si="65">Cl_mole*MW_Cl/Sample_Mass*10^6</f>
        <v>18209.97458781597</v>
      </c>
      <c r="DM17" s="143">
        <f t="shared" ref="DM17:DM22" si="66">Cl_ppm*SQRT((Sample_Masserr/Sample_Mass)^2+(MW_Clerr/MW_Cl)^2)+(Cl_moleerr/Cl_mole)^2</f>
        <v>364.1998272555258</v>
      </c>
      <c r="DN17" s="159">
        <f t="shared" ref="DN17:DN22" si="67">Cl_ppm/10^4</f>
        <v>1.8209974587815969</v>
      </c>
      <c r="DO17" s="167">
        <f t="shared" ref="DO17:DO22" si="68">Cl_ppmerr/10^4</f>
        <v>3.641998272555258E-2</v>
      </c>
      <c r="DP17" s="157">
        <f t="shared" ref="DP17:DP22" si="69">Ca_Constant*Ar37CC/(J*alpha)</f>
        <v>2.7153050273240564E-7</v>
      </c>
      <c r="DQ17" s="157">
        <f t="shared" ref="DQ17:DQ22" si="70">Ca_mole*SQRT((Ar37CCerr/Ar37CC)^2+(Jerr/J)^2+(alphaerr/alpha)^2+(Ca_Constanterr/Ca_Constant)^2)</f>
        <v>4.7550218480490347E-9</v>
      </c>
      <c r="DR17" s="143">
        <f t="shared" ref="DR17:DR22" si="71">Ca_mole*MW_Ca/Sample_Mass*10^6</f>
        <v>32008.654557396516</v>
      </c>
      <c r="DS17" s="143">
        <f t="shared" ref="DS17:DS22" si="72">Ca_ppm*SQRT((Sample_Masserr/Sample_Mass)^2+(MW_Caerr/MW_Ca)^2)+(Ca_moleerr/Ca_mole)^2</f>
        <v>640.18136801659432</v>
      </c>
      <c r="DT17" s="147">
        <f t="shared" ref="DT17:DT22" si="73">Ca_ppm/10^4</f>
        <v>3.2008654557396516</v>
      </c>
      <c r="DU17" s="147">
        <f t="shared" ref="DU17:DU22" si="74">Ca_ppmerr/10^4</f>
        <v>6.4018136801659437E-2</v>
      </c>
      <c r="DV17" s="147">
        <f t="shared" ref="DV17:DV22" si="75">K_mole/Cl_mole</f>
        <v>0.39098459753926879</v>
      </c>
      <c r="DW17" s="147">
        <f t="shared" ref="DW17:DW22" si="76">KCl_mol*SQRT(K_moleerr/K_mole)^2+(Cl_moleerr/Cl_mole)^2</f>
        <v>4.5050298193519359E-3</v>
      </c>
      <c r="DX17" s="147">
        <f t="shared" ref="DX17:DX22" si="77">K_mole/Ca_mole</f>
        <v>0.25146427329376325</v>
      </c>
      <c r="DY17" s="147">
        <f t="shared" ref="DY17:DY22" si="78">KCa_mol*SQRT(K_moleerr/K_mole)^2+(Ca_moleerr/Ca_mole)^2</f>
        <v>2.9976460528679523E-3</v>
      </c>
      <c r="DZ17" s="147">
        <f t="shared" ref="DZ17:DZ22" si="79">K_ppm/Cl_ppm</f>
        <v>0.43118588243504335</v>
      </c>
      <c r="EA17" s="147">
        <f t="shared" ref="EA17:EA22" si="80">KCl_wt*SQRT(K_ppmerr/K_ppm)^2+(Cl_ppmerr/Cl_ppm)^2</f>
        <v>9.0237246750295604E-3</v>
      </c>
      <c r="EB17" s="147">
        <f t="shared" ref="EB17:EB22" si="81">K_ppm/Ca_ppm</f>
        <v>0.245305029853332</v>
      </c>
      <c r="EC17" s="147">
        <f t="shared" ref="EC17:EC22" si="82">KCa_wt*SQRT(K_ppmerr/K_ppm)^2+(Ca_ppmerr/Ca_ppm)^2</f>
        <v>5.3061145184946255E-3</v>
      </c>
      <c r="ED17" s="157">
        <f t="shared" ref="ED17:ED22" si="83">Ar40_mole/Cl_mole</f>
        <v>1.8215973894456869E-6</v>
      </c>
      <c r="EE17" s="157">
        <f t="shared" ref="EE17:EE22" si="84">Ar40Cl_mol*SQRT((Ar40_moleerr/Ar40_mole)^2+(Cl_moleerr/Cl_mole)^2)</f>
        <v>4.0184165422477588E-8</v>
      </c>
      <c r="EF17" s="147">
        <f t="shared" ref="EF17:EF22" si="85">Ar40_IC/Ar39_IC</f>
        <v>104.75976424118403</v>
      </c>
      <c r="EG17" s="147">
        <f t="shared" ref="EG17:EG22" si="86">Ar40Ar39*SQRT((CG17/CF17)^2+(CI17/CH17)^2)</f>
        <v>1.4536906476937745</v>
      </c>
      <c r="EH17" s="157">
        <f t="shared" ref="EH17:EH22" si="87">(CH17/MV)/K_mole</f>
        <v>4.6590003823941775E-6</v>
      </c>
      <c r="EI17" s="157">
        <f t="shared" ref="EI17:EI22" si="88">Ar40K*SQRT((CI17/CH17)^2+(K_moleerr/K_mole)^2+(MVerr/MV)^2)</f>
        <v>7.7979762433253817E-8</v>
      </c>
      <c r="EJ17" s="143">
        <f t="shared" ref="EJ17:EJ22" si="89">(1/lambda/10^6)*LN(1+(J*Ar40Ar39))</f>
        <v>608.60409311366664</v>
      </c>
      <c r="EK17" s="147">
        <f t="shared" ref="EK17:EK22" si="90">SQRT((J^2*Ar40Ar39^2*((Ar40Ar39err/Ar40Ar39*100)^2))/(Age^2*0.00055305^2*((1+Ar40Ar39*J)^2)))*Age/100</f>
        <v>7.1912427743463798</v>
      </c>
      <c r="EL17" s="147">
        <f t="shared" ref="EL17:EL22" si="91">SQRT((J^2*Ar40Ar39^2*((Ar40Ar39err/Ar40Ar39*100)^2+(Jerr/J*100)^2))/(Age^2*0.00055305^2*((1+Ar40Ar39*J)^2)))*Age/100</f>
        <v>7.2655049713745798</v>
      </c>
      <c r="EM17" s="318">
        <v>1235.1584600000001</v>
      </c>
      <c r="EN17" s="318">
        <v>8.9315339999999992</v>
      </c>
      <c r="EO17" s="318">
        <v>353.24784199999999</v>
      </c>
      <c r="EP17" s="318">
        <v>2.7349839999999999</v>
      </c>
      <c r="EQ17" s="468">
        <v>9.4809999999999998E-3</v>
      </c>
      <c r="ER17" s="468">
        <v>5.6950000000000004E-3</v>
      </c>
      <c r="ES17" s="370"/>
      <c r="ET17" s="370"/>
      <c r="EU17" s="318"/>
      <c r="EV17" s="7"/>
      <c r="EW17" s="368"/>
      <c r="EX17" s="7"/>
      <c r="EY17" s="460"/>
      <c r="EZ17" s="371"/>
      <c r="FB17" s="371"/>
      <c r="FC17" s="147">
        <f t="shared" ref="FC17:FC22" si="92">Kr80Raw-Kr80Blank</f>
        <v>1235.1584600000001</v>
      </c>
      <c r="FD17" s="147">
        <f t="shared" ref="FD17:FD22" si="93">SQRT(Kr80Rawerr^2+Kr80Blankerr^2)</f>
        <v>8.9315339999999992</v>
      </c>
      <c r="FE17" s="147">
        <f t="shared" ref="FE17:FE22" si="94">Kr82Raw-Kr82Blank</f>
        <v>353.24784199999999</v>
      </c>
      <c r="FF17" s="147">
        <f t="shared" ref="FF17:FF22" si="95">SQRT(Kr82Rawerr^2+Kr82Blankerr^2)</f>
        <v>2.7349839999999999</v>
      </c>
      <c r="FG17" s="147">
        <f t="shared" ref="FG17:FG22" si="96">Kr84Raw-Kr84Blank</f>
        <v>9.4809999999999998E-3</v>
      </c>
      <c r="FH17" s="147">
        <f t="shared" ref="FH17:FH22" si="97">SQRT(Kr84Rawerr^2+Kr84Blankerr^2)</f>
        <v>5.6950000000000004E-3</v>
      </c>
      <c r="FI17" s="147">
        <f t="shared" ref="FI17:FI22" si="98">Kr86Raw-Kr86Blank</f>
        <v>0</v>
      </c>
      <c r="FJ17" s="147">
        <f t="shared" ref="FJ17:FJ22" si="99">SQRT(Kr86Rawerr^2+Kr86Blankerr^2)</f>
        <v>0</v>
      </c>
      <c r="FK17" s="147">
        <f t="shared" ref="FK17:FK22" si="100">Kr84BC-((Y86Kr*Kr8684_nf)/(Y134Xe*Xe134136_nf)*Xe134AC)</f>
        <v>9.7144869007209072E-3</v>
      </c>
      <c r="FL17" s="147">
        <f t="shared" ref="FL17:FL22" si="101">Kr84U*SQRT((Kr84BCerr/Kr84BC)^2+(Y86Kr_err/Y86Kr)^2+(Kr8684_nferr/Kr8684_nf)^2+(Y134Xeerr/Y134Xe)^2+(Xe134136_nferr/Xe134136_nf)^2+(Xe134ACerr/Xe134AC)^2)</f>
        <v>7.0415258715836098E-3</v>
      </c>
      <c r="FM17" s="143">
        <f t="shared" ref="FM17:FM22" si="102">Kr80BC-(Kr84U*Kr8084_Air)</f>
        <v>1235.1580753063188</v>
      </c>
      <c r="FN17" s="143">
        <f t="shared" ref="FN17:FN22" si="103">SQRT(Kr80BCerr^2+(Kr84Uerr*Kr8084_Air)^2)</f>
        <v>8.9315340043527911</v>
      </c>
      <c r="FO17" s="143">
        <f t="shared" ref="FO17:FO22" si="104">Kr82BC-(Kr84U*Kr8284_Air)</f>
        <v>353.24587773074865</v>
      </c>
      <c r="FP17" s="143">
        <f t="shared" ref="FP17:FP22" si="105">SQRT(Kr82BCerr^2+(Kr84Uerr*Kr8284_Air)^2)</f>
        <v>2.7349843706048049</v>
      </c>
      <c r="FQ17" s="147">
        <f t="shared" ref="FQ17:FQ22" si="106">Kr86BC-(Kr84U*Kr8684_Air)</f>
        <v>-2.9648614021000213E-3</v>
      </c>
      <c r="FR17" s="147">
        <f t="shared" ref="FR17:FR22" si="107">SQRT(Kr86BCerr^2+(Kr84Uerr*Kr8684_Air)^2)</f>
        <v>2.1490736960073178E-3</v>
      </c>
      <c r="FS17" s="3">
        <v>1.2557400742552645E-12</v>
      </c>
      <c r="FT17" s="3">
        <v>1.9900354305090524E-14</v>
      </c>
      <c r="FU17" s="6">
        <v>1.04</v>
      </c>
      <c r="FV17" s="6">
        <v>0.01</v>
      </c>
      <c r="FW17" s="157">
        <f t="shared" ref="FW17:FW22" si="108">(Kr80AC*Kr_sensitivity)/YKr</f>
        <v>1.4913822050020637E-9</v>
      </c>
      <c r="FX17" s="157">
        <f t="shared" ref="FX17:FX22" si="109">Kr80cc*SQRT((Kr_sensitivityerr/Kr_sensitivity)^2+(YKrerr/YKr)^2+(Kr80ACerr/Kr80AC)^2)</f>
        <v>2.9673927186095855E-11</v>
      </c>
      <c r="FY17" s="157">
        <f t="shared" ref="FY17:FY22" si="110">(Kr82AC*Kr_sensitivity)/YKr</f>
        <v>4.2652404301151578E-10</v>
      </c>
      <c r="FZ17" s="157">
        <f t="shared" ref="FZ17:FZ22" si="111">Kr82cc*SQRT((Kr_sensitivityerr/Kr_sensitivity)^2+(YKrerr/YKr)^2+(Kr82ACerr/Kr82AC)^2)</f>
        <v>8.5681935706344987E-12</v>
      </c>
      <c r="GA17" s="157">
        <f t="shared" ref="GA17:GA22" si="112">(Kr84U*Kr_sensitivity)</f>
        <v>1.2198870502063066E-14</v>
      </c>
      <c r="GB17" s="157">
        <f t="shared" ref="GB17:GB22" si="113">Kr84cc*SQRT((Kr_sensitivityerr/Kr_sensitivity)^2+(Kr84Uerr/Kr84U)^2)</f>
        <v>8.8444392862261738E-15</v>
      </c>
      <c r="GC17" s="157"/>
      <c r="GD17" s="157"/>
      <c r="GE17" s="157">
        <f t="shared" ref="GE17:GE22" si="114">Kr80cc/MV</f>
        <v>6.6538089294613052E-14</v>
      </c>
      <c r="GF17" s="157">
        <f t="shared" ref="GF17:GF22" si="115">Kr80_mole*SQRT((MVerr/MV)^2+(Kr80ccerr/Kr80cc)^2)</f>
        <v>1.3239036988954991E-15</v>
      </c>
      <c r="GG17" s="157">
        <f t="shared" ref="GG17:GG22" si="116">Kr82cc/MV</f>
        <v>1.9029390832888704E-14</v>
      </c>
      <c r="GH17" s="157">
        <f t="shared" ref="GH17:GH22" si="117">Kr82_mole*SQRT((MVerr/MV)^2+(Kr82ccerr/Kr82cc)^2)</f>
        <v>3.8227037121798115E-16</v>
      </c>
      <c r="GI17" s="157">
        <f t="shared" ref="GI17:GI22" si="118">Kr84cc/MV</f>
        <v>5.4425319816563738E-19</v>
      </c>
      <c r="GJ17" s="157">
        <f t="shared" ref="GJ17:GJ22" si="119">Kr84_mole*SQRT((MVerr/MV)^2+(Kr84ccerr/Kr84cc)^2)</f>
        <v>3.9459508703677669E-19</v>
      </c>
      <c r="GK17" s="147">
        <f t="shared" ref="GK17:GK22" si="120">Kr80_mole/Kr82_mole</f>
        <v>3.4965958647301805</v>
      </c>
      <c r="GL17" s="147">
        <f t="shared" ref="GL17:GL22" si="121">Kr8082_mole*SQRT(Kr80_moleerr/Kr80_mole)^2+(Kr82_moleerr/Kr82_mole)^2</f>
        <v>6.997506740357709E-2</v>
      </c>
      <c r="GM17" s="157">
        <f t="shared" ref="GM17:GM22" si="122">(Kr80_mole/Ar38_mole)*Br79_Constant</f>
        <v>1.6774438913066143E-2</v>
      </c>
      <c r="GN17" s="157">
        <f t="shared" ref="GN17:GN22" si="123">Br79_Cl_meas*SQRT((Kr80_moleerr/Kr80_mole)^2+(Ar38CCerr/Ar38CC)^2+(MVerr/MV)^2+(Br79_Constanterr/Br79_Constant)^2)</f>
        <v>4.2395201053159226E-4</v>
      </c>
      <c r="GO17" s="168">
        <f t="shared" ref="GO17:GO22" si="124">IF(Scapolite="BB2",Br79_Cl_meas/BB2_SP_BrCl,Br79_Cl_meas/BB1_BrCl)</f>
        <v>1.2155390516714597</v>
      </c>
      <c r="GP17" s="168">
        <f t="shared" ref="GP17:GP22" si="125">IF(Scapolite="BB2",Br79_Factor*SQRT((Br79_Cl_measerr/Br79_Cl_meas)^2+(BB2_SP_BrClerr/BB2_SP_BrCl)^2),Br79_Factor*SQRT((Br79_Cl_measerr/Br79_Cl_meas)^2+(BB1_BrClerr/BB1_BrCl)^2))</f>
        <v>7.6871655024189342E-2</v>
      </c>
      <c r="GQ17" s="169">
        <f t="shared" ref="GQ17:GQ22" si="126">IF(Scapolite="BB2",(Kr80cc/Ar38CC)*(BB2_SP_Cl/BB2_SP_Br),(Kr80cc/Ar38CC)*(BB1_Cl/BB1_Br))</f>
        <v>25.710689770591344</v>
      </c>
      <c r="GR17" s="169">
        <f t="shared" ref="GR17:GR22" si="127">IF(Scapolite="BB2",Pi*SQRT((Kr80ccerr/Kr80cc)^2+(Ar38CCerr/Ar38CC)^2+(BB2_SP_Brerr/BB2_SP_Br)^2+(BB2_SP_Clerr/BB2_SP_Cl)^2),Pi*SQRT((Kr80ccerr/Kr80cc)^2+(Ar38CCerr/Ar38CC)^2+(BB1_Brerr/BB1_Br)^2+(BB1_Clerr/BB1_Cl)^2))</f>
        <v>2.1596573924460261</v>
      </c>
      <c r="GS17" s="157">
        <f t="shared" ref="GS17:GS22" si="128">Pi*Cl38_Prod</f>
        <v>3.0096930423115842E-5</v>
      </c>
      <c r="GT17" s="157">
        <f t="shared" ref="GT17:GT22" si="129">GS17*SQRT((Pi_err/Pi)^2+(Cl38_Proderr/Cl38_Prod)^2)</f>
        <v>2.5830624266956128E-6</v>
      </c>
      <c r="GU17" s="157">
        <f t="shared" ref="GU17:GU22" si="130">(Kr82_mole/Ar38_mole)*Br81_Constant</f>
        <v>2.0867723034159163E-2</v>
      </c>
      <c r="GV17" s="157">
        <f t="shared" ref="GV17:GV22" si="131">GU17*SQRT((Kr82_moleerr/Kr82_mole)^2+(Ar38_moleerr/Ar38_mole)^2+(Br81_Constanterr/Br81_Constant)^2)</f>
        <v>5.8542623740739312E-4</v>
      </c>
      <c r="GW17" s="168">
        <f t="shared" ref="GW17:GW22" si="132">IF(Scapolite="BB2",GU17/BB2_SP_BrCl,GU17/BB1_BrCl)</f>
        <v>1.5121538430550119</v>
      </c>
      <c r="GX17" s="168">
        <f t="shared" ref="GX17:GX22" si="133">IF(Scapolite="BB2",GW17*SQRT((GV17/GU17)^2+(BB2_SP_BrClerr/BB2_SP_BrCl)^2),GW17*SQRT((GV17/GU17)^2+(BB1_BrClerr/BB1_BrCl)^2))</f>
        <v>9.7386392331250141E-2</v>
      </c>
      <c r="GY17" s="169">
        <f t="shared" ref="GY17:GY22" si="134">IF(Scapolite="BB2",(Kr82cc/Ar38CC)*(BB2_SP_Cl/BB2_SP_Br),(Kr82cc/Ar38CC)*(BB1_Cl/BB1_Br))</f>
        <v>7.3530630262228902</v>
      </c>
      <c r="GZ17" s="169">
        <f t="shared" ref="GZ17:GZ22" si="135">IF(Scapolite="BB2",Pi_prime*SQRT((Kr82ccerr/Kr82cc)^2+(Ar38CCerr/Ar38CC)^2+(BB2_SP_Brerr/BB2_SP_Br)^2+(BB2_SP_Clerr/BB2_SP_Cl)^2),Pi_prime*SQRT((Kr82ccerr/Kr82cc)^2+(Ar38CCerr/Ar38CC)^2+(BB1_Brerr/BB1_Br)^2+(BB1_Clerr/BB1_Cl)^2))</f>
        <v>0.61798073541673071</v>
      </c>
      <c r="HA17" s="157">
        <f t="shared" ref="HA17:HA22" si="136">Pi_prime*Cl38_Prod</f>
        <v>8.6074947141305712E-6</v>
      </c>
      <c r="HB17" s="157">
        <f t="shared" ref="HB17:HB22" si="137">Br81_Prod*SQRT((Pi_primeerr/Pi_prime)^2+(Cl38_Proderr/Cl38_Prod)^2)</f>
        <v>7.3912019216173737E-7</v>
      </c>
      <c r="HC17" s="6">
        <v>1.1100000000000001</v>
      </c>
      <c r="HD17" s="6">
        <v>0.04</v>
      </c>
      <c r="HE17" s="143">
        <f t="shared" ref="HE17:HE22" si="138">(Kr80_mole/Br79_FactorSW)/(Y_79Br*Br79_Abun*(Therm_CS_79Br*Therm_Flux))*(MW_Br/Sample_Mass*10^6)</f>
        <v>275.19108678541056</v>
      </c>
      <c r="HF17" s="143">
        <f t="shared" ref="HF17:HF22" si="139">HE17*SQRT((Kr80_moleerr/Kr80_mole)^2+(Sample_Masserr/Sample_Mass)^2+(Br79Factor_SWerr/Br79_FactorSW)^2+(Therm_CS_79Brerr/Therm_CS_79Br)^2+(Br79_Abunerr/Br79_Abun)^2+(Therm_Fluxerr/Therm_Flux)^2)</f>
        <v>14.159007383232877</v>
      </c>
      <c r="HG17" s="6">
        <v>1.19</v>
      </c>
      <c r="HH17" s="6">
        <v>0.04</v>
      </c>
      <c r="HI17" s="143">
        <f t="shared" ref="HI17:HI22" si="140">(Kr82_mole/Br81_FactorSW)/(Y_81Br*Br81_Abun*(Therm_CS_81Br*Therm_Flux))*(MW_Br/Sample_Mass*10^6)</f>
        <v>319.32832450220189</v>
      </c>
      <c r="HJ17" s="143">
        <f t="shared" ref="HJ17:HJ22" si="141">HI17*SQRT((Kr82_moleerr/Kr82_mole)^2+(Sample_Masserr/Sample_Mass)^2+(Br81_FactorSWerr/Br81_FactorSW)^2+(Therm_CS_81Brerr/Therm_CS_81Br)^2+(Br81_Abunerr/Br81_Abun)^2+(Therm_Fluxerr/Therm_Flux)^2)</f>
        <v>16.366333384775217</v>
      </c>
      <c r="HK17" s="6">
        <v>2.0121229999999999</v>
      </c>
      <c r="HL17" s="6">
        <v>2.1597000000000002E-2</v>
      </c>
      <c r="HM17" s="6">
        <v>1.635E-3</v>
      </c>
      <c r="HN17" s="6">
        <v>8.4199999999999998E-4</v>
      </c>
      <c r="HO17" s="6">
        <v>2.8739999999999998E-3</v>
      </c>
      <c r="HP17" s="6">
        <v>1.22E-4</v>
      </c>
      <c r="HQ17" s="6">
        <v>0.29252299999999998</v>
      </c>
      <c r="HR17" s="6">
        <v>5.4070000000000003E-3</v>
      </c>
      <c r="HS17" s="6">
        <v>7.3049999999999999E-3</v>
      </c>
      <c r="HT17" s="6">
        <v>9.3099999999999997E-4</v>
      </c>
      <c r="HU17" s="6">
        <v>4.5469999999999998E-3</v>
      </c>
      <c r="HV17" s="6">
        <v>4.6700000000000002E-4</v>
      </c>
      <c r="HW17" s="6">
        <v>5.8820000000000001E-3</v>
      </c>
      <c r="HX17" s="6">
        <v>7.6599999999999997E-4</v>
      </c>
      <c r="HY17" s="6">
        <v>6.0860000000000003E-3</v>
      </c>
      <c r="HZ17" s="6">
        <v>9.1100000000000003E-4</v>
      </c>
      <c r="IA17" s="6">
        <v>1.2750000000000001E-3</v>
      </c>
      <c r="IB17" s="6">
        <v>4.2299999999999998E-4</v>
      </c>
      <c r="IC17" s="6">
        <v>6.5200000000000002E-4</v>
      </c>
      <c r="ID17" s="6">
        <v>1.15E-4</v>
      </c>
      <c r="IE17" s="6">
        <v>1.593E-3</v>
      </c>
      <c r="IF17" s="6">
        <v>3.8000000000000002E-4</v>
      </c>
      <c r="IG17" s="6">
        <v>3.2200000000000002E-4</v>
      </c>
      <c r="IH17" s="6">
        <v>1.08E-4</v>
      </c>
      <c r="II17" s="6">
        <v>6.7299999999999999E-4</v>
      </c>
      <c r="IJ17" s="6">
        <v>3.6000000000000002E-4</v>
      </c>
      <c r="IK17" s="6">
        <v>6.4300000000000002E-4</v>
      </c>
      <c r="IL17" s="6">
        <v>3.28E-4</v>
      </c>
      <c r="IM17" s="167">
        <f t="shared" ref="IM17:IM22" si="142">Xe128Raw-Xe128Blank</f>
        <v>2.0060370000000001</v>
      </c>
      <c r="IN17" s="167">
        <f t="shared" ref="IN17:IN22" si="143">SQRT(Xe128Rawerr^2+Xe128Blankerr^2)</f>
        <v>2.161620526364422E-2</v>
      </c>
      <c r="IO17" s="167">
        <f t="shared" ref="IO17:IO22" si="144">Xe129Raw-Xe129Blank</f>
        <v>3.5999999999999986E-4</v>
      </c>
      <c r="IP17" s="167">
        <f t="shared" ref="IP17:IP22" si="145">SQRT(Xe129Rawerr^2+Xe129Blankerr^2)</f>
        <v>9.4228074372768543E-4</v>
      </c>
      <c r="IQ17" s="167">
        <f t="shared" ref="IQ17:IQ22" si="146">Xe130Raw-Xe130Blank</f>
        <v>2.222E-3</v>
      </c>
      <c r="IR17" s="167">
        <f t="shared" ref="IR17:IR22" si="147">SQRT(Xe130Rawerr^2+Xe130Blankerr^2)</f>
        <v>1.6765738874263789E-4</v>
      </c>
      <c r="IS17" s="167">
        <f t="shared" ref="IS17:IS22" si="148">Xe131Raw-Xe131Blank</f>
        <v>0.29092999999999997</v>
      </c>
      <c r="IT17" s="167">
        <f t="shared" ref="IT17:IT22" si="149">SQRT(Xe131Rawerr^2+Xe131Blankerr^2)</f>
        <v>5.4203366131634302E-3</v>
      </c>
      <c r="IU17" s="167">
        <f t="shared" ref="IU17:IU22" si="150">Xe132Raw-Xe132Blank</f>
        <v>6.9829999999999996E-3</v>
      </c>
      <c r="IV17" s="167">
        <f t="shared" ref="IV17:IV22" si="151">SQRT(Xe132Rawerr^2+Xe132Blankerr^2)</f>
        <v>9.3724329818889603E-4</v>
      </c>
      <c r="IW17" s="167">
        <f t="shared" ref="IW17:IW22" si="152">Xe134Raw-Xe134Blank</f>
        <v>3.8739999999999998E-3</v>
      </c>
      <c r="IX17" s="167">
        <f t="shared" ref="IX17:IX22" si="153">SQRT(Xe134Rawerr^2+Xe134Blankerr^2)</f>
        <v>5.8965159204397988E-4</v>
      </c>
      <c r="IY17" s="167">
        <f t="shared" ref="IY17:IY22" si="154">Xe136Raw-Xe136Blank</f>
        <v>5.2389999999999997E-3</v>
      </c>
      <c r="IZ17" s="167">
        <f t="shared" ref="IZ17:IZ22" si="155">SQRT(Xe136Rawerr^2+Xe136Blankerr^2)</f>
        <v>8.3327066431022282E-4</v>
      </c>
      <c r="JA17" s="167">
        <f t="shared" ref="JA17:JA22" si="156">Xe128BC-(Xe130BC*Xe128130_Air)</f>
        <v>2.0049891083218703</v>
      </c>
      <c r="JB17" s="167">
        <f t="shared" ref="JB17:JB22" si="157">SQRT(Xe128BCerr^2+(Xe130BCerr*Xe128130_Air)^2)</f>
        <v>2.1616349867264201E-2</v>
      </c>
      <c r="JC17" s="167">
        <f t="shared" ref="JC17:JC22" si="158">Xe129BC-(Xe130BC*Xe129130_Air)</f>
        <v>-1.4066856010116001E-2</v>
      </c>
      <c r="JD17" s="167">
        <f t="shared" ref="JD17:JD22" si="159">SQRT(Xe129BCerr^2+(Xe130BCerr*Xe129130_Air)^2)</f>
        <v>1.4397377499252685E-3</v>
      </c>
      <c r="JE17" s="167">
        <f t="shared" ref="JE17:JE22" si="160">Xe131BC-(Xe130BC*Xe131130_Air)</f>
        <v>0.27935035667125196</v>
      </c>
      <c r="JF17" s="167">
        <f t="shared" ref="JF17:JF22" si="161">SQRT(Xe131BCerr^2+(Xe130BCerr*Xe131130_Air)^2)</f>
        <v>5.4903042796274615E-3</v>
      </c>
      <c r="JG17" s="167">
        <f t="shared" ref="JG17:JG22" si="162">Xe132BC-(Xe130BC*Xe132130_Air)</f>
        <v>-7.693354028930002E-3</v>
      </c>
      <c r="JH17" s="167">
        <f t="shared" ref="JH17:JH22" si="163">SQRT(Xe132BCerr^2+(Xe130BCerr*Xe132130_Air)^2)</f>
        <v>1.4507640381673573E-3</v>
      </c>
      <c r="JI17" s="167">
        <f t="shared" ref="JI17:JI22" si="164">Xe134BC-(Xe130BC*Xe134130_Air)</f>
        <v>-1.8453751652840007E-3</v>
      </c>
      <c r="JJ17" s="167">
        <f t="shared" ref="JJ17:JJ22" si="165">SQRT(Xe134BCerr^2+(Xe130BCerr*Xe134130_Air)^2)</f>
        <v>7.3069902429198858E-4</v>
      </c>
      <c r="JK17" s="167">
        <f t="shared" ref="JK17:JK22" si="166">Xe136BC-(Xe130BC*Xe136130_Air)</f>
        <v>4.0460898300599939E-4</v>
      </c>
      <c r="JL17" s="167">
        <f t="shared" ref="JL17:JL22" si="167">SQRT(Xe136BCerr^2+(Xe130BCerr*Xe136130_Air)^2)</f>
        <v>9.0961417758810546E-4</v>
      </c>
      <c r="JM17" s="3">
        <v>1.0578061216037453E-12</v>
      </c>
      <c r="JN17" s="3">
        <v>3.8197537541218414E-14</v>
      </c>
      <c r="JO17" s="7">
        <v>1</v>
      </c>
      <c r="JP17" s="7">
        <v>0</v>
      </c>
      <c r="JQ17" s="157">
        <f t="shared" ref="JQ17:JQ22" si="168">(Xe128AC*Xe_Sensitivity)/YXe</f>
        <v>2.1208897525317092E-12</v>
      </c>
      <c r="JR17" s="157">
        <f t="shared" ref="JR17:JR22" si="169">Xe128CC*SQRT((Xe_Sensitivityerr/Xe_Sensitivity)^2+(YXeerr/YXe)^2+(Xe128ACerr/Xe128AC)^2)</f>
        <v>7.9926284779301116E-14</v>
      </c>
      <c r="JS17" s="157">
        <f t="shared" ref="JS17:JS22" si="170">Xe128CC/MV</f>
        <v>9.4623599010817867E-17</v>
      </c>
      <c r="JT17" s="157">
        <f t="shared" ref="JT17:JT22" si="171">Xe128mole*SQRT((Xe128CCerr/Xe128CC)^2+(MVerr/MV)^2)</f>
        <v>3.5659150661880801E-18</v>
      </c>
      <c r="JU17" s="6">
        <v>1.35</v>
      </c>
      <c r="JV17" s="6">
        <v>6.4000000000000001E-2</v>
      </c>
      <c r="JW17" s="157">
        <f t="shared" ref="JW17:JW22" si="172">(Xe128mole/IFactor_SW)/((Therm_CS_127I*Therm_Flux)*I127_Abun*Y_127I)</f>
        <v>1.1969445945804394E-12</v>
      </c>
      <c r="JX17" s="157">
        <f t="shared" ref="JX17:JX22" si="173">I_mole*SQRT((Xe128CCerr/Xe128CC)^2+(IFactor_SWerr/IFactor_SW)^2+(Therm_CS_127Ierr/Therm_CS_127I)^2+(Therm_Fluxerr/Therm_Flux)^2)</f>
        <v>7.7935683387204406E-14</v>
      </c>
      <c r="JY17" s="143">
        <f t="shared" ref="JY17:JY22" si="174">I_mole*MW_I/Sample_Mass*10^9</f>
        <v>446.7578097145099</v>
      </c>
      <c r="JZ17" s="143">
        <f t="shared" ref="JZ17:JZ22" si="175">JY17*SQRT(I_moleerr/I_mole)^2+(MVerr/MV)^2+(Sample_Masserr/Sample_Mass)</f>
        <v>29.109379212975281</v>
      </c>
      <c r="KA17" s="147">
        <f t="shared" ref="KA17:KA22" si="176">Xe131AC-Xe131136_nf/Xe134136_nf*Xe134AC</f>
        <v>0.28002126754594991</v>
      </c>
      <c r="KB17" s="147">
        <f t="shared" ref="KB17:KB22" si="177">SQRT(Xe131ACerr^2+(Xe131136_nf/Xe134136_nf*Xe134AC)^2*((Xe131136_nferr/Xe131136_nf)^2+(Xe134136_nferr/Xe134136_nf)^2+(Xe134ACerr/Xe134AC)^2))</f>
        <v>5.4967954604910763E-3</v>
      </c>
      <c r="KC17" s="157">
        <f t="shared" ref="KC17:KC22" si="178">(Xe131Ba*Xe_Sensitivity)/YXe</f>
        <v>2.9620821098934599E-13</v>
      </c>
      <c r="KD17" s="157">
        <f t="shared" ref="KD17:KD22" si="179">Xe131Bacc*SQRT((Xe_Sensitivityerr/Xe_Sensitivity)^2+(YXeerr/YXe)^2+(Xe131Baerr/Xe131Ba)^2)</f>
        <v>1.2174397942783348E-14</v>
      </c>
      <c r="KE17" s="157">
        <f t="shared" ref="KE17:KE22" si="180">Xe131Bacc/MV</f>
        <v>1.3215343676827238E-17</v>
      </c>
      <c r="KF17" s="157">
        <f t="shared" ref="KF17:KF22" si="181">Xe131mole*SQRT((Xe131CCerr/Xe131CC)^2+(MVerr/MV)^2)</f>
        <v>5.4316135380239893E-19</v>
      </c>
      <c r="KG17" s="118">
        <v>1.24</v>
      </c>
      <c r="KH17" s="118">
        <v>0.06</v>
      </c>
      <c r="KI17" s="157">
        <f t="shared" ref="KI17:KI22" si="182">(Xe131mole/Ba_FactorSW)/((Therm_CS_130Ba*Therm_Flux)*Ba130_Abun*Y_130Ba)</f>
        <v>1.2834836432470449E-10</v>
      </c>
      <c r="KJ17" s="157">
        <f t="shared" ref="KJ17:KJ22" si="183">Ba_mole*SQRT((Xe131moleerr/Xe131mole)^2+(Ba_FactorSWerr/Ba_FactorSW)^2+(Therm_CS_130Baerr/Therm_CS_130Ba)^2+(Therm_Fluxerr/Therm_Flux)^2)</f>
        <v>1.0355543022836771E-11</v>
      </c>
      <c r="KK17" s="143">
        <f t="shared" ref="KK17:KK22" si="184">Ba_mole*MW_Ba/Sample_Mass*10^6</f>
        <v>51.840281845937334</v>
      </c>
      <c r="KL17" s="143">
        <f t="shared" ref="KL17:KL22" si="185">KK17*SQRT(I_moleerr/I_mole)^2+(MVerr/MV)^2+(Sample_Masserr/Sample_Mass)</f>
        <v>3.3954342606518173</v>
      </c>
      <c r="KM17" s="157">
        <f t="shared" ref="KM17:KM22" si="186">(Xe134AC*Xe_Sensitivity)/YXe</f>
        <v>-1.9520491464929394E-15</v>
      </c>
      <c r="KN17" s="157">
        <f t="shared" ref="KN17:KN22" si="187">Xe134CC*SQRT((Xe_Sensitivityerr/Xe_Sensitivity)^2+(YXeerr/YXe)^2+(Xe134ACerr/Xe134AC)^2)</f>
        <v>-7.7614539091146522E-16</v>
      </c>
      <c r="KO17" s="157">
        <f t="shared" ref="KO17:KO22" si="188">Xe134CC/MV</f>
        <v>-8.7090767196488487E-20</v>
      </c>
      <c r="KP17" s="157">
        <f t="shared" ref="KP17:KP22" si="189">Xe134mole*SQRT((Xe134CCerr/Xe134CC)^2+(MVerr/MV)^2)</f>
        <v>-3.4627764199488295E-20</v>
      </c>
      <c r="KQ17" s="157">
        <f t="shared" ref="KQ17:KQ22" si="190">Xe134mole/((Therm_CS_235U*Therm_Flux)*U235_Abun*Y_235U)</f>
        <v>-2.5453818496947921E-14</v>
      </c>
      <c r="KR17" s="157">
        <f t="shared" ref="KR17:KR22" si="191">U_mole*SQRT((Xe134moleerr/Xe134mole)^2+(Therm_CS_235Uerr/Therm_CS_235U)^2+(Therm_Fluxerr/Therm_Flux)^2)</f>
        <v>-1.0137520927959415E-14</v>
      </c>
      <c r="KS17" s="143">
        <f t="shared" ref="KS17:KS22" si="192">U_mole*MW_U/Sample_Mass*10^9</f>
        <v>-17.819837271077503</v>
      </c>
      <c r="KT17" s="143">
        <f t="shared" ref="KT17:KT22" si="193">KS17*SQRT((U_moleerr/U_mole)^2+(MVerr/MV)^2+(Sample_Masserr/Sample_Mass)^2)</f>
        <v>-7.1060695987339706</v>
      </c>
      <c r="KU17" s="157">
        <f t="shared" ref="KU17:KU22" si="194">(Xe128mole/Ar38_mole)*I127_Constant</f>
        <v>3.3120476923571858E-5</v>
      </c>
      <c r="KV17" s="157">
        <f t="shared" ref="KV17:KV22" si="195">KU17*SQRT((Xe128moleerr/Xe128mole)^2+(Ar38_moleerr/Ar38_mole)^2+(I127_Constanterr/I127_Constant)^2)</f>
        <v>1.3584356422892197E-6</v>
      </c>
      <c r="KW17" s="168">
        <f t="shared" ref="KW17:KW22" si="196">IF(Scapolite="BB2",KU17/BB2_SP_ICl,KU17/BB1_ICl)</f>
        <v>1.2787828928020022</v>
      </c>
      <c r="KX17" s="168">
        <f t="shared" ref="KX17:KX22" si="197">IF(Scapolite="BB2",KW17*SQRT((KV17/KU17)^2+(BB2_SP_IClerr/BB2_SP_ICl)^2),KW17*SQRT((KV17/KU17)^2+(BB1_IClerr/BB1_ICl)^2))</f>
        <v>5.6044344378073568E-2</v>
      </c>
      <c r="KY17" s="169">
        <f t="shared" ref="KY17:KY22" si="198">IF(Scapolite="BB2",(Xe128CC/Ar38CC)*(BB2_SP_Cl/BB2_SP_I),(Xe128CC/Ar38CC)*(BB1_Cl/BB1_I))</f>
        <v>19.708829843180503</v>
      </c>
      <c r="KZ17" s="169">
        <f t="shared" ref="KZ17:KZ22" si="199">IF(Scapolite="BB2",Omega*SQRT((Xe128CCerr/Xe128CC)^2+(Ar38CCerr/Ar38CC)^2+(BB2_SP_Ierr/BB2_SP_I)^2+(BB2_SP_Clerr/BB2_SP_Cl)^2),Omega*SQRT((Xe128CCerr/Xe128CC)^2+(Ar38CCerr/Ar38CC)^2+(BB1_Ierr/BB1_I)^2+(BB1_Ierr/BB1_I)^2))</f>
        <v>1.4577958328050218</v>
      </c>
      <c r="LA17" s="157">
        <f t="shared" ref="LA17:LA22" si="200">Omega*Cl38_Prod</f>
        <v>2.3071153897618272E-5</v>
      </c>
      <c r="LB17" s="157">
        <f t="shared" ref="LB17:LB22" si="201">I127_Prod*SQRT((Omegaerr/Omega)^2+(Cl38_Proderr/Cl38_Prod)^2)</f>
        <v>1.7541999726722265E-6</v>
      </c>
      <c r="LC17" s="10"/>
      <c r="LD17" s="214" t="str">
        <f t="shared" ref="LD17:LD22" si="202">Scapolite</f>
        <v>BB1</v>
      </c>
      <c r="LE17" s="214" t="str">
        <f t="shared" ref="LE17:LE22" si="203">Irradiation</f>
        <v>Mn2022a</v>
      </c>
      <c r="LF17" s="211">
        <f t="shared" ref="LF17:LF22" si="204">Tube</f>
        <v>1</v>
      </c>
      <c r="LG17" s="211">
        <f t="shared" ref="LG17:LG22" si="205">K_ppm</f>
        <v>7851.8839617671438</v>
      </c>
      <c r="LH17" s="211">
        <f t="shared" ref="LH17:LH22" si="206">K_ppmerr</f>
        <v>157.03779376463538</v>
      </c>
      <c r="LI17" s="211">
        <f t="shared" ref="LI17:LI22" si="207">Cl_ppm</f>
        <v>18209.97458781597</v>
      </c>
      <c r="LJ17" s="211">
        <f t="shared" ref="LJ17:LJ22" si="208">Cl_ppmerr</f>
        <v>364.1998272555258</v>
      </c>
      <c r="LK17" s="211">
        <f t="shared" ref="LK17:LK22" si="209">Ca_ppm</f>
        <v>32008.654557396516</v>
      </c>
      <c r="LL17" s="211">
        <f t="shared" ref="LL17:LL22" si="210">Ca_ppmerr</f>
        <v>640.18136801659432</v>
      </c>
      <c r="LM17" s="211">
        <f t="shared" ref="LM17:LM22" si="211">Br79_ppm</f>
        <v>275.19108678541056</v>
      </c>
      <c r="LN17" s="211">
        <f t="shared" ref="LN17:LN22" si="212">Br79_ppmerr</f>
        <v>14.159007383232877</v>
      </c>
      <c r="LO17" s="211">
        <f t="shared" ref="LO17:LO22" si="213">Br81_ppm</f>
        <v>319.32832450220189</v>
      </c>
      <c r="LP17" s="211">
        <f t="shared" ref="LP17:LP22" si="214">Br81_ppmerr</f>
        <v>16.366333384775217</v>
      </c>
      <c r="LQ17" s="211">
        <f t="shared" ref="LQ17:LQ22" si="215">I_ppb</f>
        <v>446.7578097145099</v>
      </c>
      <c r="LR17" s="211">
        <f t="shared" ref="LR17:LR22" si="216">I_ppberr</f>
        <v>29.109379212975281</v>
      </c>
      <c r="LS17" s="212">
        <f t="shared" ref="LS17:LS22" si="217">Br79_Factor</f>
        <v>1.2155390516714597</v>
      </c>
      <c r="LT17" s="212">
        <f t="shared" ref="LT17:LT22" si="218">Br79_Factorerr</f>
        <v>7.6871655024189342E-2</v>
      </c>
      <c r="LU17" s="459">
        <f t="shared" ref="LU17:LU22" si="219">Pi</f>
        <v>25.710689770591344</v>
      </c>
      <c r="LV17" s="459">
        <f t="shared" ref="LV17:LV22" si="220">Pi_err</f>
        <v>2.1596573924460261</v>
      </c>
      <c r="LW17" s="214">
        <f t="shared" ref="LW17:LW22" si="221">Br79_Prod</f>
        <v>3.0096930423115842E-5</v>
      </c>
      <c r="LX17" s="214">
        <f t="shared" ref="LX17:LX22" si="222">Br79_Proderr</f>
        <v>2.5830624266956128E-6</v>
      </c>
      <c r="LY17" s="462">
        <f t="shared" ref="LY17:LY22" si="223">Br81_Factor</f>
        <v>1.5121538430550119</v>
      </c>
      <c r="LZ17" s="462">
        <f t="shared" ref="LZ17:LZ22" si="224">Br81_Factorerr</f>
        <v>9.7386392331250141E-2</v>
      </c>
      <c r="MA17" s="462">
        <f t="shared" ref="MA17:MA22" si="225">Pi_prime</f>
        <v>7.3530630262228902</v>
      </c>
      <c r="MB17" s="462">
        <f t="shared" ref="MB17:MB22" si="226">Pi_primeerr</f>
        <v>0.61798073541673071</v>
      </c>
      <c r="MC17" s="214">
        <f t="shared" ref="MC17:MC22" si="227">Br81_Prod</f>
        <v>8.6074947141305712E-6</v>
      </c>
      <c r="MD17" s="214">
        <f t="shared" ref="MD17:MD22" si="228">Br81_Proderr</f>
        <v>7.3912019216173737E-7</v>
      </c>
      <c r="ME17" s="212">
        <f t="shared" ref="ME17:ME22" si="229">I_Factor</f>
        <v>1.2787828928020022</v>
      </c>
      <c r="MF17" s="212">
        <f t="shared" ref="MF17:MF22" si="230">I_Factorerr</f>
        <v>5.6044344378073568E-2</v>
      </c>
      <c r="MG17" s="462">
        <f t="shared" ref="MG17:MG22" si="231">Omega</f>
        <v>19.708829843180503</v>
      </c>
      <c r="MH17" s="462">
        <f t="shared" ref="MH17:MH22" si="232">Omegaerr</f>
        <v>1.4577958328050218</v>
      </c>
      <c r="MI17" s="214">
        <f t="shared" ref="MI17:MI22" si="233">I127_Prod</f>
        <v>2.3071153897618272E-5</v>
      </c>
      <c r="MJ17" s="214">
        <f t="shared" ref="MJ17:MJ22" si="234">I127_Proderr</f>
        <v>1.7541999726722265E-6</v>
      </c>
    </row>
    <row r="18" spans="1:348" s="13" customFormat="1" ht="24.9" customHeight="1">
      <c r="A18" s="469" t="s">
        <v>872</v>
      </c>
      <c r="B18" s="5" t="s">
        <v>49</v>
      </c>
      <c r="C18" s="5">
        <f>0.56/1000</f>
        <v>5.6000000000000006E-4</v>
      </c>
      <c r="D18" s="66">
        <f>C18*2%</f>
        <v>1.1200000000000001E-5</v>
      </c>
      <c r="E18" s="67">
        <v>44706</v>
      </c>
      <c r="F18" s="5" t="s">
        <v>210</v>
      </c>
      <c r="G18" s="327" t="s">
        <v>901</v>
      </c>
      <c r="H18" s="5">
        <v>2</v>
      </c>
      <c r="I18" s="5"/>
      <c r="J18" s="327">
        <v>44644</v>
      </c>
      <c r="K18" s="67" t="s">
        <v>857</v>
      </c>
      <c r="L18" s="5" t="s">
        <v>858</v>
      </c>
      <c r="M18" s="273" t="s">
        <v>860</v>
      </c>
      <c r="N18" s="5">
        <v>110</v>
      </c>
      <c r="O18" s="368">
        <v>13557.278644</v>
      </c>
      <c r="P18" s="368">
        <v>31.545233</v>
      </c>
      <c r="Q18" s="406">
        <v>153.196675</v>
      </c>
      <c r="R18" s="406">
        <v>0.40415000000000001</v>
      </c>
      <c r="S18" s="368">
        <v>8367.5732150000003</v>
      </c>
      <c r="T18" s="368">
        <v>25.481207000000001</v>
      </c>
      <c r="U18" s="406">
        <v>89.612240999999997</v>
      </c>
      <c r="V18" s="406">
        <v>0.269374</v>
      </c>
      <c r="W18" s="368">
        <v>1.5937239999999999</v>
      </c>
      <c r="X18" s="368">
        <v>8.3002999999999993E-2</v>
      </c>
      <c r="Y18" s="368">
        <v>23.587978</v>
      </c>
      <c r="Z18" s="68">
        <v>1.259735</v>
      </c>
      <c r="AA18" s="368">
        <v>0.60047499999999998</v>
      </c>
      <c r="AB18" s="328">
        <v>5.6134999999999997E-2</v>
      </c>
      <c r="AC18" s="368">
        <v>1.2241930000000001</v>
      </c>
      <c r="AD18" s="68">
        <v>8.4462999999999996E-2</v>
      </c>
      <c r="AE18" s="368">
        <v>0.25189099999999998</v>
      </c>
      <c r="AF18" s="328">
        <v>7.0001999999999995E-2</v>
      </c>
      <c r="AG18" s="368">
        <v>0.73502000000000001</v>
      </c>
      <c r="AH18" s="68">
        <v>9.7442000000000001E-2</v>
      </c>
      <c r="AI18" s="133">
        <f t="shared" si="1"/>
        <v>13533.690666</v>
      </c>
      <c r="AJ18" s="133">
        <f t="shared" si="2"/>
        <v>31.570376261529002</v>
      </c>
      <c r="AK18" s="133">
        <f t="shared" si="3"/>
        <v>152.59620000000001</v>
      </c>
      <c r="AL18" s="133">
        <f t="shared" si="4"/>
        <v>0.40802985273751724</v>
      </c>
      <c r="AM18" s="133">
        <f t="shared" si="5"/>
        <v>8366.3490220000003</v>
      </c>
      <c r="AN18" s="133">
        <f t="shared" si="6"/>
        <v>25.481346985103006</v>
      </c>
      <c r="AO18" s="133">
        <f t="shared" si="7"/>
        <v>89.360349999999997</v>
      </c>
      <c r="AP18" s="133">
        <f t="shared" si="8"/>
        <v>0.27832109492454937</v>
      </c>
      <c r="AQ18" s="133">
        <f t="shared" si="9"/>
        <v>0.85870399999999991</v>
      </c>
      <c r="AR18" s="133">
        <f t="shared" si="10"/>
        <v>0.12800172410166982</v>
      </c>
      <c r="AS18" s="4">
        <v>301.3</v>
      </c>
      <c r="AT18" s="326">
        <v>0.9</v>
      </c>
      <c r="AU18" s="133">
        <f t="shared" si="11"/>
        <v>153.34497999999999</v>
      </c>
      <c r="AV18" s="133">
        <f t="shared" si="12"/>
        <v>0.40804165115368796</v>
      </c>
      <c r="AW18" s="133">
        <f t="shared" si="13"/>
        <v>8448.4553237387463</v>
      </c>
      <c r="AX18" s="133">
        <f t="shared" si="14"/>
        <v>25.481985214670328</v>
      </c>
      <c r="AY18" s="133">
        <f t="shared" si="15"/>
        <v>90.675806928934009</v>
      </c>
      <c r="AZ18" s="133">
        <f t="shared" si="16"/>
        <v>0.27833320625612806</v>
      </c>
      <c r="BA18" s="133">
        <f t="shared" si="17"/>
        <v>0.87555842707275788</v>
      </c>
      <c r="BB18" s="133">
        <f t="shared" si="18"/>
        <v>0.12800326580247945</v>
      </c>
      <c r="BC18" s="6"/>
      <c r="BD18" s="8"/>
      <c r="BE18" s="133">
        <f t="shared" si="19"/>
        <v>308.47880124928002</v>
      </c>
      <c r="BF18" s="133">
        <f t="shared" si="20"/>
        <v>0.9468886654744697</v>
      </c>
      <c r="BG18" s="133">
        <f t="shared" si="21"/>
        <v>153.41211308687332</v>
      </c>
      <c r="BH18" s="133">
        <f t="shared" si="22"/>
        <v>0.40822028820861367</v>
      </c>
      <c r="BI18" s="143">
        <f t="shared" si="23"/>
        <v>13513.750696473751</v>
      </c>
      <c r="BJ18" s="133">
        <f t="shared" si="24"/>
        <v>31.570421013103246</v>
      </c>
      <c r="BK18" s="143">
        <f t="shared" si="25"/>
        <v>153.13020419305261</v>
      </c>
      <c r="BL18" s="133">
        <f t="shared" si="26"/>
        <v>0.40822120535714129</v>
      </c>
      <c r="BM18" s="143">
        <f t="shared" si="27"/>
        <v>8446.0863187279847</v>
      </c>
      <c r="BN18" s="133">
        <f t="shared" si="28"/>
        <v>25.481985994390129</v>
      </c>
      <c r="BO18" s="133">
        <f t="shared" si="29"/>
        <v>0.76795202989629141</v>
      </c>
      <c r="BP18" s="133">
        <f t="shared" si="30"/>
        <v>0.12800369196141567</v>
      </c>
      <c r="BQ18" s="369"/>
      <c r="BR18" s="147">
        <f t="shared" si="31"/>
        <v>-0.2457209010182555</v>
      </c>
      <c r="BS18" s="147">
        <f t="shared" si="32"/>
        <v>0.13199166247990915</v>
      </c>
      <c r="BT18" s="143">
        <f t="shared" si="33"/>
        <v>8445.9419436915305</v>
      </c>
      <c r="BU18" s="147">
        <f t="shared" si="34"/>
        <v>2.9392321194112094</v>
      </c>
      <c r="BV18" s="143">
        <f t="shared" si="35"/>
        <v>13586.361222724645</v>
      </c>
      <c r="BW18" s="143">
        <f t="shared" si="36"/>
        <v>50.17935156963641</v>
      </c>
      <c r="BX18" s="3">
        <v>1.3734579270446072E-12</v>
      </c>
      <c r="BY18" s="3">
        <v>4.434063793042434E-15</v>
      </c>
      <c r="BZ18" s="157">
        <f t="shared" si="37"/>
        <v>-3.3748731934406631E-13</v>
      </c>
      <c r="CA18" s="157">
        <f t="shared" si="38"/>
        <v>-1.8128826923951002E-13</v>
      </c>
      <c r="CB18" s="157">
        <f t="shared" si="39"/>
        <v>4.2368265490104151E-10</v>
      </c>
      <c r="CC18" s="158">
        <f t="shared" si="40"/>
        <v>1.8873917992337132E-12</v>
      </c>
      <c r="CD18" s="157">
        <f t="shared" si="41"/>
        <v>1.160014591392167E-8</v>
      </c>
      <c r="CE18" s="157">
        <f t="shared" si="42"/>
        <v>3.7666796704620999E-11</v>
      </c>
      <c r="CF18" s="157">
        <f t="shared" si="43"/>
        <v>2.1031789281890744E-10</v>
      </c>
      <c r="CG18" s="157">
        <f t="shared" si="44"/>
        <v>8.8055792172553057E-13</v>
      </c>
      <c r="CH18" s="157">
        <f t="shared" si="45"/>
        <v>1.8660295521042627E-8</v>
      </c>
      <c r="CI18" s="157">
        <f t="shared" si="46"/>
        <v>9.1537173035294767E-11</v>
      </c>
      <c r="CJ18" s="157">
        <f t="shared" si="47"/>
        <v>5.1754107167316828E-13</v>
      </c>
      <c r="CK18" s="157">
        <f t="shared" si="48"/>
        <v>1.6805059857557034E-15</v>
      </c>
      <c r="CL18" s="157">
        <f t="shared" si="49"/>
        <v>8.3252998827439017E-13</v>
      </c>
      <c r="CM18" s="157">
        <f t="shared" si="50"/>
        <v>4.0839354360963264E-15</v>
      </c>
      <c r="CN18" s="66">
        <v>4.3422657953273566E-3</v>
      </c>
      <c r="CO18" s="66">
        <v>9.2200779856894934E-6</v>
      </c>
      <c r="CP18" s="3">
        <v>1.1304215383147203E+19</v>
      </c>
      <c r="CQ18" s="3">
        <v>2.6030293318997315E+17</v>
      </c>
      <c r="CR18" s="3">
        <v>8.0710978522448691E+17</v>
      </c>
      <c r="CS18" s="3">
        <v>8018569066490475</v>
      </c>
      <c r="CT18" s="6">
        <v>0.505182491855103</v>
      </c>
      <c r="CU18" s="6">
        <v>6.9276368828200671E-3</v>
      </c>
      <c r="CV18" s="6">
        <v>24.834110188627339</v>
      </c>
      <c r="CW18" s="6">
        <v>0.37044898629129219</v>
      </c>
      <c r="CX18" s="157">
        <f t="shared" si="51"/>
        <v>5.268866754301062E-8</v>
      </c>
      <c r="CY18" s="157">
        <f t="shared" si="52"/>
        <v>4.9453882335478943E-10</v>
      </c>
      <c r="CZ18" s="157">
        <f t="shared" si="53"/>
        <v>1.3084761754550785E-6</v>
      </c>
      <c r="DA18" s="157">
        <f t="shared" si="54"/>
        <v>2.3060875515880173E-8</v>
      </c>
      <c r="DB18" s="157">
        <f t="shared" si="55"/>
        <v>2.6617392361903193E-8</v>
      </c>
      <c r="DC18" s="157">
        <f t="shared" si="56"/>
        <v>2.8358439871747467E-6</v>
      </c>
      <c r="DD18" s="157">
        <f t="shared" si="57"/>
        <v>1.780903448517604E-7</v>
      </c>
      <c r="DE18" s="157">
        <f t="shared" si="58"/>
        <v>1.8303261887667697E-9</v>
      </c>
      <c r="DF18" s="143">
        <f t="shared" si="59"/>
        <v>12433.981660924257</v>
      </c>
      <c r="DG18" s="143">
        <f t="shared" si="60"/>
        <v>248.67973886613404</v>
      </c>
      <c r="DH18" s="159">
        <f t="shared" si="61"/>
        <v>1.2433981660924258</v>
      </c>
      <c r="DI18" s="167">
        <f t="shared" si="62"/>
        <v>2.4867973886613406E-2</v>
      </c>
      <c r="DJ18" s="157">
        <f t="shared" si="63"/>
        <v>4.3619821622037583E-7</v>
      </c>
      <c r="DK18" s="157">
        <f t="shared" si="64"/>
        <v>7.8170431761016738E-9</v>
      </c>
      <c r="DL18" s="143">
        <f t="shared" si="65"/>
        <v>27615.241713680331</v>
      </c>
      <c r="DM18" s="143">
        <f t="shared" si="66"/>
        <v>552.30517740114965</v>
      </c>
      <c r="DN18" s="159">
        <f t="shared" si="67"/>
        <v>2.7615241713680332</v>
      </c>
      <c r="DO18" s="167">
        <f t="shared" si="68"/>
        <v>5.5230517740114962E-2</v>
      </c>
      <c r="DP18" s="157">
        <f t="shared" si="69"/>
        <v>6.9276622941867468E-7</v>
      </c>
      <c r="DQ18" s="157">
        <f t="shared" si="70"/>
        <v>1.1918856752862356E-8</v>
      </c>
      <c r="DR18" s="143">
        <f t="shared" si="71"/>
        <v>49582.268705536575</v>
      </c>
      <c r="DS18" s="143">
        <f t="shared" si="72"/>
        <v>991.65801616991087</v>
      </c>
      <c r="DT18" s="147">
        <f t="shared" si="73"/>
        <v>4.9582268705536574</v>
      </c>
      <c r="DU18" s="147">
        <f t="shared" si="74"/>
        <v>9.9165801616991081E-2</v>
      </c>
      <c r="DV18" s="147">
        <f t="shared" si="75"/>
        <v>0.40827848035441228</v>
      </c>
      <c r="DW18" s="147">
        <f t="shared" si="76"/>
        <v>4.5172450972547733E-3</v>
      </c>
      <c r="DX18" s="147">
        <f t="shared" si="77"/>
        <v>0.25707134281242677</v>
      </c>
      <c r="DY18" s="147">
        <f t="shared" si="78"/>
        <v>2.9380573544541188E-3</v>
      </c>
      <c r="DZ18" s="147">
        <f t="shared" si="79"/>
        <v>0.45025793327619434</v>
      </c>
      <c r="EA18" s="147">
        <f t="shared" si="80"/>
        <v>9.4051629882365463E-3</v>
      </c>
      <c r="EB18" s="147">
        <f t="shared" si="81"/>
        <v>0.25077476254199366</v>
      </c>
      <c r="EC18" s="147">
        <f t="shared" si="82"/>
        <v>5.4155075805144819E-3</v>
      </c>
      <c r="ED18" s="157">
        <f t="shared" si="83"/>
        <v>1.9086047519593243E-6</v>
      </c>
      <c r="EE18" s="157">
        <f t="shared" si="84"/>
        <v>3.5462079132530274E-8</v>
      </c>
      <c r="EF18" s="147">
        <f t="shared" si="85"/>
        <v>88.250066456104548</v>
      </c>
      <c r="EG18" s="147">
        <f t="shared" si="86"/>
        <v>0.56914592800186181</v>
      </c>
      <c r="EH18" s="157">
        <f t="shared" si="87"/>
        <v>4.6747620651045125E-6</v>
      </c>
      <c r="EI18" s="157">
        <f t="shared" si="88"/>
        <v>5.3237057419823387E-8</v>
      </c>
      <c r="EJ18" s="143">
        <f t="shared" si="89"/>
        <v>584.59498182995765</v>
      </c>
      <c r="EK18" s="147">
        <f t="shared" si="90"/>
        <v>3.2306433245529824</v>
      </c>
      <c r="EL18" s="147">
        <f t="shared" si="91"/>
        <v>3.401236087360449</v>
      </c>
      <c r="EM18" s="467">
        <v>3518.3704229999998</v>
      </c>
      <c r="EN18" s="467">
        <v>22.016465</v>
      </c>
      <c r="EO18" s="467">
        <v>1010.241892</v>
      </c>
      <c r="EP18" s="467">
        <v>6.9867429999999997</v>
      </c>
      <c r="EQ18" s="7">
        <v>6.1651999999999998E-2</v>
      </c>
      <c r="ER18" s="7">
        <v>4.437E-3</v>
      </c>
      <c r="ES18" s="370"/>
      <c r="ET18" s="370"/>
      <c r="EU18" s="318"/>
      <c r="EV18" s="318"/>
      <c r="EW18" s="318"/>
      <c r="EX18" s="318"/>
      <c r="EY18" s="318"/>
      <c r="EZ18" s="318"/>
      <c r="FA18" s="371"/>
      <c r="FB18" s="371"/>
      <c r="FC18" s="147">
        <f t="shared" si="92"/>
        <v>3518.3704229999998</v>
      </c>
      <c r="FD18" s="147">
        <f t="shared" si="93"/>
        <v>22.016465</v>
      </c>
      <c r="FE18" s="147">
        <f t="shared" si="94"/>
        <v>1010.241892</v>
      </c>
      <c r="FF18" s="147">
        <f t="shared" si="95"/>
        <v>6.9867429999999997</v>
      </c>
      <c r="FG18" s="147">
        <f t="shared" si="96"/>
        <v>6.1651999999999998E-2</v>
      </c>
      <c r="FH18" s="147">
        <f t="shared" si="97"/>
        <v>4.437E-3</v>
      </c>
      <c r="FI18" s="147">
        <f t="shared" si="98"/>
        <v>0</v>
      </c>
      <c r="FJ18" s="147">
        <f t="shared" si="99"/>
        <v>0</v>
      </c>
      <c r="FK18" s="147">
        <f t="shared" si="100"/>
        <v>6.0069554539138849E-2</v>
      </c>
      <c r="FL18" s="147">
        <f t="shared" si="101"/>
        <v>9.7024762515855872E-3</v>
      </c>
      <c r="FM18" s="143">
        <f t="shared" si="102"/>
        <v>3518.3680442456402</v>
      </c>
      <c r="FN18" s="143">
        <f t="shared" si="103"/>
        <v>22.016465003352572</v>
      </c>
      <c r="FO18" s="143">
        <f t="shared" si="104"/>
        <v>1010.2297459360722</v>
      </c>
      <c r="FP18" s="143">
        <f t="shared" si="105"/>
        <v>6.9867432754372709</v>
      </c>
      <c r="FQ18" s="147">
        <f t="shared" si="106"/>
        <v>-1.8333228045345179E-2</v>
      </c>
      <c r="FR18" s="147">
        <f t="shared" si="107"/>
        <v>2.9611957519839215E-3</v>
      </c>
      <c r="FS18" s="3">
        <v>1.2557400742552645E-12</v>
      </c>
      <c r="FT18" s="3">
        <v>1.9900354305090524E-14</v>
      </c>
      <c r="FU18" s="6">
        <v>1.04</v>
      </c>
      <c r="FV18" s="6">
        <v>0.01</v>
      </c>
      <c r="FW18" s="157">
        <f t="shared" si="108"/>
        <v>4.2482266818638174E-9</v>
      </c>
      <c r="FX18" s="157">
        <f t="shared" si="109"/>
        <v>8.3113003096929198E-11</v>
      </c>
      <c r="FY18" s="157">
        <f t="shared" si="110"/>
        <v>1.2197942078621541E-9</v>
      </c>
      <c r="FZ18" s="157">
        <f t="shared" si="111"/>
        <v>2.4133134296736021E-11</v>
      </c>
      <c r="GA18" s="157">
        <f t="shared" si="112"/>
        <v>7.5431746877458885E-14</v>
      </c>
      <c r="GB18" s="157">
        <f t="shared" si="113"/>
        <v>1.2242291051980656E-14</v>
      </c>
      <c r="GC18" s="157"/>
      <c r="GD18" s="157"/>
      <c r="GE18" s="157">
        <f t="shared" si="114"/>
        <v>1.8953483912678256E-13</v>
      </c>
      <c r="GF18" s="157">
        <f t="shared" si="115"/>
        <v>3.7080906594493275E-15</v>
      </c>
      <c r="GG18" s="157">
        <f t="shared" si="116"/>
        <v>5.4421177650883591E-14</v>
      </c>
      <c r="GH18" s="157">
        <f t="shared" si="117"/>
        <v>1.0767009557304516E-15</v>
      </c>
      <c r="GI18" s="157">
        <f t="shared" si="118"/>
        <v>3.365391039632301E-18</v>
      </c>
      <c r="GJ18" s="157">
        <f t="shared" si="119"/>
        <v>5.4619040810628797E-19</v>
      </c>
      <c r="GK18" s="147">
        <f t="shared" si="120"/>
        <v>3.482740493832464</v>
      </c>
      <c r="GL18" s="147">
        <f t="shared" si="121"/>
        <v>6.8528336076249308E-2</v>
      </c>
      <c r="GM18" s="157">
        <f t="shared" si="122"/>
        <v>1.7114364030409362E-2</v>
      </c>
      <c r="GN18" s="157">
        <f t="shared" si="123"/>
        <v>4.2796803521705787E-4</v>
      </c>
      <c r="GO18" s="168">
        <f t="shared" si="124"/>
        <v>1.2401713065514031</v>
      </c>
      <c r="GP18" s="168">
        <f t="shared" si="125"/>
        <v>7.8297514089522013E-2</v>
      </c>
      <c r="GQ18" s="169">
        <f t="shared" si="126"/>
        <v>26.231703277066114</v>
      </c>
      <c r="GR18" s="169">
        <f t="shared" si="127"/>
        <v>2.201321936093545</v>
      </c>
      <c r="GS18" s="157">
        <f t="shared" si="128"/>
        <v>3.4323558779647922E-5</v>
      </c>
      <c r="GT18" s="157">
        <f t="shared" si="129"/>
        <v>2.9432140517293977E-6</v>
      </c>
      <c r="GU18" s="157">
        <f t="shared" si="130"/>
        <v>2.1375296669742905E-2</v>
      </c>
      <c r="GV18" s="157">
        <f t="shared" si="131"/>
        <v>5.9491373400756336E-4</v>
      </c>
      <c r="GW18" s="168">
        <f t="shared" si="132"/>
        <v>1.5489345412857178</v>
      </c>
      <c r="GX18" s="168">
        <f t="shared" si="133"/>
        <v>9.9605639310413274E-2</v>
      </c>
      <c r="GY18" s="169">
        <f t="shared" si="134"/>
        <v>7.5319144000305132</v>
      </c>
      <c r="GZ18" s="169">
        <f t="shared" si="135"/>
        <v>0.63245514821210802</v>
      </c>
      <c r="HA18" s="157">
        <f t="shared" si="136"/>
        <v>9.8553305480069581E-6</v>
      </c>
      <c r="HB18" s="157">
        <f t="shared" si="137"/>
        <v>8.455839568287178E-7</v>
      </c>
      <c r="HC18" s="6">
        <v>1.1100000000000001</v>
      </c>
      <c r="HD18" s="6">
        <v>0.04</v>
      </c>
      <c r="HE18" s="143">
        <f t="shared" si="138"/>
        <v>425.78135087898278</v>
      </c>
      <c r="HF18" s="143">
        <f t="shared" si="139"/>
        <v>21.854597804720328</v>
      </c>
      <c r="HG18" s="6">
        <v>1.19</v>
      </c>
      <c r="HH18" s="6">
        <v>0.04</v>
      </c>
      <c r="HI18" s="143">
        <f t="shared" si="140"/>
        <v>496.03696154334153</v>
      </c>
      <c r="HJ18" s="143">
        <f t="shared" si="141"/>
        <v>25.366587642423745</v>
      </c>
      <c r="HK18" s="6">
        <v>5.8376599999999996</v>
      </c>
      <c r="HL18" s="6">
        <v>7.0234000000000005E-2</v>
      </c>
      <c r="HM18" s="6">
        <v>8.8190000000000004E-3</v>
      </c>
      <c r="HN18" s="6">
        <v>7.8100000000000001E-4</v>
      </c>
      <c r="HO18" s="6">
        <v>1.126E-3</v>
      </c>
      <c r="HP18" s="6">
        <v>4.4700000000000002E-4</v>
      </c>
      <c r="HQ18" s="6">
        <v>0.86397800000000002</v>
      </c>
      <c r="HR18" s="6">
        <v>9.8589999999999997E-3</v>
      </c>
      <c r="HS18" s="6">
        <v>1.1616E-2</v>
      </c>
      <c r="HT18" s="6">
        <v>1.395E-3</v>
      </c>
      <c r="HU18" s="6">
        <v>1.44E-2</v>
      </c>
      <c r="HV18" s="6">
        <v>7.1299999999999998E-4</v>
      </c>
      <c r="HW18" s="6">
        <v>1.5172E-2</v>
      </c>
      <c r="HX18" s="6">
        <v>7.5600000000000005E-4</v>
      </c>
      <c r="HY18" s="6">
        <v>6.0860000000000003E-3</v>
      </c>
      <c r="HZ18" s="6">
        <v>9.1100000000000003E-4</v>
      </c>
      <c r="IA18" s="6">
        <v>1.2750000000000001E-3</v>
      </c>
      <c r="IB18" s="6">
        <v>4.2299999999999998E-4</v>
      </c>
      <c r="IC18" s="6">
        <v>6.5200000000000002E-4</v>
      </c>
      <c r="ID18" s="6">
        <v>1.15E-4</v>
      </c>
      <c r="IE18" s="6">
        <v>1.593E-3</v>
      </c>
      <c r="IF18" s="6">
        <v>3.8000000000000002E-4</v>
      </c>
      <c r="IG18" s="6">
        <v>3.2200000000000002E-4</v>
      </c>
      <c r="IH18" s="6">
        <v>1.08E-4</v>
      </c>
      <c r="II18" s="6">
        <v>6.7299999999999999E-4</v>
      </c>
      <c r="IJ18" s="6">
        <v>3.6000000000000002E-4</v>
      </c>
      <c r="IK18" s="6">
        <v>6.4300000000000002E-4</v>
      </c>
      <c r="IL18" s="6">
        <v>3.28E-4</v>
      </c>
      <c r="IM18" s="167">
        <f t="shared" si="142"/>
        <v>5.8315739999999998</v>
      </c>
      <c r="IN18" s="167">
        <f t="shared" si="143"/>
        <v>7.0239908008197169E-2</v>
      </c>
      <c r="IO18" s="167">
        <f t="shared" si="144"/>
        <v>7.5440000000000004E-3</v>
      </c>
      <c r="IP18" s="167">
        <f t="shared" si="145"/>
        <v>8.8819479845358247E-4</v>
      </c>
      <c r="IQ18" s="167">
        <f t="shared" si="146"/>
        <v>4.7400000000000003E-4</v>
      </c>
      <c r="IR18" s="167">
        <f t="shared" si="147"/>
        <v>4.6155606376690577E-4</v>
      </c>
      <c r="IS18" s="167">
        <f t="shared" si="148"/>
        <v>0.86238500000000007</v>
      </c>
      <c r="IT18" s="167">
        <f t="shared" si="149"/>
        <v>9.8663205401000424E-3</v>
      </c>
      <c r="IU18" s="167">
        <f t="shared" si="150"/>
        <v>1.1294E-2</v>
      </c>
      <c r="IV18" s="167">
        <f t="shared" si="151"/>
        <v>1.3991743994227453E-3</v>
      </c>
      <c r="IW18" s="167">
        <f t="shared" si="152"/>
        <v>1.3727E-2</v>
      </c>
      <c r="IX18" s="167">
        <f t="shared" si="153"/>
        <v>7.9872961632832917E-4</v>
      </c>
      <c r="IY18" s="167">
        <f t="shared" si="154"/>
        <v>1.4529E-2</v>
      </c>
      <c r="IZ18" s="167">
        <f t="shared" si="155"/>
        <v>8.2408737400836338E-4</v>
      </c>
      <c r="JA18" s="167">
        <f t="shared" si="156"/>
        <v>5.8313504623512902</v>
      </c>
      <c r="JB18" s="167">
        <f t="shared" si="157"/>
        <v>7.0240245278904198E-2</v>
      </c>
      <c r="JC18" s="167">
        <f t="shared" si="158"/>
        <v>4.4664438574280006E-3</v>
      </c>
      <c r="JD18" s="167">
        <f t="shared" si="159"/>
        <v>3.1256145481840169E-3</v>
      </c>
      <c r="JE18" s="167">
        <f t="shared" si="160"/>
        <v>0.85991481505948408</v>
      </c>
      <c r="JF18" s="167">
        <f t="shared" si="161"/>
        <v>1.0155290145957337E-2</v>
      </c>
      <c r="JG18" s="167">
        <f t="shared" si="162"/>
        <v>8.1632206076899996E-3</v>
      </c>
      <c r="JH18" s="167">
        <f t="shared" si="163"/>
        <v>3.3543362045110065E-3</v>
      </c>
      <c r="JI18" s="167">
        <f t="shared" si="164"/>
        <v>1.2506935270771999E-2</v>
      </c>
      <c r="JJ18" s="167">
        <f t="shared" si="165"/>
        <v>1.4315706678312689E-3</v>
      </c>
      <c r="JK18" s="167">
        <f t="shared" si="166"/>
        <v>1.3497721268202E-2</v>
      </c>
      <c r="JL18" s="167">
        <f t="shared" si="167"/>
        <v>1.299056102995372E-3</v>
      </c>
      <c r="JM18" s="3">
        <v>1.0578061216037453E-12</v>
      </c>
      <c r="JN18" s="3">
        <v>3.8197537541218414E-14</v>
      </c>
      <c r="JO18" s="7">
        <v>1</v>
      </c>
      <c r="JP18" s="7">
        <v>0</v>
      </c>
      <c r="JQ18" s="157">
        <f t="shared" si="168"/>
        <v>6.1684382162920254E-12</v>
      </c>
      <c r="JR18" s="157">
        <f t="shared" si="169"/>
        <v>2.3480868625296973E-13</v>
      </c>
      <c r="JS18" s="157">
        <f t="shared" si="170"/>
        <v>2.7520516971930379E-16</v>
      </c>
      <c r="JT18" s="157">
        <f t="shared" si="171"/>
        <v>1.0476000908729359E-17</v>
      </c>
      <c r="JU18" s="6">
        <v>1.35</v>
      </c>
      <c r="JV18" s="6">
        <v>6.4000000000000001E-2</v>
      </c>
      <c r="JW18" s="157">
        <f t="shared" si="172"/>
        <v>3.1143959783674788E-12</v>
      </c>
      <c r="JX18" s="157">
        <f t="shared" si="173"/>
        <v>2.0348485764924945E-13</v>
      </c>
      <c r="JY18" s="143">
        <f t="shared" si="174"/>
        <v>705.76940077988513</v>
      </c>
      <c r="JZ18" s="143">
        <f t="shared" si="175"/>
        <v>46.132757352766717</v>
      </c>
      <c r="KA18" s="147">
        <f t="shared" si="176"/>
        <v>0.85536775111272667</v>
      </c>
      <c r="KB18" s="147">
        <f t="shared" si="177"/>
        <v>1.0170304356836302E-2</v>
      </c>
      <c r="KC18" s="157">
        <f t="shared" si="178"/>
        <v>9.0481324334947112E-13</v>
      </c>
      <c r="KD18" s="157">
        <f t="shared" si="179"/>
        <v>3.4398549558489703E-14</v>
      </c>
      <c r="KE18" s="157">
        <f t="shared" si="180"/>
        <v>4.0368286666563952E-17</v>
      </c>
      <c r="KF18" s="157">
        <f t="shared" si="181"/>
        <v>1.5346929544403087E-18</v>
      </c>
      <c r="KG18" s="118">
        <v>1.24</v>
      </c>
      <c r="KH18" s="118">
        <v>0.06</v>
      </c>
      <c r="KI18" s="157">
        <f t="shared" si="182"/>
        <v>3.5074771503249678E-10</v>
      </c>
      <c r="KJ18" s="157">
        <f t="shared" si="183"/>
        <v>2.7765076427904999E-11</v>
      </c>
      <c r="KK18" s="143">
        <f t="shared" si="184"/>
        <v>86.012734754049418</v>
      </c>
      <c r="KL18" s="143">
        <f t="shared" si="185"/>
        <v>5.6398021089874035</v>
      </c>
      <c r="KM18" s="157">
        <f t="shared" si="186"/>
        <v>1.3229912691924416E-14</v>
      </c>
      <c r="KN18" s="157">
        <f t="shared" si="187"/>
        <v>1.5878941178497345E-15</v>
      </c>
      <c r="KO18" s="157">
        <f t="shared" si="188"/>
        <v>5.9025319539331851E-19</v>
      </c>
      <c r="KP18" s="157">
        <f t="shared" si="189"/>
        <v>7.0843972960616004E-20</v>
      </c>
      <c r="KQ18" s="157">
        <f t="shared" si="190"/>
        <v>1.5433407742666631E-13</v>
      </c>
      <c r="KR18" s="157">
        <f t="shared" si="191"/>
        <v>1.8861475639306349E-14</v>
      </c>
      <c r="KS18" s="143">
        <f t="shared" si="192"/>
        <v>65.599950403080328</v>
      </c>
      <c r="KT18" s="143">
        <f t="shared" si="193"/>
        <v>8.1237459194962156</v>
      </c>
      <c r="KU18" s="157">
        <f t="shared" si="194"/>
        <v>3.4502275986990283E-5</v>
      </c>
      <c r="KV18" s="157">
        <f t="shared" si="195"/>
        <v>1.4270648801511093E-6</v>
      </c>
      <c r="KW18" s="168">
        <f t="shared" si="196"/>
        <v>1.332134207991903</v>
      </c>
      <c r="KX18" s="168">
        <f t="shared" si="197"/>
        <v>5.8814726687602313E-2</v>
      </c>
      <c r="KY18" s="169">
        <f t="shared" si="198"/>
        <v>20.531089820934561</v>
      </c>
      <c r="KZ18" s="169">
        <f t="shared" si="199"/>
        <v>1.5225718319242245</v>
      </c>
      <c r="LA18" s="157">
        <f t="shared" si="200"/>
        <v>2.6864441886821146E-5</v>
      </c>
      <c r="LB18" s="157">
        <f t="shared" si="201"/>
        <v>2.0477365470738155E-6</v>
      </c>
      <c r="LC18" s="10"/>
      <c r="LD18" s="214" t="str">
        <f t="shared" si="202"/>
        <v>BB1</v>
      </c>
      <c r="LE18" s="214" t="str">
        <f t="shared" si="203"/>
        <v>Mn2022a</v>
      </c>
      <c r="LF18" s="211">
        <f t="shared" si="204"/>
        <v>2</v>
      </c>
      <c r="LG18" s="211">
        <f t="shared" si="205"/>
        <v>12433.981660924257</v>
      </c>
      <c r="LH18" s="211">
        <f t="shared" si="206"/>
        <v>248.67973886613404</v>
      </c>
      <c r="LI18" s="211">
        <f t="shared" si="207"/>
        <v>27615.241713680331</v>
      </c>
      <c r="LJ18" s="211">
        <f t="shared" si="208"/>
        <v>552.30517740114965</v>
      </c>
      <c r="LK18" s="211">
        <f t="shared" si="209"/>
        <v>49582.268705536575</v>
      </c>
      <c r="LL18" s="211">
        <f t="shared" si="210"/>
        <v>991.65801616991087</v>
      </c>
      <c r="LM18" s="211">
        <f t="shared" si="211"/>
        <v>425.78135087898278</v>
      </c>
      <c r="LN18" s="211">
        <f t="shared" si="212"/>
        <v>21.854597804720328</v>
      </c>
      <c r="LO18" s="211">
        <f t="shared" si="213"/>
        <v>496.03696154334153</v>
      </c>
      <c r="LP18" s="211">
        <f t="shared" si="214"/>
        <v>25.366587642423745</v>
      </c>
      <c r="LQ18" s="211">
        <f t="shared" si="215"/>
        <v>705.76940077988513</v>
      </c>
      <c r="LR18" s="211">
        <f t="shared" si="216"/>
        <v>46.132757352766717</v>
      </c>
      <c r="LS18" s="212">
        <f t="shared" si="217"/>
        <v>1.2401713065514031</v>
      </c>
      <c r="LT18" s="212">
        <f t="shared" si="218"/>
        <v>7.8297514089522013E-2</v>
      </c>
      <c r="LU18" s="459">
        <f t="shared" si="219"/>
        <v>26.231703277066114</v>
      </c>
      <c r="LV18" s="459">
        <f t="shared" si="220"/>
        <v>2.201321936093545</v>
      </c>
      <c r="LW18" s="214">
        <f t="shared" si="221"/>
        <v>3.4323558779647922E-5</v>
      </c>
      <c r="LX18" s="214">
        <f t="shared" si="222"/>
        <v>2.9432140517293977E-6</v>
      </c>
      <c r="LY18" s="462">
        <f t="shared" si="223"/>
        <v>1.5489345412857178</v>
      </c>
      <c r="LZ18" s="462">
        <f t="shared" si="224"/>
        <v>9.9605639310413274E-2</v>
      </c>
      <c r="MA18" s="462">
        <f t="shared" si="225"/>
        <v>7.5319144000305132</v>
      </c>
      <c r="MB18" s="462">
        <f t="shared" si="226"/>
        <v>0.63245514821210802</v>
      </c>
      <c r="MC18" s="214">
        <f t="shared" si="227"/>
        <v>9.8553305480069581E-6</v>
      </c>
      <c r="MD18" s="214">
        <f t="shared" si="228"/>
        <v>8.455839568287178E-7</v>
      </c>
      <c r="ME18" s="212">
        <f t="shared" si="229"/>
        <v>1.332134207991903</v>
      </c>
      <c r="MF18" s="212">
        <f t="shared" si="230"/>
        <v>5.8814726687602313E-2</v>
      </c>
      <c r="MG18" s="462">
        <f t="shared" si="231"/>
        <v>20.531089820934561</v>
      </c>
      <c r="MH18" s="462">
        <f t="shared" si="232"/>
        <v>1.5225718319242245</v>
      </c>
      <c r="MI18" s="214">
        <f t="shared" si="233"/>
        <v>2.6864441886821146E-5</v>
      </c>
      <c r="MJ18" s="214">
        <f t="shared" si="234"/>
        <v>2.0477365470738155E-6</v>
      </c>
    </row>
    <row r="19" spans="1:348" s="13" customFormat="1" ht="24.9" customHeight="1">
      <c r="A19" s="469" t="s">
        <v>900</v>
      </c>
      <c r="B19" s="5" t="s">
        <v>794</v>
      </c>
      <c r="C19" s="5">
        <f>0.85/1000</f>
        <v>8.4999999999999995E-4</v>
      </c>
      <c r="D19" s="66">
        <f>C19*2%</f>
        <v>1.7E-5</v>
      </c>
      <c r="E19" s="67">
        <v>44707</v>
      </c>
      <c r="F19" s="5" t="s">
        <v>210</v>
      </c>
      <c r="G19" s="327" t="s">
        <v>901</v>
      </c>
      <c r="H19" s="5">
        <v>1</v>
      </c>
      <c r="I19" s="5"/>
      <c r="J19" s="327">
        <v>44644</v>
      </c>
      <c r="K19" s="67" t="s">
        <v>857</v>
      </c>
      <c r="L19" s="5" t="s">
        <v>858</v>
      </c>
      <c r="M19" s="273" t="s">
        <v>861</v>
      </c>
      <c r="N19" s="5">
        <v>110</v>
      </c>
      <c r="O19" s="368">
        <v>670.53091400000005</v>
      </c>
      <c r="P19" s="368">
        <v>5.8112909999999998</v>
      </c>
      <c r="Q19" s="406">
        <v>197.807614</v>
      </c>
      <c r="R19" s="406">
        <v>0.56734600000000002</v>
      </c>
      <c r="S19" s="368">
        <v>16579.640088</v>
      </c>
      <c r="T19" s="368">
        <v>49.507849</v>
      </c>
      <c r="U19" s="406">
        <v>30.57527</v>
      </c>
      <c r="V19" s="406">
        <v>9.5654000000000003E-2</v>
      </c>
      <c r="W19" s="368">
        <v>2.3908170000000002</v>
      </c>
      <c r="X19" s="368">
        <v>0.14821599999999999</v>
      </c>
      <c r="Y19" s="368">
        <v>22.033709999999999</v>
      </c>
      <c r="Z19" s="68">
        <v>1.3332470000000001</v>
      </c>
      <c r="AA19" s="368">
        <v>0.40145900000000001</v>
      </c>
      <c r="AB19" s="328">
        <v>8.7812000000000001E-2</v>
      </c>
      <c r="AC19" s="368">
        <v>0.200437</v>
      </c>
      <c r="AD19" s="68">
        <v>7.6036999999999993E-2</v>
      </c>
      <c r="AE19" s="368">
        <v>0.12803</v>
      </c>
      <c r="AF19" s="328">
        <v>1.4017999999999999E-2</v>
      </c>
      <c r="AG19" s="368">
        <v>0.18448100000000001</v>
      </c>
      <c r="AH19" s="68">
        <v>5.0755000000000002E-2</v>
      </c>
      <c r="AI19" s="133">
        <f t="shared" si="1"/>
        <v>648.49720400000001</v>
      </c>
      <c r="AJ19" s="133">
        <f t="shared" si="2"/>
        <v>5.9622689179279726</v>
      </c>
      <c r="AK19" s="133">
        <f t="shared" si="3"/>
        <v>197.40615500000001</v>
      </c>
      <c r="AL19" s="133">
        <f t="shared" si="4"/>
        <v>0.57410141182547181</v>
      </c>
      <c r="AM19" s="133">
        <f t="shared" si="5"/>
        <v>16579.439651000001</v>
      </c>
      <c r="AN19" s="133">
        <f t="shared" si="6"/>
        <v>49.507907390963013</v>
      </c>
      <c r="AO19" s="133">
        <f t="shared" si="7"/>
        <v>30.447240000000001</v>
      </c>
      <c r="AP19" s="133">
        <f t="shared" si="8"/>
        <v>9.6675705531431219E-2</v>
      </c>
      <c r="AQ19" s="133">
        <f t="shared" si="9"/>
        <v>2.2063360000000003</v>
      </c>
      <c r="AR19" s="133">
        <f t="shared" si="10"/>
        <v>0.1566654163528122</v>
      </c>
      <c r="AS19" s="4">
        <v>301.3</v>
      </c>
      <c r="AT19" s="326">
        <v>0.9</v>
      </c>
      <c r="AU19" s="133">
        <f t="shared" si="11"/>
        <v>198.37481464382404</v>
      </c>
      <c r="AV19" s="133">
        <f t="shared" si="12"/>
        <v>0.57411651399472907</v>
      </c>
      <c r="AW19" s="133">
        <f t="shared" si="13"/>
        <v>16742.148195798305</v>
      </c>
      <c r="AX19" s="133">
        <f t="shared" si="14"/>
        <v>49.509173372461092</v>
      </c>
      <c r="AY19" s="133">
        <f t="shared" si="15"/>
        <v>30.895448101522845</v>
      </c>
      <c r="AZ19" s="133">
        <f t="shared" si="16"/>
        <v>9.6679831624195384E-2</v>
      </c>
      <c r="BA19" s="133">
        <f t="shared" si="17"/>
        <v>2.2496414104906939</v>
      </c>
      <c r="BB19" s="133">
        <f t="shared" si="18"/>
        <v>0.15666730618846528</v>
      </c>
      <c r="BC19" s="6"/>
      <c r="BD19" s="8"/>
      <c r="BE19" s="133">
        <f t="shared" si="19"/>
        <v>107.20245896758112</v>
      </c>
      <c r="BF19" s="133">
        <f t="shared" si="20"/>
        <v>0.33546416444999216</v>
      </c>
      <c r="BG19" s="133">
        <f t="shared" si="21"/>
        <v>198.46306246284254</v>
      </c>
      <c r="BH19" s="133">
        <f t="shared" si="22"/>
        <v>0.57437191199126159</v>
      </c>
      <c r="BI19" s="143">
        <f t="shared" si="23"/>
        <v>622.66693790912029</v>
      </c>
      <c r="BJ19" s="133">
        <f t="shared" si="24"/>
        <v>5.9627380067980669</v>
      </c>
      <c r="BK19" s="143">
        <f t="shared" si="25"/>
        <v>198.36509357000446</v>
      </c>
      <c r="BL19" s="133">
        <f t="shared" si="26"/>
        <v>0.57437199380683024</v>
      </c>
      <c r="BM19" s="143">
        <f t="shared" si="27"/>
        <v>16739.083509575259</v>
      </c>
      <c r="BN19" s="133">
        <f t="shared" si="28"/>
        <v>49.509174166941825</v>
      </c>
      <c r="BO19" s="133">
        <f t="shared" si="29"/>
        <v>2.2122460681487173</v>
      </c>
      <c r="BP19" s="133">
        <f t="shared" si="30"/>
        <v>0.1566673498912759</v>
      </c>
      <c r="BQ19" s="369"/>
      <c r="BR19" s="147">
        <f t="shared" si="31"/>
        <v>0.17088652202849719</v>
      </c>
      <c r="BS19" s="147">
        <f t="shared" si="32"/>
        <v>0.17464942423745186</v>
      </c>
      <c r="BT19" s="143">
        <f t="shared" si="33"/>
        <v>16738.667607153937</v>
      </c>
      <c r="BU19" s="147">
        <f t="shared" si="34"/>
        <v>6.9894386496830601</v>
      </c>
      <c r="BV19" s="143">
        <f t="shared" si="35"/>
        <v>572.16997064969939</v>
      </c>
      <c r="BW19" s="143">
        <f t="shared" si="36"/>
        <v>51.952221373199443</v>
      </c>
      <c r="BX19" s="3">
        <v>1.3734579270446072E-12</v>
      </c>
      <c r="BY19" s="3">
        <v>4.434063793042434E-15</v>
      </c>
      <c r="BZ19" s="157">
        <f t="shared" si="37"/>
        <v>2.3470544830512234E-13</v>
      </c>
      <c r="CA19" s="157">
        <f t="shared" si="38"/>
        <v>2.3987483292948949E-13</v>
      </c>
      <c r="CB19" s="157">
        <f t="shared" si="39"/>
        <v>1.4723806706769853E-10</v>
      </c>
      <c r="CC19" s="158">
        <f t="shared" si="40"/>
        <v>6.619949630458119E-13</v>
      </c>
      <c r="CD19" s="157">
        <f t="shared" si="41"/>
        <v>2.298985571321036E-8</v>
      </c>
      <c r="CE19" s="157">
        <f t="shared" si="42"/>
        <v>7.4838560492338617E-11</v>
      </c>
      <c r="CF19" s="157">
        <f t="shared" si="43"/>
        <v>2.7244611021266789E-10</v>
      </c>
      <c r="CG19" s="157">
        <f t="shared" si="44"/>
        <v>1.1815061960188457E-12</v>
      </c>
      <c r="CH19" s="157">
        <f t="shared" si="45"/>
        <v>7.8585138180570992E-10</v>
      </c>
      <c r="CI19" s="157">
        <f t="shared" si="46"/>
        <v>7.1399278932172583E-11</v>
      </c>
      <c r="CJ19" s="157">
        <f t="shared" si="47"/>
        <v>1.0256935259018624E-12</v>
      </c>
      <c r="CK19" s="157">
        <f t="shared" si="48"/>
        <v>3.3389260533323843E-15</v>
      </c>
      <c r="CL19" s="157">
        <f t="shared" si="49"/>
        <v>3.5060797453199479E-14</v>
      </c>
      <c r="CM19" s="157">
        <f t="shared" si="50"/>
        <v>3.1854822870506958E-15</v>
      </c>
      <c r="CN19" s="66">
        <v>4.7426911939066315E-3</v>
      </c>
      <c r="CO19" s="66">
        <v>9.7091489596462922E-6</v>
      </c>
      <c r="CP19" s="3">
        <v>1.2202773753242186E+19</v>
      </c>
      <c r="CQ19" s="3">
        <v>2.8090950300864685E+17</v>
      </c>
      <c r="CR19" s="3">
        <v>8.8153803827926886E+17</v>
      </c>
      <c r="CS19" s="3">
        <v>8743906032777201</v>
      </c>
      <c r="CT19" s="6">
        <v>0.55128114895713265</v>
      </c>
      <c r="CU19" s="6">
        <v>7.5550795824763902E-3</v>
      </c>
      <c r="CV19" s="6">
        <v>24.544732038990023</v>
      </c>
      <c r="CW19" s="6">
        <v>0.36613101239401247</v>
      </c>
      <c r="CX19" s="157">
        <f t="shared" si="51"/>
        <v>5.7547393769356322E-8</v>
      </c>
      <c r="CY19" s="157">
        <f t="shared" si="52"/>
        <v>5.3916861725988643E-10</v>
      </c>
      <c r="CZ19" s="157">
        <f t="shared" si="53"/>
        <v>1.4124853596110951E-6</v>
      </c>
      <c r="DA19" s="157">
        <f t="shared" si="54"/>
        <v>2.4881161458605304E-8</v>
      </c>
      <c r="DB19" s="157">
        <f t="shared" si="55"/>
        <v>3.1724793356659288E-8</v>
      </c>
      <c r="DC19" s="157">
        <f t="shared" si="56"/>
        <v>3.3861006226122803E-6</v>
      </c>
      <c r="DD19" s="157">
        <f t="shared" si="57"/>
        <v>2.1122062362616095E-7</v>
      </c>
      <c r="DE19" s="157">
        <f t="shared" si="58"/>
        <v>2.1806633379080265E-9</v>
      </c>
      <c r="DF19" s="143">
        <f t="shared" si="59"/>
        <v>9715.7262455561504</v>
      </c>
      <c r="DG19" s="143">
        <f t="shared" si="60"/>
        <v>194.31463151410156</v>
      </c>
      <c r="DH19" s="159">
        <f t="shared" si="61"/>
        <v>0.97157262455561499</v>
      </c>
      <c r="DI19" s="167">
        <f t="shared" si="62"/>
        <v>1.9431463151410155E-2</v>
      </c>
      <c r="DJ19" s="157">
        <f t="shared" si="63"/>
        <v>8.0082669788028575E-7</v>
      </c>
      <c r="DK19" s="157">
        <f t="shared" si="64"/>
        <v>1.4345551958947189E-8</v>
      </c>
      <c r="DL19" s="143">
        <f t="shared" si="65"/>
        <v>33402.010494058552</v>
      </c>
      <c r="DM19" s="143">
        <f t="shared" si="66"/>
        <v>668.04055734669191</v>
      </c>
      <c r="DN19" s="159">
        <f t="shared" si="67"/>
        <v>3.3402010494058549</v>
      </c>
      <c r="DO19" s="167">
        <f t="shared" si="68"/>
        <v>6.6804055734669188E-2</v>
      </c>
      <c r="DP19" s="157">
        <f t="shared" si="69"/>
        <v>2.0199137983187042E-7</v>
      </c>
      <c r="DQ19" s="157">
        <f t="shared" si="70"/>
        <v>3.4741394342587955E-9</v>
      </c>
      <c r="DR19" s="143">
        <f t="shared" si="71"/>
        <v>9524.487651366313</v>
      </c>
      <c r="DS19" s="143">
        <f t="shared" si="72"/>
        <v>190.49242045936086</v>
      </c>
      <c r="DT19" s="147">
        <f t="shared" si="73"/>
        <v>0.95244876513663135</v>
      </c>
      <c r="DU19" s="147">
        <f t="shared" si="74"/>
        <v>1.9049242045936086E-2</v>
      </c>
      <c r="DV19" s="147">
        <f t="shared" si="75"/>
        <v>0.26375322424345043</v>
      </c>
      <c r="DW19" s="147">
        <f t="shared" si="76"/>
        <v>3.0439062117133902E-3</v>
      </c>
      <c r="DX19" s="147">
        <f t="shared" si="77"/>
        <v>1.0456912755483554</v>
      </c>
      <c r="DY19" s="147">
        <f t="shared" si="78"/>
        <v>1.1091644636342084E-2</v>
      </c>
      <c r="DZ19" s="147">
        <f t="shared" si="79"/>
        <v>0.290872498446893</v>
      </c>
      <c r="EA19" s="147">
        <f t="shared" si="80"/>
        <v>6.2174535765531277E-3</v>
      </c>
      <c r="EB19" s="147">
        <f t="shared" si="81"/>
        <v>1.020078622723859</v>
      </c>
      <c r="EC19" s="147">
        <f t="shared" si="82"/>
        <v>2.0801594849488313E-2</v>
      </c>
      <c r="ED19" s="157">
        <f t="shared" si="83"/>
        <v>4.3780754994809949E-8</v>
      </c>
      <c r="EE19" s="157">
        <f t="shared" si="84"/>
        <v>4.0543191159068646E-9</v>
      </c>
      <c r="EF19" s="147">
        <f t="shared" si="85"/>
        <v>3.1389945010127334</v>
      </c>
      <c r="EG19" s="147">
        <f t="shared" si="86"/>
        <v>0.28552103912639382</v>
      </c>
      <c r="EH19" s="157">
        <f t="shared" si="87"/>
        <v>1.6599135468539061E-7</v>
      </c>
      <c r="EI19" s="157">
        <f t="shared" si="88"/>
        <v>1.5178356860591632E-8</v>
      </c>
      <c r="EJ19" s="143">
        <f t="shared" si="89"/>
        <v>26.630061439698228</v>
      </c>
      <c r="EK19" s="147">
        <f t="shared" si="90"/>
        <v>2.4125746302435753</v>
      </c>
      <c r="EL19" s="147">
        <f t="shared" si="91"/>
        <v>2.4131855909581437</v>
      </c>
      <c r="EM19" s="467">
        <v>484.63558899999998</v>
      </c>
      <c r="EN19" s="467">
        <v>2.9487670000000001</v>
      </c>
      <c r="EO19" s="467">
        <v>138.70024900000001</v>
      </c>
      <c r="EP19" s="467">
        <v>0.86487999999999998</v>
      </c>
      <c r="EQ19" s="7">
        <v>2.7857E-2</v>
      </c>
      <c r="ER19" s="7">
        <v>4.8409999999999998E-3</v>
      </c>
      <c r="ES19" s="370"/>
      <c r="ET19" s="370"/>
      <c r="EU19" s="296"/>
      <c r="EV19" s="296"/>
      <c r="EW19" s="296"/>
      <c r="EX19" s="296"/>
      <c r="EY19" s="296"/>
      <c r="EZ19" s="296"/>
      <c r="FA19" s="371"/>
      <c r="FB19" s="371"/>
      <c r="FC19" s="147">
        <f t="shared" si="92"/>
        <v>484.63558899999998</v>
      </c>
      <c r="FD19" s="147">
        <f t="shared" si="93"/>
        <v>2.9487670000000001</v>
      </c>
      <c r="FE19" s="147">
        <f t="shared" si="94"/>
        <v>138.70024900000001</v>
      </c>
      <c r="FF19" s="147">
        <f t="shared" si="95"/>
        <v>0.86487999999999998</v>
      </c>
      <c r="FG19" s="147">
        <f t="shared" si="96"/>
        <v>2.7857E-2</v>
      </c>
      <c r="FH19" s="147">
        <f t="shared" si="97"/>
        <v>4.8409999999999998E-3</v>
      </c>
      <c r="FI19" s="147">
        <f t="shared" si="98"/>
        <v>0</v>
      </c>
      <c r="FJ19" s="147">
        <f t="shared" si="99"/>
        <v>0</v>
      </c>
      <c r="FK19" s="147">
        <f t="shared" si="100"/>
        <v>2.4691399817124256E-2</v>
      </c>
      <c r="FL19" s="147">
        <f t="shared" si="101"/>
        <v>4.9940559772393466E-3</v>
      </c>
      <c r="FM19" s="143">
        <f t="shared" si="102"/>
        <v>484.63461122056725</v>
      </c>
      <c r="FN19" s="143">
        <f t="shared" si="103"/>
        <v>2.9487670066317286</v>
      </c>
      <c r="FO19" s="143">
        <f t="shared" si="104"/>
        <v>138.69525639895699</v>
      </c>
      <c r="FP19" s="143">
        <f t="shared" si="105"/>
        <v>0.86488058949905922</v>
      </c>
      <c r="FQ19" s="147">
        <f t="shared" si="106"/>
        <v>-7.5358152241863235E-3</v>
      </c>
      <c r="FR19" s="147">
        <f t="shared" si="107"/>
        <v>1.5241858842534486E-3</v>
      </c>
      <c r="FS19" s="3">
        <v>1.2557400742552645E-12</v>
      </c>
      <c r="FT19" s="3">
        <v>1.9900354305090524E-14</v>
      </c>
      <c r="FU19" s="6">
        <v>1.04</v>
      </c>
      <c r="FV19" s="6">
        <v>0.01</v>
      </c>
      <c r="FW19" s="157">
        <f t="shared" si="108"/>
        <v>5.8516836796229457E-10</v>
      </c>
      <c r="FX19" s="157">
        <f t="shared" si="109"/>
        <v>1.141634169675791E-11</v>
      </c>
      <c r="FY19" s="157">
        <f t="shared" si="110"/>
        <v>1.6746653035507614E-10</v>
      </c>
      <c r="FZ19" s="157">
        <f t="shared" si="111"/>
        <v>3.2751797286441151E-12</v>
      </c>
      <c r="GA19" s="157">
        <f t="shared" si="112"/>
        <v>3.1005980239822036E-14</v>
      </c>
      <c r="GB19" s="157">
        <f t="shared" si="113"/>
        <v>6.2904567319284705E-15</v>
      </c>
      <c r="GC19" s="157"/>
      <c r="GD19" s="157"/>
      <c r="GE19" s="157">
        <f t="shared" si="114"/>
        <v>2.6107315072734335E-14</v>
      </c>
      <c r="GF19" s="157">
        <f t="shared" si="115"/>
        <v>5.0934063784898141E-16</v>
      </c>
      <c r="GG19" s="157">
        <f t="shared" si="116"/>
        <v>7.471527361163374E-15</v>
      </c>
      <c r="GH19" s="157">
        <f t="shared" si="117"/>
        <v>1.461223022544775E-16</v>
      </c>
      <c r="GI19" s="157">
        <f t="shared" si="118"/>
        <v>1.3833333098281347E-18</v>
      </c>
      <c r="GJ19" s="157">
        <f t="shared" si="119"/>
        <v>2.8064903170417513E-19</v>
      </c>
      <c r="GK19" s="147">
        <f t="shared" si="120"/>
        <v>3.4942407101978712</v>
      </c>
      <c r="GL19" s="147">
        <f t="shared" si="121"/>
        <v>6.8553370557498966E-2</v>
      </c>
      <c r="GM19" s="157">
        <f t="shared" si="122"/>
        <v>1.1894909203912277E-3</v>
      </c>
      <c r="GN19" s="157">
        <f t="shared" si="123"/>
        <v>2.9695268307884942E-5</v>
      </c>
      <c r="GO19" s="168">
        <f t="shared" si="124"/>
        <v>1.2262792993723997</v>
      </c>
      <c r="GP19" s="168">
        <f t="shared" si="125"/>
        <v>8.1797145143884351E-2</v>
      </c>
      <c r="GQ19" s="169">
        <f t="shared" si="126"/>
        <v>26.089662529578128</v>
      </c>
      <c r="GR19" s="169">
        <f t="shared" si="127"/>
        <v>2.2374386336621175</v>
      </c>
      <c r="GS19" s="157">
        <f t="shared" si="128"/>
        <v>3.6851266360223276E-5</v>
      </c>
      <c r="GT19" s="157">
        <f t="shared" si="129"/>
        <v>3.2263279368188531E-6</v>
      </c>
      <c r="GU19" s="157">
        <f t="shared" si="130"/>
        <v>1.4807468357497639E-3</v>
      </c>
      <c r="GV19" s="157">
        <f t="shared" si="131"/>
        <v>4.0974674288718913E-5</v>
      </c>
      <c r="GW19" s="168">
        <f t="shared" si="132"/>
        <v>1.5265431296389318</v>
      </c>
      <c r="GX19" s="168">
        <f t="shared" si="133"/>
        <v>0.10344335275011378</v>
      </c>
      <c r="GY19" s="169">
        <f t="shared" si="134"/>
        <v>7.4664754644509674</v>
      </c>
      <c r="GZ19" s="169">
        <f t="shared" si="135"/>
        <v>0.64040298803866325</v>
      </c>
      <c r="HA19" s="157">
        <f t="shared" si="136"/>
        <v>1.0546287281432443E-5</v>
      </c>
      <c r="HB19" s="157">
        <f t="shared" si="137"/>
        <v>9.2343960716362762E-7</v>
      </c>
      <c r="HC19" s="6">
        <v>1.1100000000000001</v>
      </c>
      <c r="HD19" s="6">
        <v>0.04</v>
      </c>
      <c r="HE19" s="143">
        <f t="shared" si="138"/>
        <v>35.79404342837401</v>
      </c>
      <c r="HF19" s="143">
        <f t="shared" si="139"/>
        <v>1.8363881826213002</v>
      </c>
      <c r="HG19" s="6">
        <v>1.19</v>
      </c>
      <c r="HH19" s="6">
        <v>0.04</v>
      </c>
      <c r="HI19" s="143">
        <f t="shared" si="140"/>
        <v>41.562959114922357</v>
      </c>
      <c r="HJ19" s="143">
        <f t="shared" si="141"/>
        <v>2.1216992656879547</v>
      </c>
      <c r="HK19" s="6">
        <v>0.497338</v>
      </c>
      <c r="HL19" s="6">
        <v>1.624E-3</v>
      </c>
      <c r="HM19" s="6">
        <v>2.9949999999999998E-3</v>
      </c>
      <c r="HN19" s="6">
        <v>5.7899999999999998E-4</v>
      </c>
      <c r="HO19" s="6">
        <v>1.271E-3</v>
      </c>
      <c r="HP19" s="6">
        <v>2.9599999999999998E-4</v>
      </c>
      <c r="HQ19" s="6">
        <v>0.23576800000000001</v>
      </c>
      <c r="HR19" s="6">
        <v>5.653E-3</v>
      </c>
      <c r="HS19" s="6">
        <v>1.7784999999999999E-2</v>
      </c>
      <c r="HT19" s="6">
        <v>9.3599999999999998E-4</v>
      </c>
      <c r="HU19" s="6">
        <v>2.8479999999999998E-2</v>
      </c>
      <c r="HV19" s="6">
        <v>1.0859999999999999E-3</v>
      </c>
      <c r="HW19" s="6">
        <v>3.5319000000000003E-2</v>
      </c>
      <c r="HX19" s="6">
        <v>1.364E-3</v>
      </c>
      <c r="HY19" s="6">
        <v>3.65E-3</v>
      </c>
      <c r="HZ19" s="6">
        <v>4.64E-4</v>
      </c>
      <c r="IA19" s="6">
        <v>6.9800000000000005E-4</v>
      </c>
      <c r="IB19" s="6">
        <v>2.34E-4</v>
      </c>
      <c r="IC19" s="6">
        <v>0</v>
      </c>
      <c r="ID19" s="6">
        <v>0</v>
      </c>
      <c r="IE19" s="6">
        <v>6.96E-4</v>
      </c>
      <c r="IF19" s="6">
        <v>3.3599999999999998E-4</v>
      </c>
      <c r="IG19" s="6">
        <v>9.1699999999999995E-4</v>
      </c>
      <c r="IH19" s="6">
        <v>2.24E-4</v>
      </c>
      <c r="II19" s="6">
        <v>1.8900000000000001E-4</v>
      </c>
      <c r="IJ19" s="6">
        <v>2.3699999999999999E-4</v>
      </c>
      <c r="IK19" s="6">
        <v>6.7699999999999998E-4</v>
      </c>
      <c r="IL19" s="6">
        <v>2.33E-4</v>
      </c>
      <c r="IM19" s="167">
        <f t="shared" si="142"/>
        <v>0.49368800000000002</v>
      </c>
      <c r="IN19" s="167">
        <f t="shared" si="143"/>
        <v>1.6889854943130803E-3</v>
      </c>
      <c r="IO19" s="167">
        <f t="shared" si="144"/>
        <v>2.2969999999999996E-3</v>
      </c>
      <c r="IP19" s="167">
        <f t="shared" si="145"/>
        <v>6.2449739791291356E-4</v>
      </c>
      <c r="IQ19" s="167">
        <f t="shared" si="146"/>
        <v>1.271E-3</v>
      </c>
      <c r="IR19" s="167">
        <f t="shared" si="147"/>
        <v>2.9599999999999998E-4</v>
      </c>
      <c r="IS19" s="167">
        <f t="shared" si="148"/>
        <v>0.235072</v>
      </c>
      <c r="IT19" s="167">
        <f t="shared" si="149"/>
        <v>5.6629766907519584E-3</v>
      </c>
      <c r="IU19" s="167">
        <f t="shared" si="150"/>
        <v>1.6867999999999998E-2</v>
      </c>
      <c r="IV19" s="167">
        <f t="shared" si="151"/>
        <v>9.6243025721347731E-4</v>
      </c>
      <c r="IW19" s="167">
        <f t="shared" si="152"/>
        <v>2.8290999999999997E-2</v>
      </c>
      <c r="IX19" s="167">
        <f t="shared" si="153"/>
        <v>1.1115597149951055E-3</v>
      </c>
      <c r="IY19" s="167">
        <f t="shared" si="154"/>
        <v>3.4642000000000006E-2</v>
      </c>
      <c r="IZ19" s="167">
        <f t="shared" si="155"/>
        <v>1.38375756547164E-3</v>
      </c>
      <c r="JA19" s="167">
        <f t="shared" si="156"/>
        <v>0.49308859841453501</v>
      </c>
      <c r="JB19" s="167">
        <f t="shared" si="157"/>
        <v>1.6947442999395849E-3</v>
      </c>
      <c r="JC19" s="167">
        <f t="shared" si="158"/>
        <v>-5.9552655215380007E-3</v>
      </c>
      <c r="JD19" s="167">
        <f t="shared" si="159"/>
        <v>2.0207677099000217E-3</v>
      </c>
      <c r="JE19" s="167">
        <f t="shared" si="160"/>
        <v>0.228448360634186</v>
      </c>
      <c r="JF19" s="167">
        <f t="shared" si="161"/>
        <v>5.8693104220581748E-3</v>
      </c>
      <c r="JG19" s="167">
        <f t="shared" si="162"/>
        <v>8.4730198151349977E-3</v>
      </c>
      <c r="JH19" s="167">
        <f t="shared" si="163"/>
        <v>2.1791357783445342E-3</v>
      </c>
      <c r="JI19" s="167">
        <f t="shared" si="164"/>
        <v>2.5019476221837998E-2</v>
      </c>
      <c r="JJ19" s="167">
        <f t="shared" si="165"/>
        <v>1.3476097284696252E-3</v>
      </c>
      <c r="JK19" s="167">
        <f t="shared" si="166"/>
        <v>3.1876693527183003E-2</v>
      </c>
      <c r="JL19" s="167">
        <f t="shared" si="167"/>
        <v>1.5262790720604199E-3</v>
      </c>
      <c r="JM19" s="3">
        <v>1.0578061216037453E-12</v>
      </c>
      <c r="JN19" s="3">
        <v>3.8197537541218414E-14</v>
      </c>
      <c r="JO19" s="7">
        <v>1</v>
      </c>
      <c r="JP19" s="7">
        <v>0</v>
      </c>
      <c r="JQ19" s="157">
        <f t="shared" si="168"/>
        <v>5.2159213789590601E-13</v>
      </c>
      <c r="JR19" s="157">
        <f t="shared" si="169"/>
        <v>1.8919893833978306E-14</v>
      </c>
      <c r="JS19" s="157">
        <f t="shared" si="170"/>
        <v>2.3270858489717526E-17</v>
      </c>
      <c r="JT19" s="157">
        <f t="shared" si="171"/>
        <v>8.4411197968466706E-19</v>
      </c>
      <c r="JU19" s="6">
        <v>1.35</v>
      </c>
      <c r="JV19" s="6">
        <v>6.4000000000000001E-2</v>
      </c>
      <c r="JW19" s="157">
        <f t="shared" si="172"/>
        <v>2.4395600439304291E-13</v>
      </c>
      <c r="JX19" s="157">
        <f t="shared" si="173"/>
        <v>1.5687927327592961E-14</v>
      </c>
      <c r="JY19" s="143">
        <f t="shared" si="174"/>
        <v>36.422487952349314</v>
      </c>
      <c r="JZ19" s="143">
        <f t="shared" si="175"/>
        <v>2.3621983218174201</v>
      </c>
      <c r="KA19" s="147">
        <f t="shared" si="176"/>
        <v>0.21935219472046802</v>
      </c>
      <c r="KB19" s="147">
        <f t="shared" si="177"/>
        <v>5.9013606693214104E-3</v>
      </c>
      <c r="KC19" s="157">
        <f t="shared" si="178"/>
        <v>2.3203209436252782E-13</v>
      </c>
      <c r="KD19" s="157">
        <f t="shared" si="179"/>
        <v>1.0448521066791264E-14</v>
      </c>
      <c r="KE19" s="157">
        <f t="shared" si="180"/>
        <v>1.0352123125868056E-17</v>
      </c>
      <c r="KF19" s="157">
        <f t="shared" si="181"/>
        <v>4.6616127339102066E-19</v>
      </c>
      <c r="KG19" s="118">
        <v>1.24</v>
      </c>
      <c r="KH19" s="118">
        <v>0.06</v>
      </c>
      <c r="KI19" s="157">
        <f t="shared" si="182"/>
        <v>8.3323178105691299E-11</v>
      </c>
      <c r="KJ19" s="157">
        <f t="shared" si="183"/>
        <v>6.8953979463978784E-12</v>
      </c>
      <c r="KK19" s="143">
        <f t="shared" si="184"/>
        <v>13.461790682023848</v>
      </c>
      <c r="KL19" s="143">
        <f t="shared" si="185"/>
        <v>0.88567901636350499</v>
      </c>
      <c r="KM19" s="157">
        <f t="shared" si="186"/>
        <v>2.6465755106779581E-14</v>
      </c>
      <c r="KN19" s="157">
        <f t="shared" si="187"/>
        <v>1.7162188274017854E-15</v>
      </c>
      <c r="KO19" s="157">
        <f t="shared" si="188"/>
        <v>1.1807709456623324E-18</v>
      </c>
      <c r="KP19" s="157">
        <f t="shared" si="189"/>
        <v>7.6569186093490809E-20</v>
      </c>
      <c r="KQ19" s="157">
        <f t="shared" si="190"/>
        <v>2.8600327484569241E-13</v>
      </c>
      <c r="KR19" s="157">
        <f t="shared" si="191"/>
        <v>1.9680331250235197E-14</v>
      </c>
      <c r="KS19" s="143">
        <f t="shared" si="192"/>
        <v>80.090644432883053</v>
      </c>
      <c r="KT19" s="143">
        <f t="shared" si="193"/>
        <v>5.7392257636957931</v>
      </c>
      <c r="KU19" s="157">
        <f t="shared" si="194"/>
        <v>1.4720778183222789E-6</v>
      </c>
      <c r="KV19" s="157">
        <f t="shared" si="195"/>
        <v>5.8468527715693035E-8</v>
      </c>
      <c r="KW19" s="168">
        <f t="shared" si="196"/>
        <v>1.2370401834640998</v>
      </c>
      <c r="KX19" s="168">
        <f t="shared" si="197"/>
        <v>5.3350929304759674E-2</v>
      </c>
      <c r="KY19" s="169">
        <f t="shared" si="198"/>
        <v>19.065483767654424</v>
      </c>
      <c r="KZ19" s="169">
        <f t="shared" si="199"/>
        <v>1.2481408907271978</v>
      </c>
      <c r="LA19" s="157">
        <f t="shared" si="200"/>
        <v>2.6929716695714856E-5</v>
      </c>
      <c r="LB19" s="157">
        <f t="shared" si="201"/>
        <v>1.8256859745448341E-6</v>
      </c>
      <c r="LC19" s="10"/>
      <c r="LD19" s="214" t="str">
        <f t="shared" si="202"/>
        <v>BB2</v>
      </c>
      <c r="LE19" s="214" t="str">
        <f t="shared" si="203"/>
        <v>Mn2022a</v>
      </c>
      <c r="LF19" s="211">
        <f t="shared" si="204"/>
        <v>1</v>
      </c>
      <c r="LG19" s="211">
        <f t="shared" si="205"/>
        <v>9715.7262455561504</v>
      </c>
      <c r="LH19" s="211">
        <f t="shared" si="206"/>
        <v>194.31463151410156</v>
      </c>
      <c r="LI19" s="211">
        <f t="shared" si="207"/>
        <v>33402.010494058552</v>
      </c>
      <c r="LJ19" s="211">
        <f t="shared" si="208"/>
        <v>668.04055734669191</v>
      </c>
      <c r="LK19" s="211">
        <f t="shared" si="209"/>
        <v>9524.487651366313</v>
      </c>
      <c r="LL19" s="211">
        <f t="shared" si="210"/>
        <v>190.49242045936086</v>
      </c>
      <c r="LM19" s="211">
        <f t="shared" si="211"/>
        <v>35.79404342837401</v>
      </c>
      <c r="LN19" s="211">
        <f t="shared" si="212"/>
        <v>1.8363881826213002</v>
      </c>
      <c r="LO19" s="211">
        <f t="shared" si="213"/>
        <v>41.562959114922357</v>
      </c>
      <c r="LP19" s="211">
        <f t="shared" si="214"/>
        <v>2.1216992656879547</v>
      </c>
      <c r="LQ19" s="211">
        <f t="shared" si="215"/>
        <v>36.422487952349314</v>
      </c>
      <c r="LR19" s="211">
        <f t="shared" si="216"/>
        <v>2.3621983218174201</v>
      </c>
      <c r="LS19" s="212">
        <f t="shared" si="217"/>
        <v>1.2262792993723997</v>
      </c>
      <c r="LT19" s="212">
        <f t="shared" si="218"/>
        <v>8.1797145143884351E-2</v>
      </c>
      <c r="LU19" s="459">
        <f t="shared" si="219"/>
        <v>26.089662529578128</v>
      </c>
      <c r="LV19" s="459">
        <f t="shared" si="220"/>
        <v>2.2374386336621175</v>
      </c>
      <c r="LW19" s="214">
        <f t="shared" si="221"/>
        <v>3.6851266360223276E-5</v>
      </c>
      <c r="LX19" s="214">
        <f t="shared" si="222"/>
        <v>3.2263279368188531E-6</v>
      </c>
      <c r="LY19" s="462">
        <f t="shared" si="223"/>
        <v>1.5265431296389318</v>
      </c>
      <c r="LZ19" s="462">
        <f t="shared" si="224"/>
        <v>0.10344335275011378</v>
      </c>
      <c r="MA19" s="462">
        <f t="shared" si="225"/>
        <v>7.4664754644509674</v>
      </c>
      <c r="MB19" s="462">
        <f t="shared" si="226"/>
        <v>0.64040298803866325</v>
      </c>
      <c r="MC19" s="214">
        <f t="shared" si="227"/>
        <v>1.0546287281432443E-5</v>
      </c>
      <c r="MD19" s="214">
        <f t="shared" si="228"/>
        <v>9.2343960716362762E-7</v>
      </c>
      <c r="ME19" s="212">
        <f t="shared" si="229"/>
        <v>1.2370401834640998</v>
      </c>
      <c r="MF19" s="212">
        <f t="shared" si="230"/>
        <v>5.3350929304759674E-2</v>
      </c>
      <c r="MG19" s="462">
        <f t="shared" si="231"/>
        <v>19.065483767654424</v>
      </c>
      <c r="MH19" s="462">
        <f t="shared" si="232"/>
        <v>1.2481408907271978</v>
      </c>
      <c r="MI19" s="214">
        <f t="shared" si="233"/>
        <v>2.6929716695714856E-5</v>
      </c>
      <c r="MJ19" s="214">
        <f t="shared" si="234"/>
        <v>1.8256859745448341E-6</v>
      </c>
    </row>
    <row r="20" spans="1:348" s="13" customFormat="1" ht="24.9" customHeight="1">
      <c r="A20" s="469" t="s">
        <v>840</v>
      </c>
      <c r="B20" s="5" t="s">
        <v>49</v>
      </c>
      <c r="C20" s="5">
        <v>3.8000000000000002E-4</v>
      </c>
      <c r="D20" s="66">
        <f t="shared" ref="D20:D22" si="235">C20*2%</f>
        <v>7.6000000000000009E-6</v>
      </c>
      <c r="E20" s="67">
        <v>44712</v>
      </c>
      <c r="F20" s="5" t="s">
        <v>210</v>
      </c>
      <c r="G20" s="327" t="s">
        <v>901</v>
      </c>
      <c r="H20" s="5">
        <v>2</v>
      </c>
      <c r="I20" s="5"/>
      <c r="J20" s="327">
        <v>44644</v>
      </c>
      <c r="K20" s="67" t="s">
        <v>857</v>
      </c>
      <c r="L20" s="5" t="s">
        <v>858</v>
      </c>
      <c r="M20" s="273" t="s">
        <v>861</v>
      </c>
      <c r="N20" s="5">
        <v>110</v>
      </c>
      <c r="O20" s="368">
        <v>10578.357727000001</v>
      </c>
      <c r="P20" s="368">
        <v>24.004003999999998</v>
      </c>
      <c r="Q20" s="406">
        <v>137.65866299999999</v>
      </c>
      <c r="R20" s="406">
        <v>0.32366200000000001</v>
      </c>
      <c r="S20" s="368">
        <v>7597.6450029999996</v>
      </c>
      <c r="T20" s="368">
        <v>23.040537</v>
      </c>
      <c r="U20" s="406">
        <v>72.113888000000003</v>
      </c>
      <c r="V20" s="406">
        <v>0.235127</v>
      </c>
      <c r="W20" s="368">
        <v>1.629073</v>
      </c>
      <c r="X20" s="368">
        <v>0.12671099999999999</v>
      </c>
      <c r="Y20" s="368">
        <v>24.901516999999998</v>
      </c>
      <c r="Z20" s="68">
        <v>1.5395110000000001</v>
      </c>
      <c r="AA20" s="368">
        <v>0.45235500000000001</v>
      </c>
      <c r="AB20" s="328">
        <v>1.5844E-2</v>
      </c>
      <c r="AC20" s="368">
        <v>0.31867800000000002</v>
      </c>
      <c r="AD20" s="68">
        <v>4.9188000000000003E-2</v>
      </c>
      <c r="AE20" s="368">
        <v>0.165273</v>
      </c>
      <c r="AF20" s="328">
        <v>3.6833999999999999E-2</v>
      </c>
      <c r="AG20" s="368">
        <v>0</v>
      </c>
      <c r="AH20" s="68">
        <v>0</v>
      </c>
      <c r="AI20" s="133">
        <f t="shared" si="1"/>
        <v>10553.45621</v>
      </c>
      <c r="AJ20" s="133">
        <f t="shared" si="2"/>
        <v>24.053322060603957</v>
      </c>
      <c r="AK20" s="133">
        <f t="shared" si="3"/>
        <v>137.20630799999998</v>
      </c>
      <c r="AL20" s="133">
        <f t="shared" si="4"/>
        <v>0.32404956809105612</v>
      </c>
      <c r="AM20" s="133">
        <f t="shared" si="5"/>
        <v>7597.326325</v>
      </c>
      <c r="AN20" s="133">
        <f t="shared" si="6"/>
        <v>23.040589504344567</v>
      </c>
      <c r="AO20" s="133">
        <f t="shared" si="7"/>
        <v>71.948615000000004</v>
      </c>
      <c r="AP20" s="133">
        <f t="shared" si="8"/>
        <v>0.23799464213506991</v>
      </c>
      <c r="AQ20" s="133">
        <f t="shared" si="9"/>
        <v>1.629073</v>
      </c>
      <c r="AR20" s="133">
        <f t="shared" si="10"/>
        <v>0.12671099999999999</v>
      </c>
      <c r="AS20" s="4">
        <v>301.3</v>
      </c>
      <c r="AT20" s="326">
        <v>0.9</v>
      </c>
      <c r="AU20" s="133">
        <f t="shared" si="11"/>
        <v>137.87957076345174</v>
      </c>
      <c r="AV20" s="133">
        <f t="shared" si="12"/>
        <v>0.32406047930155074</v>
      </c>
      <c r="AW20" s="133">
        <f t="shared" si="13"/>
        <v>7671.8855342808783</v>
      </c>
      <c r="AX20" s="133">
        <f t="shared" si="14"/>
        <v>23.041169169737774</v>
      </c>
      <c r="AY20" s="133">
        <f t="shared" si="15"/>
        <v>73.007757048223354</v>
      </c>
      <c r="AZ20" s="133">
        <f t="shared" si="16"/>
        <v>0.23800440167729509</v>
      </c>
      <c r="BA20" s="133">
        <f t="shared" si="17"/>
        <v>1.6610480368866327</v>
      </c>
      <c r="BB20" s="133">
        <f t="shared" si="18"/>
        <v>0.12671252799401303</v>
      </c>
      <c r="BC20" s="6"/>
      <c r="BD20" s="8"/>
      <c r="BE20" s="133">
        <f t="shared" si="19"/>
        <v>279.61535738733824</v>
      </c>
      <c r="BF20" s="133">
        <f t="shared" si="20"/>
        <v>0.91154267060688943</v>
      </c>
      <c r="BG20" s="133">
        <f t="shared" si="21"/>
        <v>137.94577616109689</v>
      </c>
      <c r="BH20" s="133">
        <f t="shared" si="22"/>
        <v>0.32421608286757897</v>
      </c>
      <c r="BI20" s="143">
        <f t="shared" si="23"/>
        <v>10535.52676690463</v>
      </c>
      <c r="BJ20" s="133">
        <f t="shared" si="24"/>
        <v>24.053359111083779</v>
      </c>
      <c r="BK20" s="143">
        <f t="shared" si="25"/>
        <v>137.69024464393229</v>
      </c>
      <c r="BL20" s="133">
        <f t="shared" si="26"/>
        <v>0.32421715304465981</v>
      </c>
      <c r="BM20" s="143">
        <f t="shared" si="27"/>
        <v>7669.7553619733371</v>
      </c>
      <c r="BN20" s="133">
        <f t="shared" si="28"/>
        <v>23.041169713673082</v>
      </c>
      <c r="BO20" s="133">
        <f t="shared" si="29"/>
        <v>1.5635100502184751</v>
      </c>
      <c r="BP20" s="133">
        <f t="shared" si="30"/>
        <v>0.12671292695396646</v>
      </c>
      <c r="BQ20" s="369"/>
      <c r="BR20" s="147">
        <f t="shared" si="31"/>
        <v>0.55395069934913477</v>
      </c>
      <c r="BS20" s="147">
        <f t="shared" si="32"/>
        <v>0.1302585230193006</v>
      </c>
      <c r="BT20" s="143">
        <f t="shared" si="33"/>
        <v>7669.4614219614514</v>
      </c>
      <c r="BU20" s="147">
        <f t="shared" si="34"/>
        <v>2.6308953398169801</v>
      </c>
      <c r="BV20" s="143">
        <f t="shared" si="35"/>
        <v>10371.83433524696</v>
      </c>
      <c r="BW20" s="143">
        <f t="shared" si="36"/>
        <v>45.388891395553571</v>
      </c>
      <c r="BX20" s="3">
        <v>1.37345792704461E-12</v>
      </c>
      <c r="BY20" s="3">
        <v>4.43406379304243E-15</v>
      </c>
      <c r="BZ20" s="157">
        <f t="shared" si="37"/>
        <v>7.6082797921297469E-13</v>
      </c>
      <c r="CA20" s="157">
        <f t="shared" si="38"/>
        <v>1.789214616490368E-13</v>
      </c>
      <c r="CB20" s="157">
        <f t="shared" si="39"/>
        <v>3.8403992912705138E-10</v>
      </c>
      <c r="CC20" s="158">
        <f t="shared" si="40"/>
        <v>1.7619880368696263E-12</v>
      </c>
      <c r="CD20" s="157">
        <f t="shared" si="41"/>
        <v>1.0533682586155782E-8</v>
      </c>
      <c r="CE20" s="157">
        <f t="shared" si="42"/>
        <v>3.4198315786124458E-11</v>
      </c>
      <c r="CF20" s="157">
        <f t="shared" si="43"/>
        <v>1.8911175798292045E-10</v>
      </c>
      <c r="CG20" s="157">
        <f t="shared" si="44"/>
        <v>7.5566823327735944E-13</v>
      </c>
      <c r="CH20" s="157">
        <f t="shared" si="45"/>
        <v>1.4245278085738401E-8</v>
      </c>
      <c r="CI20" s="157">
        <f t="shared" si="46"/>
        <v>7.746783134283846E-11</v>
      </c>
      <c r="CJ20" s="157">
        <f t="shared" si="47"/>
        <v>4.6996075866264884E-13</v>
      </c>
      <c r="CK20" s="157">
        <f t="shared" si="48"/>
        <v>1.5257595391591692E-15</v>
      </c>
      <c r="CL20" s="157">
        <f t="shared" si="49"/>
        <v>6.3555377160621589E-13</v>
      </c>
      <c r="CM20" s="157">
        <f t="shared" si="50"/>
        <v>3.4562310663074119E-15</v>
      </c>
      <c r="CN20" s="66">
        <v>5.1652121644352933E-3</v>
      </c>
      <c r="CO20" s="66">
        <v>1.1007046531671943E-5</v>
      </c>
      <c r="CP20" s="3">
        <v>1.293573740858393E+19</v>
      </c>
      <c r="CQ20" s="3">
        <v>2.9794493559575206E+17</v>
      </c>
      <c r="CR20" s="3">
        <v>9.6007326063788096E+17</v>
      </c>
      <c r="CS20" s="3">
        <v>9539823570021078</v>
      </c>
      <c r="CT20" s="6">
        <v>0.48321021949912618</v>
      </c>
      <c r="CU20" s="6">
        <v>6.6263817731421169E-3</v>
      </c>
      <c r="CV20" s="6">
        <v>23.890630393973385</v>
      </c>
      <c r="CW20" s="6">
        <v>0.35655667620572851</v>
      </c>
      <c r="CX20" s="157">
        <f t="shared" si="51"/>
        <v>6.267422570352552E-8</v>
      </c>
      <c r="CY20" s="157">
        <f t="shared" si="52"/>
        <v>5.8837266766416924E-10</v>
      </c>
      <c r="CZ20" s="157">
        <f t="shared" si="53"/>
        <v>1.4973267615113947E-6</v>
      </c>
      <c r="DA20" s="157">
        <f t="shared" si="54"/>
        <v>2.6400234479742871E-8</v>
      </c>
      <c r="DB20" s="157">
        <f t="shared" si="55"/>
        <v>3.0284826359138344E-8</v>
      </c>
      <c r="DC20" s="157">
        <f t="shared" si="56"/>
        <v>3.2259793200264029E-6</v>
      </c>
      <c r="DD20" s="157">
        <f t="shared" si="57"/>
        <v>1.3462041445611307E-7</v>
      </c>
      <c r="DE20" s="157">
        <f t="shared" si="58"/>
        <v>1.3735091498737196E-9</v>
      </c>
      <c r="DF20" s="143">
        <f t="shared" si="59"/>
        <v>13851.129869814331</v>
      </c>
      <c r="DG20" s="143">
        <f t="shared" si="60"/>
        <v>277.02270151667068</v>
      </c>
      <c r="DH20" s="159">
        <f t="shared" si="61"/>
        <v>1.3851129869814331</v>
      </c>
      <c r="DI20" s="167">
        <f t="shared" si="62"/>
        <v>2.7702270151667069E-2</v>
      </c>
      <c r="DJ20" s="157">
        <f t="shared" si="63"/>
        <v>3.4613848892459149E-7</v>
      </c>
      <c r="DK20" s="157">
        <f t="shared" si="64"/>
        <v>6.2055671111932679E-9</v>
      </c>
      <c r="DL20" s="143">
        <f t="shared" si="65"/>
        <v>32293.810125904056</v>
      </c>
      <c r="DM20" s="143">
        <f t="shared" si="66"/>
        <v>645.87654962379008</v>
      </c>
      <c r="DN20" s="159">
        <f t="shared" si="67"/>
        <v>3.2293810125904057</v>
      </c>
      <c r="DO20" s="167">
        <f t="shared" si="68"/>
        <v>6.4587654962379004E-2</v>
      </c>
      <c r="DP20" s="157">
        <f t="shared" si="69"/>
        <v>5.5190308717882309E-7</v>
      </c>
      <c r="DQ20" s="157">
        <f t="shared" si="70"/>
        <v>9.5152294382816489E-9</v>
      </c>
      <c r="DR20" s="143">
        <f t="shared" si="71"/>
        <v>58211.251931913757</v>
      </c>
      <c r="DS20" s="143">
        <f t="shared" si="72"/>
        <v>1164.2398305677987</v>
      </c>
      <c r="DT20" s="147">
        <f t="shared" si="73"/>
        <v>5.8211251931913761</v>
      </c>
      <c r="DU20" s="147">
        <f t="shared" si="74"/>
        <v>0.11642398305677987</v>
      </c>
      <c r="DV20" s="147">
        <f t="shared" si="75"/>
        <v>0.38892067413352865</v>
      </c>
      <c r="DW20" s="147">
        <f t="shared" si="76"/>
        <v>4.2895041663684186E-3</v>
      </c>
      <c r="DX20" s="147">
        <f t="shared" si="77"/>
        <v>0.24392038671908076</v>
      </c>
      <c r="DY20" s="147">
        <f t="shared" si="78"/>
        <v>2.7859219959817916E-3</v>
      </c>
      <c r="DZ20" s="147">
        <f t="shared" si="79"/>
        <v>0.42890974511254182</v>
      </c>
      <c r="EA20" s="147">
        <f t="shared" si="80"/>
        <v>8.9781985563447842E-3</v>
      </c>
      <c r="EB20" s="147">
        <f t="shared" si="81"/>
        <v>0.23794591956234123</v>
      </c>
      <c r="EC20" s="147">
        <f t="shared" si="82"/>
        <v>5.1589303442851229E-3</v>
      </c>
      <c r="ED20" s="157">
        <f t="shared" si="83"/>
        <v>1.8361256894048421E-6</v>
      </c>
      <c r="EE20" s="157">
        <f t="shared" si="84"/>
        <v>3.439912640152142E-8</v>
      </c>
      <c r="EF20" s="147">
        <f t="shared" si="85"/>
        <v>76.516145309709913</v>
      </c>
      <c r="EG20" s="147">
        <f t="shared" si="86"/>
        <v>0.51635898570315086</v>
      </c>
      <c r="EH20" s="157">
        <f t="shared" si="87"/>
        <v>4.7210801881271101E-6</v>
      </c>
      <c r="EI20" s="157">
        <f t="shared" si="88"/>
        <v>5.4583345981046471E-8</v>
      </c>
      <c r="EJ20" s="143">
        <f t="shared" si="89"/>
        <v>600.18314649151375</v>
      </c>
      <c r="EK20" s="147">
        <f t="shared" si="90"/>
        <v>3.4564649166197681</v>
      </c>
      <c r="EL20" s="147">
        <f t="shared" si="91"/>
        <v>3.6247041594561722</v>
      </c>
      <c r="EM20" s="467">
        <v>3197.6994089999998</v>
      </c>
      <c r="EN20" s="467">
        <v>19.148702</v>
      </c>
      <c r="EO20" s="467">
        <v>919.63099899999997</v>
      </c>
      <c r="EP20" s="467">
        <v>6.1673049999999998</v>
      </c>
      <c r="EQ20" s="7">
        <v>4.9201000000000002E-2</v>
      </c>
      <c r="ER20" s="7">
        <v>7.3049999999999999E-3</v>
      </c>
      <c r="ES20" s="370"/>
      <c r="ET20" s="370"/>
      <c r="EU20" s="7"/>
      <c r="EV20" s="7"/>
      <c r="EW20" s="7"/>
      <c r="EX20" s="7"/>
      <c r="EY20" s="371"/>
      <c r="EZ20" s="371"/>
      <c r="FA20" s="371"/>
      <c r="FB20" s="371"/>
      <c r="FC20" s="147">
        <f t="shared" si="92"/>
        <v>3197.6994089999998</v>
      </c>
      <c r="FD20" s="147">
        <f t="shared" si="93"/>
        <v>19.148702</v>
      </c>
      <c r="FE20" s="147">
        <f t="shared" si="94"/>
        <v>919.63099899999997</v>
      </c>
      <c r="FF20" s="147">
        <f t="shared" si="95"/>
        <v>6.1673049999999998</v>
      </c>
      <c r="FG20" s="147">
        <f t="shared" si="96"/>
        <v>4.9201000000000002E-2</v>
      </c>
      <c r="FH20" s="147">
        <f t="shared" si="97"/>
        <v>7.3049999999999999E-3</v>
      </c>
      <c r="FI20" s="147">
        <f t="shared" si="98"/>
        <v>0</v>
      </c>
      <c r="FJ20" s="147">
        <f t="shared" si="99"/>
        <v>0</v>
      </c>
      <c r="FK20" s="147">
        <f t="shared" si="100"/>
        <v>4.7719890299974782E-2</v>
      </c>
      <c r="FL20" s="147">
        <f t="shared" si="101"/>
        <v>9.9085308206048536E-3</v>
      </c>
      <c r="FM20" s="143">
        <f t="shared" si="102"/>
        <v>3197.6975192923442</v>
      </c>
      <c r="FN20" s="143">
        <f t="shared" si="103"/>
        <v>19.148702004020127</v>
      </c>
      <c r="FO20" s="143">
        <f t="shared" si="104"/>
        <v>919.62135003818128</v>
      </c>
      <c r="FP20" s="143">
        <f t="shared" si="105"/>
        <v>6.1673053254283605</v>
      </c>
      <c r="FQ20" s="147">
        <f t="shared" si="106"/>
        <v>-1.4564110519552306E-2</v>
      </c>
      <c r="FR20" s="147">
        <f t="shared" si="107"/>
        <v>3.0240836064486017E-3</v>
      </c>
      <c r="FS20" s="3">
        <v>1.2557400742552645E-12</v>
      </c>
      <c r="FT20" s="3">
        <v>1.9900354305090524E-14</v>
      </c>
      <c r="FU20" s="6">
        <v>1.04</v>
      </c>
      <c r="FV20" s="6">
        <v>0.01</v>
      </c>
      <c r="FW20" s="157">
        <f t="shared" si="108"/>
        <v>3.8610355003096571E-9</v>
      </c>
      <c r="FX20" s="157">
        <f t="shared" si="109"/>
        <v>7.5211811271123461E-11</v>
      </c>
      <c r="FY20" s="157">
        <f t="shared" si="110"/>
        <v>1.110389790753531E-9</v>
      </c>
      <c r="FZ20" s="157">
        <f t="shared" si="111"/>
        <v>2.1888325855080488E-11</v>
      </c>
      <c r="GA20" s="157">
        <f t="shared" si="112"/>
        <v>5.9923778588743415E-14</v>
      </c>
      <c r="GB20" s="157">
        <f t="shared" si="113"/>
        <v>1.2478726046952498E-14</v>
      </c>
      <c r="GC20" s="157"/>
      <c r="GD20" s="157"/>
      <c r="GE20" s="157">
        <f t="shared" si="114"/>
        <v>1.7226028581246176E-13</v>
      </c>
      <c r="GF20" s="157">
        <f t="shared" si="115"/>
        <v>3.355578603392902E-15</v>
      </c>
      <c r="GG20" s="157">
        <f t="shared" si="116"/>
        <v>4.954009428380092E-14</v>
      </c>
      <c r="GH20" s="157">
        <f t="shared" si="117"/>
        <v>9.7654871836380476E-16</v>
      </c>
      <c r="GI20" s="157">
        <f t="shared" si="118"/>
        <v>2.6735022834759609E-18</v>
      </c>
      <c r="GJ20" s="157">
        <f t="shared" si="119"/>
        <v>5.5673896685471746E-19</v>
      </c>
      <c r="GK20" s="147">
        <f t="shared" si="120"/>
        <v>3.4771893009656432</v>
      </c>
      <c r="GL20" s="147">
        <f t="shared" si="121"/>
        <v>6.8123177074623217E-2</v>
      </c>
      <c r="GM20" s="157">
        <f t="shared" si="122"/>
        <v>1.7129319201728395E-2</v>
      </c>
      <c r="GN20" s="157">
        <f t="shared" si="123"/>
        <v>4.2720983753147588E-4</v>
      </c>
      <c r="GO20" s="168">
        <f t="shared" si="124"/>
        <v>1.2412550146179997</v>
      </c>
      <c r="GP20" s="168">
        <f t="shared" si="125"/>
        <v>7.8333474524428709E-2</v>
      </c>
      <c r="GQ20" s="169">
        <f t="shared" si="126"/>
        <v>26.254625520381808</v>
      </c>
      <c r="GR20" s="169">
        <f t="shared" si="127"/>
        <v>2.2027290597575639</v>
      </c>
      <c r="GS20" s="157">
        <f t="shared" si="128"/>
        <v>3.931175340512771E-5</v>
      </c>
      <c r="GT20" s="157">
        <f t="shared" si="129"/>
        <v>3.3702498629769777E-6</v>
      </c>
      <c r="GU20" s="157">
        <f t="shared" si="130"/>
        <v>2.142812982429795E-2</v>
      </c>
      <c r="GV20" s="157">
        <f t="shared" si="131"/>
        <v>5.9528247366395423E-4</v>
      </c>
      <c r="GW20" s="168">
        <f t="shared" si="132"/>
        <v>1.5527630307462283</v>
      </c>
      <c r="GX20" s="168">
        <f t="shared" si="133"/>
        <v>9.981730745104464E-2</v>
      </c>
      <c r="GY20" s="169">
        <f t="shared" si="134"/>
        <v>7.5505309742816396</v>
      </c>
      <c r="GZ20" s="169">
        <f t="shared" si="135"/>
        <v>0.63388981898818597</v>
      </c>
      <c r="HA20" s="157">
        <f t="shared" si="136"/>
        <v>1.1305612091412604E-5</v>
      </c>
      <c r="HB20" s="157">
        <f t="shared" si="137"/>
        <v>9.6984630554388807E-7</v>
      </c>
      <c r="HC20" s="6">
        <v>1.1100000000000001</v>
      </c>
      <c r="HD20" s="6">
        <v>0.04</v>
      </c>
      <c r="HE20" s="143">
        <f t="shared" si="138"/>
        <v>498.35223593389111</v>
      </c>
      <c r="HF20" s="143">
        <f t="shared" si="139"/>
        <v>25.564777234275038</v>
      </c>
      <c r="HG20" s="6">
        <v>1.19</v>
      </c>
      <c r="HH20" s="6">
        <v>0.04</v>
      </c>
      <c r="HI20" s="143">
        <f t="shared" si="140"/>
        <v>581.50920663789884</v>
      </c>
      <c r="HJ20" s="143">
        <f t="shared" si="141"/>
        <v>29.722744063293007</v>
      </c>
      <c r="HK20" s="6">
        <v>5.2610919999999997</v>
      </c>
      <c r="HL20" s="6">
        <v>4.5717000000000001E-2</v>
      </c>
      <c r="HM20" s="6">
        <v>9.8700000000000003E-3</v>
      </c>
      <c r="HN20" s="6">
        <v>1.3630000000000001E-3</v>
      </c>
      <c r="HO20" s="6">
        <v>3.9500000000000001E-4</v>
      </c>
      <c r="HP20" s="6">
        <v>3.6999999999999999E-4</v>
      </c>
      <c r="HQ20" s="6">
        <v>0.81840000000000002</v>
      </c>
      <c r="HR20" s="6">
        <v>4.0000000000000001E-3</v>
      </c>
      <c r="HS20" s="6">
        <v>1.0370000000000001E-2</v>
      </c>
      <c r="HT20" s="6">
        <v>6.78E-4</v>
      </c>
      <c r="HU20" s="6">
        <v>1.2142999999999999E-2</v>
      </c>
      <c r="HV20" s="6">
        <v>6.8800000000000003E-4</v>
      </c>
      <c r="HW20" s="6">
        <v>1.6066E-2</v>
      </c>
      <c r="HX20" s="6">
        <v>4.2200000000000001E-4</v>
      </c>
      <c r="HY20" s="6">
        <v>4.9699999999999996E-3</v>
      </c>
      <c r="HZ20" s="6">
        <v>1.0330000000000001E-3</v>
      </c>
      <c r="IA20" s="6">
        <v>6.8099999999999996E-4</v>
      </c>
      <c r="IB20" s="6">
        <v>2.02E-4</v>
      </c>
      <c r="IC20" s="6">
        <v>3.48E-4</v>
      </c>
      <c r="ID20" s="6">
        <v>2.33E-4</v>
      </c>
      <c r="IE20" s="6">
        <v>5.2999999999999998E-4</v>
      </c>
      <c r="IF20" s="6">
        <v>3.3199999999999999E-4</v>
      </c>
      <c r="IG20" s="6">
        <v>5.53E-4</v>
      </c>
      <c r="IH20" s="6">
        <v>2.7500000000000002E-4</v>
      </c>
      <c r="II20" s="6">
        <v>3.1599999999999998E-4</v>
      </c>
      <c r="IJ20" s="6">
        <v>2.7799999999999998E-4</v>
      </c>
      <c r="IK20" s="6">
        <v>5.1900000000000004E-4</v>
      </c>
      <c r="IL20" s="6">
        <v>2.13E-4</v>
      </c>
      <c r="IM20" s="167">
        <f t="shared" si="142"/>
        <v>5.2561219999999995</v>
      </c>
      <c r="IN20" s="167">
        <f t="shared" si="143"/>
        <v>4.5728669103747163E-2</v>
      </c>
      <c r="IO20" s="167">
        <f t="shared" si="144"/>
        <v>9.189000000000001E-3</v>
      </c>
      <c r="IP20" s="167">
        <f t="shared" si="145"/>
        <v>1.3778871506767165E-3</v>
      </c>
      <c r="IQ20" s="167">
        <f t="shared" si="146"/>
        <v>4.7000000000000004E-5</v>
      </c>
      <c r="IR20" s="167">
        <f t="shared" si="147"/>
        <v>4.3725164379336529E-4</v>
      </c>
      <c r="IS20" s="167">
        <f t="shared" si="148"/>
        <v>0.81786999999999999</v>
      </c>
      <c r="IT20" s="167">
        <f t="shared" si="149"/>
        <v>4.0137543522243612E-3</v>
      </c>
      <c r="IU20" s="167">
        <f t="shared" si="150"/>
        <v>9.8170000000000011E-3</v>
      </c>
      <c r="IV20" s="167">
        <f t="shared" si="151"/>
        <v>7.3164813947689368E-4</v>
      </c>
      <c r="IW20" s="167">
        <f t="shared" si="152"/>
        <v>1.1826999999999999E-2</v>
      </c>
      <c r="IX20" s="167">
        <f t="shared" si="153"/>
        <v>7.4204312543139971E-4</v>
      </c>
      <c r="IY20" s="167">
        <f t="shared" si="154"/>
        <v>1.5547E-2</v>
      </c>
      <c r="IZ20" s="167">
        <f t="shared" si="155"/>
        <v>4.7270815520784074E-4</v>
      </c>
      <c r="JA20" s="167">
        <f t="shared" si="156"/>
        <v>5.2560998348744947</v>
      </c>
      <c r="JB20" s="167">
        <f t="shared" si="157"/>
        <v>4.57291340329333E-2</v>
      </c>
      <c r="JC20" s="167">
        <f t="shared" si="158"/>
        <v>8.883841479534001E-3</v>
      </c>
      <c r="JD20" s="167">
        <f t="shared" si="159"/>
        <v>3.1556711172007518E-3</v>
      </c>
      <c r="JE20" s="167">
        <f t="shared" si="160"/>
        <v>0.81762506605020202</v>
      </c>
      <c r="JF20" s="167">
        <f t="shared" si="161"/>
        <v>4.6154727092095156E-3</v>
      </c>
      <c r="JG20" s="167">
        <f t="shared" si="162"/>
        <v>9.5065640686950014E-3</v>
      </c>
      <c r="JH20" s="167">
        <f t="shared" si="163"/>
        <v>2.979291046322368E-3</v>
      </c>
      <c r="JI20" s="167">
        <f t="shared" si="164"/>
        <v>1.1706023117566E-2</v>
      </c>
      <c r="JJ20" s="167">
        <f t="shared" si="165"/>
        <v>1.3480811280446978E-3</v>
      </c>
      <c r="JK20" s="167">
        <f t="shared" si="166"/>
        <v>1.5444742404231E-2</v>
      </c>
      <c r="JL20" s="167">
        <f t="shared" si="167"/>
        <v>1.0622962591359346E-3</v>
      </c>
      <c r="JM20" s="3">
        <v>1.0578061216037453E-12</v>
      </c>
      <c r="JN20" s="3">
        <v>3.8197537541218414E-14</v>
      </c>
      <c r="JO20" s="7">
        <v>1</v>
      </c>
      <c r="JP20" s="7">
        <v>0</v>
      </c>
      <c r="JQ20" s="157">
        <f t="shared" si="168"/>
        <v>5.5599345810906754E-12</v>
      </c>
      <c r="JR20" s="157">
        <f t="shared" si="169"/>
        <v>2.0651519477629132E-13</v>
      </c>
      <c r="JS20" s="157">
        <f t="shared" si="170"/>
        <v>2.4805675056871583E-16</v>
      </c>
      <c r="JT20" s="157">
        <f t="shared" si="171"/>
        <v>9.2136854163252564E-18</v>
      </c>
      <c r="JU20" s="6">
        <v>1.35</v>
      </c>
      <c r="JV20" s="6">
        <v>6.4000000000000001E-2</v>
      </c>
      <c r="JW20" s="157">
        <f t="shared" si="172"/>
        <v>2.453112837104223E-12</v>
      </c>
      <c r="JX20" s="157">
        <f t="shared" si="173"/>
        <v>1.5897552017777042E-13</v>
      </c>
      <c r="JY20" s="143">
        <f t="shared" si="174"/>
        <v>819.23962641129697</v>
      </c>
      <c r="JZ20" s="143">
        <f t="shared" si="175"/>
        <v>53.111339211578915</v>
      </c>
      <c r="KA20" s="147">
        <f t="shared" si="176"/>
        <v>0.81336918445127959</v>
      </c>
      <c r="KB20" s="147">
        <f t="shared" si="177"/>
        <v>4.6446566608142666E-3</v>
      </c>
      <c r="KC20" s="157">
        <f t="shared" si="178"/>
        <v>8.6038690243640946E-13</v>
      </c>
      <c r="KD20" s="157">
        <f t="shared" si="179"/>
        <v>3.1454779019041044E-14</v>
      </c>
      <c r="KE20" s="157">
        <f t="shared" si="180"/>
        <v>3.83862033154339E-17</v>
      </c>
      <c r="KF20" s="157">
        <f t="shared" si="181"/>
        <v>1.4033564892721531E-18</v>
      </c>
      <c r="KG20" s="118">
        <v>1.24</v>
      </c>
      <c r="KH20" s="118">
        <v>0.06</v>
      </c>
      <c r="KI20" s="157">
        <f t="shared" si="182"/>
        <v>2.914599762816829E-10</v>
      </c>
      <c r="KJ20" s="157">
        <f t="shared" si="183"/>
        <v>2.2871254614259067E-11</v>
      </c>
      <c r="KK20" s="143">
        <f t="shared" si="184"/>
        <v>105.32980042851227</v>
      </c>
      <c r="KL20" s="143">
        <f t="shared" si="185"/>
        <v>6.8459639589635728</v>
      </c>
      <c r="KM20" s="157">
        <f t="shared" si="186"/>
        <v>1.2382702913396274E-14</v>
      </c>
      <c r="KN20" s="157">
        <f t="shared" si="187"/>
        <v>1.4944682866173835E-15</v>
      </c>
      <c r="KO20" s="157">
        <f t="shared" si="188"/>
        <v>5.5245489009913883E-19</v>
      </c>
      <c r="KP20" s="157">
        <f t="shared" si="189"/>
        <v>6.6675774976090375E-20</v>
      </c>
      <c r="KQ20" s="157">
        <f t="shared" si="190"/>
        <v>1.2623202180416508E-13</v>
      </c>
      <c r="KR20" s="157">
        <f t="shared" si="191"/>
        <v>1.5509893195351304E-14</v>
      </c>
      <c r="KS20" s="143">
        <f t="shared" si="192"/>
        <v>79.07071199247801</v>
      </c>
      <c r="KT20" s="143">
        <f t="shared" si="193"/>
        <v>9.8431377705086334</v>
      </c>
      <c r="KU20" s="157">
        <f t="shared" si="194"/>
        <v>3.4247228535232804E-5</v>
      </c>
      <c r="KV20" s="157">
        <f t="shared" si="195"/>
        <v>1.3874873171789871E-6</v>
      </c>
      <c r="KW20" s="168">
        <f t="shared" si="196"/>
        <v>1.3222868160321546</v>
      </c>
      <c r="KX20" s="168">
        <f t="shared" si="197"/>
        <v>5.7331316108428988E-2</v>
      </c>
      <c r="KY20" s="169">
        <f t="shared" si="198"/>
        <v>20.379320061090084</v>
      </c>
      <c r="KZ20" s="169">
        <f t="shared" si="199"/>
        <v>1.5017508816715617</v>
      </c>
      <c r="LA20" s="157">
        <f t="shared" si="200"/>
        <v>3.0514501308876212E-5</v>
      </c>
      <c r="LB20" s="157">
        <f t="shared" si="201"/>
        <v>2.3120811438427365E-6</v>
      </c>
      <c r="LC20" s="10"/>
      <c r="LD20" s="214" t="str">
        <f t="shared" si="202"/>
        <v>BB1</v>
      </c>
      <c r="LE20" s="214" t="str">
        <f t="shared" si="203"/>
        <v>Mn2022a</v>
      </c>
      <c r="LF20" s="211">
        <f t="shared" si="204"/>
        <v>2</v>
      </c>
      <c r="LG20" s="211">
        <f t="shared" si="205"/>
        <v>13851.129869814331</v>
      </c>
      <c r="LH20" s="211">
        <f t="shared" si="206"/>
        <v>277.02270151667068</v>
      </c>
      <c r="LI20" s="211">
        <f t="shared" si="207"/>
        <v>32293.810125904056</v>
      </c>
      <c r="LJ20" s="211">
        <f t="shared" si="208"/>
        <v>645.87654962379008</v>
      </c>
      <c r="LK20" s="211">
        <f t="shared" si="209"/>
        <v>58211.251931913757</v>
      </c>
      <c r="LL20" s="211">
        <f t="shared" si="210"/>
        <v>1164.2398305677987</v>
      </c>
      <c r="LM20" s="211">
        <f t="shared" si="211"/>
        <v>498.35223593389111</v>
      </c>
      <c r="LN20" s="211">
        <f t="shared" si="212"/>
        <v>25.564777234275038</v>
      </c>
      <c r="LO20" s="211">
        <f t="shared" si="213"/>
        <v>581.50920663789884</v>
      </c>
      <c r="LP20" s="211">
        <f t="shared" si="214"/>
        <v>29.722744063293007</v>
      </c>
      <c r="LQ20" s="211">
        <f t="shared" si="215"/>
        <v>819.23962641129697</v>
      </c>
      <c r="LR20" s="211">
        <f t="shared" si="216"/>
        <v>53.111339211578915</v>
      </c>
      <c r="LS20" s="212">
        <f t="shared" si="217"/>
        <v>1.2412550146179997</v>
      </c>
      <c r="LT20" s="212">
        <f t="shared" si="218"/>
        <v>7.8333474524428709E-2</v>
      </c>
      <c r="LU20" s="459">
        <f t="shared" si="219"/>
        <v>26.254625520381808</v>
      </c>
      <c r="LV20" s="459">
        <f t="shared" si="220"/>
        <v>2.2027290597575639</v>
      </c>
      <c r="LW20" s="214">
        <f t="shared" si="221"/>
        <v>3.931175340512771E-5</v>
      </c>
      <c r="LX20" s="214">
        <f t="shared" si="222"/>
        <v>3.3702498629769777E-6</v>
      </c>
      <c r="LY20" s="462">
        <f t="shared" si="223"/>
        <v>1.5527630307462283</v>
      </c>
      <c r="LZ20" s="462">
        <f t="shared" si="224"/>
        <v>9.981730745104464E-2</v>
      </c>
      <c r="MA20" s="462">
        <f t="shared" si="225"/>
        <v>7.5505309742816396</v>
      </c>
      <c r="MB20" s="462">
        <f t="shared" si="226"/>
        <v>0.63388981898818597</v>
      </c>
      <c r="MC20" s="214">
        <f t="shared" si="227"/>
        <v>1.1305612091412604E-5</v>
      </c>
      <c r="MD20" s="214">
        <f t="shared" si="228"/>
        <v>9.6984630554388807E-7</v>
      </c>
      <c r="ME20" s="212">
        <f t="shared" si="229"/>
        <v>1.3222868160321546</v>
      </c>
      <c r="MF20" s="212">
        <f t="shared" si="230"/>
        <v>5.7331316108428988E-2</v>
      </c>
      <c r="MG20" s="462">
        <f t="shared" si="231"/>
        <v>20.379320061090084</v>
      </c>
      <c r="MH20" s="462">
        <f t="shared" si="232"/>
        <v>1.5017508816715617</v>
      </c>
      <c r="MI20" s="214">
        <f t="shared" si="233"/>
        <v>3.0514501308876212E-5</v>
      </c>
      <c r="MJ20" s="214">
        <f t="shared" si="234"/>
        <v>2.3120811438427365E-6</v>
      </c>
    </row>
    <row r="21" spans="1:348" s="13" customFormat="1" ht="24.9" customHeight="1">
      <c r="A21" s="469" t="s">
        <v>871</v>
      </c>
      <c r="B21" s="5" t="s">
        <v>49</v>
      </c>
      <c r="C21" s="5">
        <v>3.4000000000000002E-4</v>
      </c>
      <c r="D21" s="66">
        <f t="shared" si="235"/>
        <v>6.800000000000001E-6</v>
      </c>
      <c r="E21" s="67">
        <v>44712</v>
      </c>
      <c r="F21" s="5" t="s">
        <v>210</v>
      </c>
      <c r="G21" s="327" t="s">
        <v>901</v>
      </c>
      <c r="H21" s="5">
        <v>3</v>
      </c>
      <c r="I21" s="5"/>
      <c r="J21" s="327">
        <v>44644</v>
      </c>
      <c r="K21" s="67" t="s">
        <v>857</v>
      </c>
      <c r="L21" s="5" t="s">
        <v>858</v>
      </c>
      <c r="M21" s="273" t="s">
        <v>861</v>
      </c>
      <c r="N21" s="5">
        <v>110</v>
      </c>
      <c r="O21" s="368">
        <v>7535.7600540000003</v>
      </c>
      <c r="P21" s="368">
        <v>15.820872</v>
      </c>
      <c r="Q21" s="406">
        <v>102.44189299999999</v>
      </c>
      <c r="R21" s="406">
        <v>0.285607</v>
      </c>
      <c r="S21" s="368">
        <v>5275.5233079999998</v>
      </c>
      <c r="T21" s="368">
        <v>15.540789</v>
      </c>
      <c r="U21" s="406">
        <v>52.053986999999999</v>
      </c>
      <c r="V21" s="406">
        <v>0.15586700000000001</v>
      </c>
      <c r="W21" s="368">
        <v>1.207749</v>
      </c>
      <c r="X21" s="368">
        <v>8.8914000000000007E-2</v>
      </c>
      <c r="Y21" s="368">
        <v>14.810091999999999</v>
      </c>
      <c r="Z21" s="68">
        <v>1.4148940000000001</v>
      </c>
      <c r="AA21" s="368">
        <v>0.40232899999999999</v>
      </c>
      <c r="AB21" s="328">
        <v>5.9279999999999999E-2</v>
      </c>
      <c r="AC21" s="368">
        <v>0.75570700000000002</v>
      </c>
      <c r="AD21" s="68">
        <v>0.140316</v>
      </c>
      <c r="AE21" s="368">
        <v>0.119174</v>
      </c>
      <c r="AF21" s="328">
        <v>7.1630000000000001E-3</v>
      </c>
      <c r="AG21" s="368">
        <v>0</v>
      </c>
      <c r="AH21" s="68">
        <v>0</v>
      </c>
      <c r="AI21" s="133">
        <f t="shared" si="1"/>
        <v>7520.9499620000006</v>
      </c>
      <c r="AJ21" s="133">
        <f t="shared" si="2"/>
        <v>15.884014475932084</v>
      </c>
      <c r="AK21" s="133">
        <f t="shared" si="3"/>
        <v>102.039564</v>
      </c>
      <c r="AL21" s="133">
        <f t="shared" si="4"/>
        <v>0.29169414949395195</v>
      </c>
      <c r="AM21" s="133">
        <f t="shared" si="5"/>
        <v>5274.7676009999996</v>
      </c>
      <c r="AN21" s="133">
        <f t="shared" si="6"/>
        <v>15.541422435619495</v>
      </c>
      <c r="AO21" s="133">
        <f t="shared" si="7"/>
        <v>51.934812999999998</v>
      </c>
      <c r="AP21" s="133">
        <f t="shared" si="8"/>
        <v>0.15603150405607197</v>
      </c>
      <c r="AQ21" s="133">
        <f t="shared" si="9"/>
        <v>1.207749</v>
      </c>
      <c r="AR21" s="133">
        <f t="shared" si="10"/>
        <v>8.8914000000000007E-2</v>
      </c>
      <c r="AS21" s="4">
        <v>301.3</v>
      </c>
      <c r="AT21" s="326">
        <v>0.9</v>
      </c>
      <c r="AU21" s="133">
        <f t="shared" si="11"/>
        <v>102.54026575228426</v>
      </c>
      <c r="AV21" s="133">
        <f t="shared" si="12"/>
        <v>0.29170196835357282</v>
      </c>
      <c r="AW21" s="133">
        <f t="shared" si="13"/>
        <v>5326.5335097746183</v>
      </c>
      <c r="AX21" s="133">
        <f t="shared" si="14"/>
        <v>15.541825560259236</v>
      </c>
      <c r="AY21" s="133">
        <f t="shared" si="15"/>
        <v>52.699335627918778</v>
      </c>
      <c r="AZ21" s="133">
        <f t="shared" si="16"/>
        <v>0.15603855167852415</v>
      </c>
      <c r="BA21" s="133">
        <f t="shared" si="17"/>
        <v>1.2314543949238577</v>
      </c>
      <c r="BB21" s="133">
        <f t="shared" si="18"/>
        <v>8.8915072410301679E-2</v>
      </c>
      <c r="BC21" s="6"/>
      <c r="BD21" s="8"/>
      <c r="BE21" s="133">
        <f t="shared" si="19"/>
        <v>201.83531396455064</v>
      </c>
      <c r="BF21" s="133">
        <f t="shared" si="20"/>
        <v>0.5976183512249803</v>
      </c>
      <c r="BG21" s="133">
        <f t="shared" si="21"/>
        <v>102.58950233629143</v>
      </c>
      <c r="BH21" s="133">
        <f t="shared" si="22"/>
        <v>0.29184203438874962</v>
      </c>
      <c r="BI21" s="143">
        <f t="shared" si="23"/>
        <v>7507.615207976889</v>
      </c>
      <c r="BJ21" s="133">
        <f t="shared" si="24"/>
        <v>15.884059936365814</v>
      </c>
      <c r="BK21" s="143">
        <f t="shared" si="25"/>
        <v>102.40505150899546</v>
      </c>
      <c r="BL21" s="133">
        <f t="shared" si="26"/>
        <v>0.29184254540714727</v>
      </c>
      <c r="BM21" s="143">
        <f t="shared" si="27"/>
        <v>5324.9493125414538</v>
      </c>
      <c r="BN21" s="133">
        <f t="shared" si="28"/>
        <v>15.541826213654989</v>
      </c>
      <c r="BO21" s="133">
        <f t="shared" si="29"/>
        <v>1.1610483544739163</v>
      </c>
      <c r="BP21" s="133">
        <f t="shared" si="30"/>
        <v>8.891531679128252E-2</v>
      </c>
      <c r="BQ21" s="369"/>
      <c r="BR21" s="147">
        <f t="shared" si="31"/>
        <v>0.46013446862807683</v>
      </c>
      <c r="BS21" s="147">
        <f t="shared" si="32"/>
        <v>9.0055822582201434E-2</v>
      </c>
      <c r="BT21" s="143">
        <f t="shared" si="33"/>
        <v>5324.7310353598868</v>
      </c>
      <c r="BU21" s="147">
        <f t="shared" si="34"/>
        <v>1.2452505854991465</v>
      </c>
      <c r="BV21" s="143">
        <f t="shared" si="35"/>
        <v>7371.6454724972918</v>
      </c>
      <c r="BW21" s="143">
        <f t="shared" si="36"/>
        <v>30.991532015955858</v>
      </c>
      <c r="BX21" s="3">
        <v>1.37345792704461E-12</v>
      </c>
      <c r="BY21" s="3">
        <v>4.43406379304243E-15</v>
      </c>
      <c r="BZ21" s="157">
        <f t="shared" si="37"/>
        <v>6.319753334436916E-13</v>
      </c>
      <c r="CA21" s="157">
        <f t="shared" si="38"/>
        <v>1.2370470962798924E-13</v>
      </c>
      <c r="CB21" s="157">
        <f t="shared" si="39"/>
        <v>2.7721231192214975E-10</v>
      </c>
      <c r="CC21" s="158">
        <f t="shared" si="40"/>
        <v>1.2143538739575379E-12</v>
      </c>
      <c r="CD21" s="157">
        <f t="shared" si="41"/>
        <v>7.31329404989549E-9</v>
      </c>
      <c r="CE21" s="157">
        <f t="shared" si="42"/>
        <v>2.3672062232874279E-11</v>
      </c>
      <c r="CF21" s="157">
        <f t="shared" si="43"/>
        <v>1.4064902976444142E-10</v>
      </c>
      <c r="CG21" s="157">
        <f t="shared" si="44"/>
        <v>6.056793770916902E-13</v>
      </c>
      <c r="CH21" s="157">
        <f t="shared" si="45"/>
        <v>1.0124644909563916E-8</v>
      </c>
      <c r="CI21" s="157">
        <f t="shared" si="46"/>
        <v>5.3667723860210973E-11</v>
      </c>
      <c r="CJ21" s="157">
        <f t="shared" si="47"/>
        <v>3.2628296817383245E-13</v>
      </c>
      <c r="CK21" s="157">
        <f t="shared" si="48"/>
        <v>1.0561302197664507E-15</v>
      </c>
      <c r="CL21" s="157">
        <f t="shared" si="49"/>
        <v>4.5171152291432974E-13</v>
      </c>
      <c r="CM21" s="157">
        <f t="shared" si="50"/>
        <v>2.3943881131536582E-15</v>
      </c>
      <c r="CN21" s="66">
        <v>5.3121668012560807E-3</v>
      </c>
      <c r="CO21" s="66">
        <v>9.7648362394268647E-6</v>
      </c>
      <c r="CP21" s="3">
        <v>1.2866590220152021E+19</v>
      </c>
      <c r="CQ21" s="3">
        <v>2.9592070556887174E+17</v>
      </c>
      <c r="CR21" s="3">
        <v>9.873881535884233E+17</v>
      </c>
      <c r="CS21" s="3">
        <v>9753327342786306</v>
      </c>
      <c r="CT21" s="6">
        <v>0.47009954833574208</v>
      </c>
      <c r="CU21" s="6">
        <v>6.4440112340063416E-3</v>
      </c>
      <c r="CV21" s="6">
        <v>23.105552080233398</v>
      </c>
      <c r="CW21" s="6">
        <v>0.34454400469054064</v>
      </c>
      <c r="CX21" s="157">
        <f t="shared" si="51"/>
        <v>6.4457360216315196E-8</v>
      </c>
      <c r="CY21" s="157">
        <f t="shared" si="52"/>
        <v>6.0110939251835631E-10</v>
      </c>
      <c r="CZ21" s="157">
        <f t="shared" si="53"/>
        <v>1.4893228934324351E-6</v>
      </c>
      <c r="DA21" s="157">
        <f t="shared" si="54"/>
        <v>2.6193820447436907E-8</v>
      </c>
      <c r="DB21" s="157">
        <f t="shared" si="55"/>
        <v>3.0301375924604004E-8</v>
      </c>
      <c r="DC21" s="157">
        <f t="shared" si="56"/>
        <v>3.2492367334308796E-6</v>
      </c>
      <c r="DD21" s="157">
        <f t="shared" si="57"/>
        <v>9.7352160446025522E-8</v>
      </c>
      <c r="DE21" s="157">
        <f t="shared" si="58"/>
        <v>9.9999613137270973E-10</v>
      </c>
      <c r="DF21" s="143">
        <f t="shared" si="59"/>
        <v>11195.011690490704</v>
      </c>
      <c r="DG21" s="143">
        <f t="shared" si="60"/>
        <v>223.90033934099625</v>
      </c>
      <c r="DH21" s="159">
        <f t="shared" si="61"/>
        <v>1.1195011690490704</v>
      </c>
      <c r="DI21" s="167">
        <f t="shared" si="62"/>
        <v>2.2390033934099624E-2</v>
      </c>
      <c r="DJ21" s="157">
        <f t="shared" si="63"/>
        <v>2.4160750633028383E-7</v>
      </c>
      <c r="DK21" s="157">
        <f t="shared" si="64"/>
        <v>4.3206946151030736E-9</v>
      </c>
      <c r="DL21" s="143">
        <f t="shared" si="65"/>
        <v>25193.267417433977</v>
      </c>
      <c r="DM21" s="143">
        <f t="shared" si="66"/>
        <v>503.86568819817956</v>
      </c>
      <c r="DN21" s="159">
        <f t="shared" si="67"/>
        <v>2.5193267417433978</v>
      </c>
      <c r="DO21" s="167">
        <f t="shared" si="68"/>
        <v>5.0386568819817956E-2</v>
      </c>
      <c r="DP21" s="157">
        <f t="shared" si="69"/>
        <v>3.9816372969238812E-7</v>
      </c>
      <c r="DQ21" s="157">
        <f t="shared" si="70"/>
        <v>6.8279065937565805E-9</v>
      </c>
      <c r="DR21" s="143">
        <f t="shared" si="71"/>
        <v>46936.477311973278</v>
      </c>
      <c r="DS21" s="143">
        <f t="shared" si="72"/>
        <v>938.74152756069441</v>
      </c>
      <c r="DT21" s="147">
        <f t="shared" si="73"/>
        <v>4.6936477311973279</v>
      </c>
      <c r="DU21" s="147">
        <f t="shared" si="74"/>
        <v>9.3874152756069446E-2</v>
      </c>
      <c r="DV21" s="147">
        <f t="shared" si="75"/>
        <v>0.40293516507282084</v>
      </c>
      <c r="DW21" s="147">
        <f t="shared" si="76"/>
        <v>4.4587340134518982E-3</v>
      </c>
      <c r="DX21" s="147">
        <f t="shared" si="77"/>
        <v>0.24450283435218345</v>
      </c>
      <c r="DY21" s="147">
        <f t="shared" si="78"/>
        <v>2.8055905989313231E-3</v>
      </c>
      <c r="DZ21" s="147">
        <f t="shared" si="79"/>
        <v>0.44436521492022313</v>
      </c>
      <c r="EA21" s="147">
        <f t="shared" si="80"/>
        <v>9.2873090268569009E-3</v>
      </c>
      <c r="EB21" s="147">
        <f t="shared" si="81"/>
        <v>0.2385141010067858</v>
      </c>
      <c r="EC21" s="147">
        <f t="shared" si="82"/>
        <v>5.1702944792532991E-3</v>
      </c>
      <c r="ED21" s="157">
        <f t="shared" si="83"/>
        <v>1.8696088121402494E-6</v>
      </c>
      <c r="EE21" s="157">
        <f t="shared" si="84"/>
        <v>3.4872249683431848E-8</v>
      </c>
      <c r="EF21" s="147">
        <f t="shared" si="85"/>
        <v>73.312938154397642</v>
      </c>
      <c r="EG21" s="147">
        <f t="shared" si="86"/>
        <v>0.50068931584457832</v>
      </c>
      <c r="EH21" s="157">
        <f t="shared" si="87"/>
        <v>4.6399743040604625E-6</v>
      </c>
      <c r="EI21" s="157">
        <f t="shared" si="88"/>
        <v>5.3633429489096692E-8</v>
      </c>
      <c r="EJ21" s="143">
        <f t="shared" si="89"/>
        <v>592.71315804796234</v>
      </c>
      <c r="EK21" s="147">
        <f t="shared" si="90"/>
        <v>3.4612465341688132</v>
      </c>
      <c r="EL21" s="147">
        <f t="shared" si="91"/>
        <v>3.5844302987395702</v>
      </c>
      <c r="EM21" s="467">
        <v>2256.479812</v>
      </c>
      <c r="EN21" s="467">
        <v>12.978243000000001</v>
      </c>
      <c r="EO21" s="467">
        <v>650.75709700000004</v>
      </c>
      <c r="EP21" s="467">
        <v>4.2210869999999998</v>
      </c>
      <c r="EQ21" s="7">
        <v>2.9145000000000001E-2</v>
      </c>
      <c r="ER21" s="7">
        <v>3.7910000000000001E-3</v>
      </c>
      <c r="ES21" s="370"/>
      <c r="ET21" s="370"/>
      <c r="EU21" s="7"/>
      <c r="EV21" s="7"/>
      <c r="EW21" s="7"/>
      <c r="EX21" s="7"/>
      <c r="EY21" s="371"/>
      <c r="EZ21" s="371"/>
      <c r="FA21" s="371"/>
      <c r="FB21" s="371"/>
      <c r="FC21" s="147">
        <f t="shared" si="92"/>
        <v>2256.479812</v>
      </c>
      <c r="FD21" s="147">
        <f t="shared" si="93"/>
        <v>12.978243000000001</v>
      </c>
      <c r="FE21" s="147">
        <f t="shared" si="94"/>
        <v>650.75709700000004</v>
      </c>
      <c r="FF21" s="147">
        <f t="shared" si="95"/>
        <v>4.2210869999999998</v>
      </c>
      <c r="FG21" s="147">
        <f t="shared" si="96"/>
        <v>2.9145000000000001E-2</v>
      </c>
      <c r="FH21" s="147">
        <f t="shared" si="97"/>
        <v>3.7910000000000001E-3</v>
      </c>
      <c r="FI21" s="147">
        <f t="shared" si="98"/>
        <v>0</v>
      </c>
      <c r="FJ21" s="147">
        <f t="shared" si="99"/>
        <v>0</v>
      </c>
      <c r="FK21" s="147">
        <f t="shared" si="100"/>
        <v>2.8484266196118425E-2</v>
      </c>
      <c r="FL21" s="147">
        <f t="shared" si="101"/>
        <v>9.5207303991863591E-3</v>
      </c>
      <c r="FM21" s="143">
        <f t="shared" si="102"/>
        <v>2256.4786840230586</v>
      </c>
      <c r="FN21" s="143">
        <f t="shared" si="103"/>
        <v>12.978243005476273</v>
      </c>
      <c r="FO21" s="143">
        <f t="shared" si="104"/>
        <v>650.75133748137523</v>
      </c>
      <c r="FP21" s="143">
        <f t="shared" si="105"/>
        <v>4.2210874389838224</v>
      </c>
      <c r="FQ21" s="147">
        <f t="shared" si="106"/>
        <v>-8.6933980430553438E-3</v>
      </c>
      <c r="FR21" s="147">
        <f t="shared" si="107"/>
        <v>2.9057269178316769E-3</v>
      </c>
      <c r="FS21" s="3">
        <v>1.2557400742552645E-12</v>
      </c>
      <c r="FT21" s="3">
        <v>1.9900354305090524E-14</v>
      </c>
      <c r="FU21" s="6">
        <v>1.04</v>
      </c>
      <c r="FV21" s="6">
        <v>0.01</v>
      </c>
      <c r="FW21" s="157">
        <f t="shared" si="108"/>
        <v>2.7245679906062855E-9</v>
      </c>
      <c r="FX21" s="157">
        <f t="shared" si="109"/>
        <v>5.287905048687046E-11</v>
      </c>
      <c r="FY21" s="157">
        <f t="shared" si="110"/>
        <v>7.8574474312555265E-10</v>
      </c>
      <c r="FZ21" s="157">
        <f t="shared" si="111"/>
        <v>1.5430908078020615E-11</v>
      </c>
      <c r="GA21" s="157">
        <f t="shared" si="112"/>
        <v>3.5768834548220474E-14</v>
      </c>
      <c r="GB21" s="157">
        <f t="shared" si="113"/>
        <v>1.1968993063149276E-14</v>
      </c>
      <c r="GC21" s="157"/>
      <c r="GD21" s="157"/>
      <c r="GE21" s="157">
        <f t="shared" si="114"/>
        <v>1.2155673283493056E-13</v>
      </c>
      <c r="GF21" s="157">
        <f t="shared" si="115"/>
        <v>2.3592013991315934E-15</v>
      </c>
      <c r="GG21" s="157">
        <f t="shared" si="116"/>
        <v>3.5056039763320408E-14</v>
      </c>
      <c r="GH21" s="157">
        <f t="shared" si="117"/>
        <v>6.8845071142488055E-16</v>
      </c>
      <c r="GI21" s="157">
        <f t="shared" si="118"/>
        <v>1.5958282854330027E-18</v>
      </c>
      <c r="GJ21" s="157">
        <f t="shared" si="119"/>
        <v>5.3399720509775359E-19</v>
      </c>
      <c r="GK21" s="147">
        <f t="shared" si="120"/>
        <v>3.4674975740447715</v>
      </c>
      <c r="GL21" s="147">
        <f t="shared" si="121"/>
        <v>6.7683674681203995E-2</v>
      </c>
      <c r="GM21" s="157">
        <f t="shared" si="122"/>
        <v>1.7410095346002723E-2</v>
      </c>
      <c r="GN21" s="157">
        <f t="shared" si="123"/>
        <v>4.3321931719583507E-4</v>
      </c>
      <c r="GO21" s="168">
        <f t="shared" si="124"/>
        <v>1.2616011120291828</v>
      </c>
      <c r="GP21" s="168">
        <f t="shared" si="125"/>
        <v>7.9589067824899787E-2</v>
      </c>
      <c r="GQ21" s="169">
        <f t="shared" si="126"/>
        <v>26.68497960720596</v>
      </c>
      <c r="GR21" s="169">
        <f t="shared" si="127"/>
        <v>2.2383831722478513</v>
      </c>
      <c r="GS21" s="157">
        <f t="shared" si="128"/>
        <v>3.9742551039789509E-5</v>
      </c>
      <c r="GT21" s="157">
        <f t="shared" si="129"/>
        <v>3.4061659165878884E-6</v>
      </c>
      <c r="GU21" s="157">
        <f t="shared" si="130"/>
        <v>2.1840243937699372E-2</v>
      </c>
      <c r="GV21" s="157">
        <f t="shared" si="131"/>
        <v>6.0556506854582653E-4</v>
      </c>
      <c r="GW21" s="168">
        <f t="shared" si="132"/>
        <v>1.5826263722970559</v>
      </c>
      <c r="GX21" s="168">
        <f t="shared" si="133"/>
        <v>0.10170054395927322</v>
      </c>
      <c r="GY21" s="169">
        <f t="shared" si="134"/>
        <v>7.6957457178775854</v>
      </c>
      <c r="GZ21" s="169">
        <f t="shared" si="135"/>
        <v>0.6459451830920665</v>
      </c>
      <c r="HA21" s="157">
        <f t="shared" si="136"/>
        <v>1.1461450279669718E-5</v>
      </c>
      <c r="HB21" s="157">
        <f t="shared" si="137"/>
        <v>9.8291362722847817E-7</v>
      </c>
      <c r="HC21" s="6">
        <v>1.1100000000000001</v>
      </c>
      <c r="HD21" s="6">
        <v>0.04</v>
      </c>
      <c r="HE21" s="143">
        <f t="shared" si="138"/>
        <v>395.15061965303539</v>
      </c>
      <c r="HF21" s="143">
        <f t="shared" si="139"/>
        <v>20.254020071439825</v>
      </c>
      <c r="HG21" s="6">
        <v>1.19</v>
      </c>
      <c r="HH21" s="6">
        <v>0.04</v>
      </c>
      <c r="HI21" s="143">
        <f t="shared" si="140"/>
        <v>462.37571931466505</v>
      </c>
      <c r="HJ21" s="143">
        <f t="shared" si="141"/>
        <v>23.613348553103688</v>
      </c>
      <c r="HK21" s="6">
        <v>3.7459129999999998</v>
      </c>
      <c r="HL21" s="6">
        <v>4.1647000000000003E-2</v>
      </c>
      <c r="HM21" s="6">
        <v>4.9439999999999996E-3</v>
      </c>
      <c r="HN21" s="6">
        <v>7.36E-4</v>
      </c>
      <c r="HO21" s="6">
        <v>8.2200000000000003E-4</v>
      </c>
      <c r="HP21" s="6">
        <v>4.9399999999999997E-4</v>
      </c>
      <c r="HQ21" s="6">
        <v>0.56290600000000002</v>
      </c>
      <c r="HR21" s="6">
        <v>9.4359999999999999E-3</v>
      </c>
      <c r="HS21" s="6">
        <v>5.8630000000000002E-3</v>
      </c>
      <c r="HT21" s="6">
        <v>8.4199999999999998E-4</v>
      </c>
      <c r="HU21" s="6">
        <v>7.0540000000000004E-3</v>
      </c>
      <c r="HV21" s="6">
        <v>7.3899999999999997E-4</v>
      </c>
      <c r="HW21" s="6">
        <v>1.0657E-2</v>
      </c>
      <c r="HX21" s="6">
        <v>1.0510000000000001E-3</v>
      </c>
      <c r="HY21" s="6">
        <v>1.5950000000000001E-3</v>
      </c>
      <c r="HZ21" s="6">
        <v>7.7700000000000002E-4</v>
      </c>
      <c r="IA21" s="6">
        <v>7.3499999999999998E-4</v>
      </c>
      <c r="IB21" s="6">
        <v>1.7000000000000001E-4</v>
      </c>
      <c r="IC21" s="6">
        <v>3.1700000000000001E-4</v>
      </c>
      <c r="ID21" s="6">
        <v>1.7699999999999999E-4</v>
      </c>
      <c r="IE21" s="6">
        <v>5.6300000000000002E-4</v>
      </c>
      <c r="IF21" s="6">
        <v>1.7200000000000001E-4</v>
      </c>
      <c r="IG21" s="6">
        <v>2.81E-4</v>
      </c>
      <c r="IH21" s="6">
        <v>1.63E-4</v>
      </c>
      <c r="II21" s="6">
        <v>5.3200000000000003E-4</v>
      </c>
      <c r="IJ21" s="6">
        <v>4.3000000000000002E-5</v>
      </c>
      <c r="IK21" s="6">
        <v>3.9199999999999999E-4</v>
      </c>
      <c r="IL21" s="6">
        <v>9.7E-5</v>
      </c>
      <c r="IM21" s="167">
        <f t="shared" si="142"/>
        <v>3.7443179999999998</v>
      </c>
      <c r="IN21" s="167">
        <f t="shared" si="143"/>
        <v>4.165424753851641E-2</v>
      </c>
      <c r="IO21" s="167">
        <f t="shared" si="144"/>
        <v>4.2089999999999992E-3</v>
      </c>
      <c r="IP21" s="167">
        <f t="shared" si="145"/>
        <v>7.5537805104464086E-4</v>
      </c>
      <c r="IQ21" s="167">
        <f t="shared" si="146"/>
        <v>5.0500000000000002E-4</v>
      </c>
      <c r="IR21" s="167">
        <f t="shared" si="147"/>
        <v>5.2475232252940051E-4</v>
      </c>
      <c r="IS21" s="167">
        <f t="shared" si="148"/>
        <v>0.56234300000000004</v>
      </c>
      <c r="IT21" s="167">
        <f t="shared" si="149"/>
        <v>9.4375674832024373E-3</v>
      </c>
      <c r="IU21" s="167">
        <f t="shared" si="150"/>
        <v>5.5820000000000002E-3</v>
      </c>
      <c r="IV21" s="167">
        <f t="shared" si="151"/>
        <v>8.5763220555200694E-4</v>
      </c>
      <c r="IW21" s="167">
        <f t="shared" si="152"/>
        <v>6.522E-3</v>
      </c>
      <c r="IX21" s="167">
        <f t="shared" si="153"/>
        <v>7.4024995778453105E-4</v>
      </c>
      <c r="IY21" s="167">
        <f t="shared" si="154"/>
        <v>1.0265E-2</v>
      </c>
      <c r="IZ21" s="167">
        <f t="shared" si="155"/>
        <v>1.0554667214081172E-3</v>
      </c>
      <c r="JA21" s="167">
        <f t="shared" si="156"/>
        <v>3.7440798428004247</v>
      </c>
      <c r="JB21" s="167">
        <f t="shared" si="157"/>
        <v>4.1654982661990539E-2</v>
      </c>
      <c r="JC21" s="167">
        <f t="shared" si="158"/>
        <v>9.301690886099989E-4</v>
      </c>
      <c r="JD21" s="167">
        <f t="shared" si="159"/>
        <v>3.489809890218003E-3</v>
      </c>
      <c r="JE21" s="167">
        <f t="shared" si="160"/>
        <v>0.55971126287983008</v>
      </c>
      <c r="JF21" s="167">
        <f t="shared" si="161"/>
        <v>9.8257885015868504E-3</v>
      </c>
      <c r="JG21" s="167">
        <f t="shared" si="162"/>
        <v>2.2464649934249999E-3</v>
      </c>
      <c r="JH21" s="167">
        <f t="shared" si="163"/>
        <v>3.5705301360883881E-3</v>
      </c>
      <c r="JI21" s="167">
        <f t="shared" si="164"/>
        <v>5.2221420078900002E-3</v>
      </c>
      <c r="JJ21" s="167">
        <f t="shared" si="165"/>
        <v>1.5402468930992043E-3</v>
      </c>
      <c r="JK21" s="167">
        <f t="shared" si="166"/>
        <v>9.1662747688649997E-3</v>
      </c>
      <c r="JL21" s="167">
        <f t="shared" si="167"/>
        <v>1.5548277777269156E-3</v>
      </c>
      <c r="JM21" s="3">
        <v>1.0578061216037453E-12</v>
      </c>
      <c r="JN21" s="3">
        <v>3.8197537541218414E-14</v>
      </c>
      <c r="JO21" s="7">
        <v>1</v>
      </c>
      <c r="JP21" s="7">
        <v>0</v>
      </c>
      <c r="JQ21" s="157">
        <f t="shared" si="168"/>
        <v>3.9605105774874775E-12</v>
      </c>
      <c r="JR21" s="157">
        <f t="shared" si="169"/>
        <v>1.4964866610976809E-13</v>
      </c>
      <c r="JS21" s="157">
        <f t="shared" si="170"/>
        <v>1.7669837119771495E-16</v>
      </c>
      <c r="JT21" s="157">
        <f t="shared" si="171"/>
        <v>6.6765824858361924E-18</v>
      </c>
      <c r="JU21" s="6">
        <v>1.35</v>
      </c>
      <c r="JV21" s="6">
        <v>6.4000000000000001E-2</v>
      </c>
      <c r="JW21" s="157">
        <f t="shared" si="172"/>
        <v>1.7568178780431896E-12</v>
      </c>
      <c r="JX21" s="157">
        <f t="shared" si="173"/>
        <v>1.1448078334248276E-13</v>
      </c>
      <c r="JY21" s="143">
        <f t="shared" si="174"/>
        <v>655.72968942391753</v>
      </c>
      <c r="JZ21" s="143">
        <f t="shared" si="175"/>
        <v>42.749784028488875</v>
      </c>
      <c r="KA21" s="147">
        <f t="shared" si="176"/>
        <v>0.55781268316107069</v>
      </c>
      <c r="KB21" s="147">
        <f t="shared" si="177"/>
        <v>9.842035966889524E-3</v>
      </c>
      <c r="KC21" s="157">
        <f t="shared" si="178"/>
        <v>5.9005767095599101E-13</v>
      </c>
      <c r="KD21" s="157">
        <f t="shared" si="179"/>
        <v>2.3714541561180572E-14</v>
      </c>
      <c r="KE21" s="157">
        <f t="shared" si="180"/>
        <v>2.6325451562556903E-17</v>
      </c>
      <c r="KF21" s="157">
        <f t="shared" si="181"/>
        <v>1.0580254202112942E-18</v>
      </c>
      <c r="KG21" s="118">
        <v>1.24</v>
      </c>
      <c r="KH21" s="118">
        <v>0.06</v>
      </c>
      <c r="KI21" s="157">
        <f t="shared" si="182"/>
        <v>2.0095893326076201E-10</v>
      </c>
      <c r="KJ21" s="157">
        <f t="shared" si="183"/>
        <v>1.6120499842102042E-11</v>
      </c>
      <c r="KK21" s="143">
        <f t="shared" si="184"/>
        <v>81.167904199707834</v>
      </c>
      <c r="KL21" s="143">
        <f t="shared" si="185"/>
        <v>5.3092023534054116</v>
      </c>
      <c r="KM21" s="157">
        <f t="shared" si="186"/>
        <v>5.5240137838301166E-15</v>
      </c>
      <c r="KN21" s="157">
        <f t="shared" si="187"/>
        <v>1.6414479064225324E-15</v>
      </c>
      <c r="KO21" s="157">
        <f t="shared" si="188"/>
        <v>2.4645414245951325E-19</v>
      </c>
      <c r="KP21" s="157">
        <f t="shared" si="189"/>
        <v>7.3233277830383551E-20</v>
      </c>
      <c r="KQ21" s="157">
        <f t="shared" si="190"/>
        <v>5.661565806806595E-14</v>
      </c>
      <c r="KR21" s="157">
        <f t="shared" si="191"/>
        <v>1.6873528051309E-14</v>
      </c>
      <c r="KS21" s="143">
        <f t="shared" si="192"/>
        <v>39.635774643748363</v>
      </c>
      <c r="KT21" s="143">
        <f t="shared" si="193"/>
        <v>11.8394724457367</v>
      </c>
      <c r="KU21" s="157">
        <f t="shared" si="194"/>
        <v>3.5137763834066946E-5</v>
      </c>
      <c r="KV21" s="157">
        <f t="shared" si="195"/>
        <v>1.4442408163498717E-6</v>
      </c>
      <c r="KW21" s="168">
        <f t="shared" si="196"/>
        <v>1.356670418303743</v>
      </c>
      <c r="KX21" s="168">
        <f t="shared" si="197"/>
        <v>5.956867414776118E-2</v>
      </c>
      <c r="KY21" s="169">
        <f t="shared" si="198"/>
        <v>20.909246267000988</v>
      </c>
      <c r="KZ21" s="169">
        <f t="shared" si="199"/>
        <v>1.5475990858099806</v>
      </c>
      <c r="LA21" s="157">
        <f t="shared" si="200"/>
        <v>3.1140619149861253E-5</v>
      </c>
      <c r="LB21" s="157">
        <f t="shared" si="201"/>
        <v>2.3690536664021744E-6</v>
      </c>
      <c r="LC21" s="10"/>
      <c r="LD21" s="214" t="str">
        <f t="shared" si="202"/>
        <v>BB1</v>
      </c>
      <c r="LE21" s="214" t="str">
        <f t="shared" si="203"/>
        <v>Mn2022a</v>
      </c>
      <c r="LF21" s="211">
        <f t="shared" si="204"/>
        <v>3</v>
      </c>
      <c r="LG21" s="211">
        <f t="shared" si="205"/>
        <v>11195.011690490704</v>
      </c>
      <c r="LH21" s="211">
        <f t="shared" si="206"/>
        <v>223.90033934099625</v>
      </c>
      <c r="LI21" s="211">
        <f t="shared" si="207"/>
        <v>25193.267417433977</v>
      </c>
      <c r="LJ21" s="211">
        <f t="shared" si="208"/>
        <v>503.86568819817956</v>
      </c>
      <c r="LK21" s="211">
        <f t="shared" si="209"/>
        <v>46936.477311973278</v>
      </c>
      <c r="LL21" s="211">
        <f t="shared" si="210"/>
        <v>938.74152756069441</v>
      </c>
      <c r="LM21" s="211">
        <f t="shared" si="211"/>
        <v>395.15061965303539</v>
      </c>
      <c r="LN21" s="211">
        <f t="shared" si="212"/>
        <v>20.254020071439825</v>
      </c>
      <c r="LO21" s="211">
        <f t="shared" si="213"/>
        <v>462.37571931466505</v>
      </c>
      <c r="LP21" s="211">
        <f t="shared" si="214"/>
        <v>23.613348553103688</v>
      </c>
      <c r="LQ21" s="211">
        <f t="shared" si="215"/>
        <v>655.72968942391753</v>
      </c>
      <c r="LR21" s="211">
        <f t="shared" si="216"/>
        <v>42.749784028488875</v>
      </c>
      <c r="LS21" s="212">
        <f t="shared" si="217"/>
        <v>1.2616011120291828</v>
      </c>
      <c r="LT21" s="212">
        <f t="shared" si="218"/>
        <v>7.9589067824899787E-2</v>
      </c>
      <c r="LU21" s="459">
        <f t="shared" si="219"/>
        <v>26.68497960720596</v>
      </c>
      <c r="LV21" s="459">
        <f t="shared" si="220"/>
        <v>2.2383831722478513</v>
      </c>
      <c r="LW21" s="214">
        <f t="shared" si="221"/>
        <v>3.9742551039789509E-5</v>
      </c>
      <c r="LX21" s="214">
        <f t="shared" si="222"/>
        <v>3.4061659165878884E-6</v>
      </c>
      <c r="LY21" s="462">
        <f t="shared" si="223"/>
        <v>1.5826263722970559</v>
      </c>
      <c r="LZ21" s="462">
        <f t="shared" si="224"/>
        <v>0.10170054395927322</v>
      </c>
      <c r="MA21" s="462">
        <f t="shared" si="225"/>
        <v>7.6957457178775854</v>
      </c>
      <c r="MB21" s="462">
        <f t="shared" si="226"/>
        <v>0.6459451830920665</v>
      </c>
      <c r="MC21" s="214">
        <f t="shared" si="227"/>
        <v>1.1461450279669718E-5</v>
      </c>
      <c r="MD21" s="214">
        <f t="shared" si="228"/>
        <v>9.8291362722847817E-7</v>
      </c>
      <c r="ME21" s="212">
        <f t="shared" si="229"/>
        <v>1.356670418303743</v>
      </c>
      <c r="MF21" s="212">
        <f t="shared" si="230"/>
        <v>5.956867414776118E-2</v>
      </c>
      <c r="MG21" s="462">
        <f t="shared" si="231"/>
        <v>20.909246267000988</v>
      </c>
      <c r="MH21" s="462">
        <f t="shared" si="232"/>
        <v>1.5475990858099806</v>
      </c>
      <c r="MI21" s="214">
        <f t="shared" si="233"/>
        <v>3.1140619149861253E-5</v>
      </c>
      <c r="MJ21" s="214">
        <f t="shared" si="234"/>
        <v>2.3690536664021744E-6</v>
      </c>
    </row>
    <row r="22" spans="1:348" s="13" customFormat="1" ht="24.9" customHeight="1">
      <c r="A22" s="469" t="s">
        <v>873</v>
      </c>
      <c r="B22" s="5" t="s">
        <v>49</v>
      </c>
      <c r="C22" s="5">
        <v>3.6999999999999999E-4</v>
      </c>
      <c r="D22" s="66">
        <f t="shared" si="235"/>
        <v>7.4000000000000003E-6</v>
      </c>
      <c r="E22" s="67">
        <v>44712</v>
      </c>
      <c r="F22" s="5" t="s">
        <v>210</v>
      </c>
      <c r="G22" s="327" t="s">
        <v>901</v>
      </c>
      <c r="H22" s="5">
        <v>3</v>
      </c>
      <c r="I22" s="5"/>
      <c r="J22" s="327">
        <v>44644</v>
      </c>
      <c r="K22" s="67" t="s">
        <v>857</v>
      </c>
      <c r="L22" s="5" t="s">
        <v>858</v>
      </c>
      <c r="M22" s="273" t="s">
        <v>861</v>
      </c>
      <c r="N22" s="5">
        <v>110</v>
      </c>
      <c r="O22" s="368">
        <v>7451.7721190000002</v>
      </c>
      <c r="P22" s="368">
        <v>16.603382</v>
      </c>
      <c r="Q22" s="406">
        <v>82.407482000000002</v>
      </c>
      <c r="R22" s="406">
        <v>0.17321800000000001</v>
      </c>
      <c r="S22" s="368">
        <v>4597.5032570000003</v>
      </c>
      <c r="T22" s="368">
        <v>13.330230999999999</v>
      </c>
      <c r="U22" s="406">
        <v>42.741748000000001</v>
      </c>
      <c r="V22" s="406">
        <v>0.13204099999999999</v>
      </c>
      <c r="W22" s="368">
        <v>1.131929</v>
      </c>
      <c r="X22" s="368">
        <v>7.1877999999999997E-2</v>
      </c>
      <c r="Y22" s="368">
        <v>13.307005999999999</v>
      </c>
      <c r="Z22" s="68">
        <v>1.2130799999999999</v>
      </c>
      <c r="AA22" s="368">
        <v>0.54810899999999996</v>
      </c>
      <c r="AB22" s="328">
        <v>2.6466E-2</v>
      </c>
      <c r="AC22" s="368">
        <v>0.64239100000000005</v>
      </c>
      <c r="AD22" s="68">
        <v>0.151198</v>
      </c>
      <c r="AE22" s="368">
        <v>0.123698</v>
      </c>
      <c r="AF22" s="328">
        <v>8.5400000000000007E-3</v>
      </c>
      <c r="AG22" s="368">
        <v>6.1289000000000003E-2</v>
      </c>
      <c r="AH22" s="68">
        <v>5.466E-2</v>
      </c>
      <c r="AI22" s="133">
        <f t="shared" si="1"/>
        <v>7438.4651130000002</v>
      </c>
      <c r="AJ22" s="133">
        <f t="shared" si="2"/>
        <v>16.647638178562268</v>
      </c>
      <c r="AK22" s="133">
        <f t="shared" si="3"/>
        <v>81.859373000000005</v>
      </c>
      <c r="AL22" s="133">
        <f t="shared" si="4"/>
        <v>0.17522820743247933</v>
      </c>
      <c r="AM22" s="133">
        <f t="shared" si="5"/>
        <v>4596.860866</v>
      </c>
      <c r="AN22" s="133">
        <f t="shared" si="6"/>
        <v>13.331088453257108</v>
      </c>
      <c r="AO22" s="133">
        <f t="shared" si="7"/>
        <v>42.618050000000004</v>
      </c>
      <c r="AP22" s="133">
        <f t="shared" si="8"/>
        <v>0.13231688207103429</v>
      </c>
      <c r="AQ22" s="133">
        <f t="shared" si="9"/>
        <v>1.07064</v>
      </c>
      <c r="AR22" s="133">
        <f t="shared" si="10"/>
        <v>9.0300401350160112E-2</v>
      </c>
      <c r="AS22" s="4">
        <v>301.3</v>
      </c>
      <c r="AT22" s="326">
        <v>0.9</v>
      </c>
      <c r="AU22" s="133">
        <f t="shared" si="11"/>
        <v>82.26105181844332</v>
      </c>
      <c r="AV22" s="133">
        <f t="shared" si="12"/>
        <v>0.17523493136956372</v>
      </c>
      <c r="AW22" s="133">
        <f t="shared" si="13"/>
        <v>4641.9738829590515</v>
      </c>
      <c r="AX22" s="133">
        <f t="shared" si="14"/>
        <v>13.331440212355018</v>
      </c>
      <c r="AY22" s="133">
        <f t="shared" si="15"/>
        <v>43.245422309644674</v>
      </c>
      <c r="AZ22" s="133">
        <f t="shared" si="16"/>
        <v>0.13232265857818504</v>
      </c>
      <c r="BA22" s="133">
        <f t="shared" si="17"/>
        <v>1.0916542538071066</v>
      </c>
      <c r="BB22" s="133">
        <f t="shared" si="18"/>
        <v>9.0301490003442536E-2</v>
      </c>
      <c r="BC22" s="6"/>
      <c r="BD22" s="8"/>
      <c r="BE22" s="133">
        <f t="shared" si="19"/>
        <v>165.62738951822007</v>
      </c>
      <c r="BF22" s="133">
        <f t="shared" si="20"/>
        <v>0.50678789439241279</v>
      </c>
      <c r="BG22" s="133">
        <f t="shared" si="21"/>
        <v>82.300550966984275</v>
      </c>
      <c r="BH22" s="133">
        <f t="shared" si="22"/>
        <v>0.17531907362681332</v>
      </c>
      <c r="BI22" s="143">
        <f t="shared" si="23"/>
        <v>7427.7679919329248</v>
      </c>
      <c r="BJ22" s="133">
        <f t="shared" si="24"/>
        <v>16.647653831858143</v>
      </c>
      <c r="BK22" s="143">
        <f t="shared" si="25"/>
        <v>82.149189401857598</v>
      </c>
      <c r="BL22" s="133">
        <f t="shared" si="26"/>
        <v>0.1753196853563494</v>
      </c>
      <c r="BM22" s="143">
        <f t="shared" si="27"/>
        <v>4640.7029897179236</v>
      </c>
      <c r="BN22" s="133">
        <f t="shared" si="28"/>
        <v>13.33144048724817</v>
      </c>
      <c r="BO22" s="133">
        <f t="shared" si="29"/>
        <v>1.0338785927645295</v>
      </c>
      <c r="BP22" s="133">
        <f t="shared" si="30"/>
        <v>9.0301663045898012E-2</v>
      </c>
      <c r="BQ22" s="369"/>
      <c r="BR22" s="147">
        <f t="shared" si="31"/>
        <v>0.42303141421798685</v>
      </c>
      <c r="BS22" s="147">
        <f t="shared" si="32"/>
        <v>9.1155343136515146E-2</v>
      </c>
      <c r="BT22" s="143">
        <f t="shared" si="33"/>
        <v>4640.5086204615172</v>
      </c>
      <c r="BU22" s="147">
        <f t="shared" si="34"/>
        <v>1.0848031881999263</v>
      </c>
      <c r="BV22" s="143">
        <f t="shared" si="35"/>
        <v>7302.7622090315099</v>
      </c>
      <c r="BW22" s="143">
        <f t="shared" si="36"/>
        <v>31.66566331216023</v>
      </c>
      <c r="BX22" s="3">
        <v>1.37345792704461E-12</v>
      </c>
      <c r="BY22" s="3">
        <v>4.43406379304243E-15</v>
      </c>
      <c r="BZ22" s="157">
        <f t="shared" si="37"/>
        <v>5.8101584924658599E-13</v>
      </c>
      <c r="CA22" s="157">
        <f t="shared" si="38"/>
        <v>1.252120793005382E-13</v>
      </c>
      <c r="CB22" s="157">
        <f t="shared" si="39"/>
        <v>2.2748225106950472E-10</v>
      </c>
      <c r="CC22" s="158">
        <f t="shared" si="40"/>
        <v>1.0118473602274776E-12</v>
      </c>
      <c r="CD22" s="157">
        <f t="shared" si="41"/>
        <v>6.3735433502917182E-9</v>
      </c>
      <c r="CE22" s="157">
        <f t="shared" si="42"/>
        <v>2.0630183733133233E-11</v>
      </c>
      <c r="CF22" s="157">
        <f t="shared" si="43"/>
        <v>1.1282845538427038E-10</v>
      </c>
      <c r="CG22" s="157">
        <f t="shared" si="44"/>
        <v>4.3665017186685311E-13</v>
      </c>
      <c r="CH22" s="157">
        <f t="shared" si="45"/>
        <v>1.0030036645316135E-8</v>
      </c>
      <c r="CI22" s="157">
        <f t="shared" si="46"/>
        <v>5.4222046525763597E-11</v>
      </c>
      <c r="CJ22" s="157">
        <f t="shared" si="47"/>
        <v>2.8435594520467727E-13</v>
      </c>
      <c r="CK22" s="157">
        <f t="shared" si="48"/>
        <v>9.2041666102244704E-16</v>
      </c>
      <c r="CL22" s="157">
        <f t="shared" si="49"/>
        <v>4.4749057062362E-13</v>
      </c>
      <c r="CM22" s="157">
        <f t="shared" si="50"/>
        <v>2.419119245309291E-15</v>
      </c>
      <c r="CN22" s="66">
        <v>4.2112251639609289E-3</v>
      </c>
      <c r="CO22" s="66">
        <v>9.2476666105502997E-6</v>
      </c>
      <c r="CP22" s="3">
        <v>1.1060018658455095E+19</v>
      </c>
      <c r="CQ22" s="3">
        <v>2.5488958611692358E+17</v>
      </c>
      <c r="CR22" s="3">
        <v>7.8275287553193664E+17</v>
      </c>
      <c r="CS22" s="3">
        <v>7788932479180217</v>
      </c>
      <c r="CT22" s="6">
        <v>0.50900385722249708</v>
      </c>
      <c r="CU22" s="6">
        <v>6.9882843350043567E-3</v>
      </c>
      <c r="CV22" s="6">
        <v>25.053706221835235</v>
      </c>
      <c r="CW22" s="6">
        <v>0.37419486599034318</v>
      </c>
      <c r="CX22" s="157">
        <f t="shared" si="51"/>
        <v>5.1098632159151444E-8</v>
      </c>
      <c r="CY22" s="157">
        <f t="shared" si="52"/>
        <v>4.8046775372339585E-10</v>
      </c>
      <c r="CZ22" s="157">
        <f t="shared" si="53"/>
        <v>1.2802101184530026E-6</v>
      </c>
      <c r="DA22" s="157">
        <f t="shared" si="54"/>
        <v>2.2594426337582828E-8</v>
      </c>
      <c r="DB22" s="157">
        <f t="shared" si="55"/>
        <v>2.6009400867801619E-8</v>
      </c>
      <c r="DC22" s="157">
        <f t="shared" si="56"/>
        <v>2.7661477974299083E-6</v>
      </c>
      <c r="DD22" s="157">
        <f t="shared" si="57"/>
        <v>9.8512363009588131E-8</v>
      </c>
      <c r="DE22" s="157">
        <f t="shared" si="58"/>
        <v>1.0016770716491082E-9</v>
      </c>
      <c r="DF22" s="143">
        <f t="shared" si="59"/>
        <v>10409.90789907508</v>
      </c>
      <c r="DG22" s="143">
        <f t="shared" si="60"/>
        <v>208.19826138744452</v>
      </c>
      <c r="DH22" s="159">
        <f t="shared" si="61"/>
        <v>1.0409907899075082</v>
      </c>
      <c r="DI22" s="167">
        <f t="shared" si="62"/>
        <v>2.0819826138744453E-2</v>
      </c>
      <c r="DJ22" s="157">
        <f t="shared" si="63"/>
        <v>2.449547927764517E-7</v>
      </c>
      <c r="DK22" s="157">
        <f t="shared" si="64"/>
        <v>4.3953133002257107E-9</v>
      </c>
      <c r="DL22" s="143">
        <f t="shared" si="65"/>
        <v>23471.303427847412</v>
      </c>
      <c r="DM22" s="143">
        <f t="shared" si="66"/>
        <v>469.4264091950385</v>
      </c>
      <c r="DN22" s="159">
        <f t="shared" si="67"/>
        <v>2.347130342784741</v>
      </c>
      <c r="DO22" s="167">
        <f t="shared" si="68"/>
        <v>4.6942640919503849E-2</v>
      </c>
      <c r="DP22" s="157">
        <f t="shared" si="69"/>
        <v>3.8065251136228601E-7</v>
      </c>
      <c r="DQ22" s="157">
        <f t="shared" si="70"/>
        <v>6.5567467870015283E-9</v>
      </c>
      <c r="DR22" s="143">
        <f t="shared" si="71"/>
        <v>41233.926095676819</v>
      </c>
      <c r="DS22" s="143">
        <f t="shared" si="72"/>
        <v>824.68908592187631</v>
      </c>
      <c r="DT22" s="147">
        <f t="shared" si="73"/>
        <v>4.1233926095676816</v>
      </c>
      <c r="DU22" s="147">
        <f t="shared" si="74"/>
        <v>8.2468908592187626E-2</v>
      </c>
      <c r="DV22" s="147">
        <f t="shared" si="75"/>
        <v>0.40216548487578091</v>
      </c>
      <c r="DW22" s="147">
        <f t="shared" si="76"/>
        <v>4.4111967397873113E-3</v>
      </c>
      <c r="DX22" s="147">
        <f t="shared" si="77"/>
        <v>0.25879866825790881</v>
      </c>
      <c r="DY22" s="147">
        <f t="shared" si="78"/>
        <v>2.9281749815426895E-3</v>
      </c>
      <c r="DZ22" s="147">
        <f t="shared" si="79"/>
        <v>0.443516395715983</v>
      </c>
      <c r="EA22" s="147">
        <f t="shared" si="80"/>
        <v>9.2703329004710198E-3</v>
      </c>
      <c r="EB22" s="147">
        <f t="shared" si="81"/>
        <v>0.25245977971926642</v>
      </c>
      <c r="EC22" s="147">
        <f t="shared" si="82"/>
        <v>5.4492083501190844E-3</v>
      </c>
      <c r="ED22" s="157">
        <f t="shared" si="83"/>
        <v>1.8268292102045317E-6</v>
      </c>
      <c r="EE22" s="157">
        <f t="shared" si="84"/>
        <v>3.423483949810511E-8</v>
      </c>
      <c r="EF22" s="147">
        <f t="shared" si="85"/>
        <v>90.418031462218721</v>
      </c>
      <c r="EG22" s="147">
        <f t="shared" si="86"/>
        <v>0.60113819026433513</v>
      </c>
      <c r="EH22" s="157">
        <f t="shared" si="87"/>
        <v>4.5424813389164778E-6</v>
      </c>
      <c r="EI22" s="157">
        <f t="shared" si="88"/>
        <v>5.2310256865679999E-8</v>
      </c>
      <c r="EJ22" s="143">
        <f t="shared" si="89"/>
        <v>581.42040986102654</v>
      </c>
      <c r="EK22" s="147">
        <f t="shared" si="90"/>
        <v>3.3151014715083664</v>
      </c>
      <c r="EL22" s="147">
        <f t="shared" si="91"/>
        <v>3.4912536060683141</v>
      </c>
      <c r="EM22" s="467">
        <v>1919.506566</v>
      </c>
      <c r="EN22" s="467">
        <v>11.552135</v>
      </c>
      <c r="EO22" s="467">
        <v>549.55873199999996</v>
      </c>
      <c r="EP22" s="467">
        <v>3.5848749999999998</v>
      </c>
      <c r="EQ22" s="7">
        <v>3.1288000000000003E-2</v>
      </c>
      <c r="ER22" s="7">
        <v>3.9379999999999997E-3</v>
      </c>
      <c r="ES22" s="370"/>
      <c r="ET22" s="370"/>
      <c r="EU22" s="7"/>
      <c r="EV22" s="7"/>
      <c r="EW22" s="7"/>
      <c r="EX22" s="7"/>
      <c r="EY22" s="371"/>
      <c r="EZ22" s="371"/>
      <c r="FA22" s="371"/>
      <c r="FB22" s="371"/>
      <c r="FC22" s="147">
        <f t="shared" si="92"/>
        <v>1919.506566</v>
      </c>
      <c r="FD22" s="147">
        <f t="shared" si="93"/>
        <v>11.552135</v>
      </c>
      <c r="FE22" s="147">
        <f t="shared" si="94"/>
        <v>549.55873199999996</v>
      </c>
      <c r="FF22" s="147">
        <f t="shared" si="95"/>
        <v>3.5848749999999998</v>
      </c>
      <c r="FG22" s="147">
        <f t="shared" si="96"/>
        <v>3.1288000000000003E-2</v>
      </c>
      <c r="FH22" s="147">
        <f t="shared" si="97"/>
        <v>3.9379999999999997E-3</v>
      </c>
      <c r="FI22" s="147">
        <f t="shared" si="98"/>
        <v>0</v>
      </c>
      <c r="FJ22" s="147">
        <f t="shared" si="99"/>
        <v>0</v>
      </c>
      <c r="FK22" s="147">
        <f t="shared" si="100"/>
        <v>3.0699244127584995E-2</v>
      </c>
      <c r="FL22" s="147">
        <f t="shared" si="101"/>
        <v>6.4042293965894921E-3</v>
      </c>
      <c r="FM22" s="143">
        <f t="shared" si="102"/>
        <v>1919.5053503099325</v>
      </c>
      <c r="FN22" s="143">
        <f t="shared" si="103"/>
        <v>11.552135002783761</v>
      </c>
      <c r="FO22" s="143">
        <f t="shared" si="104"/>
        <v>549.55252461283737</v>
      </c>
      <c r="FP22" s="143">
        <f t="shared" si="105"/>
        <v>3.5848752338794343</v>
      </c>
      <c r="FQ22" s="147">
        <f t="shared" si="106"/>
        <v>-9.3694093077389407E-3</v>
      </c>
      <c r="FR22" s="147">
        <f t="shared" si="107"/>
        <v>1.9545708118391134E-3</v>
      </c>
      <c r="FS22" s="3">
        <v>1.2557400742552645E-12</v>
      </c>
      <c r="FT22" s="3">
        <v>1.9900354305090524E-14</v>
      </c>
      <c r="FU22" s="6">
        <v>1.04</v>
      </c>
      <c r="FV22" s="6">
        <v>0.01</v>
      </c>
      <c r="FW22" s="157">
        <f t="shared" si="108"/>
        <v>2.3176921068572809E-9</v>
      </c>
      <c r="FX22" s="157">
        <f t="shared" si="109"/>
        <v>4.5169375462163979E-11</v>
      </c>
      <c r="FY22" s="157">
        <f t="shared" si="110"/>
        <v>6.6355300775431963E-10</v>
      </c>
      <c r="FZ22" s="157">
        <f t="shared" si="111"/>
        <v>1.3039317516614707E-11</v>
      </c>
      <c r="GA22" s="157">
        <f t="shared" si="112"/>
        <v>3.8550271100354074E-14</v>
      </c>
      <c r="GB22" s="157">
        <f t="shared" si="113"/>
        <v>8.0652190507352356E-15</v>
      </c>
      <c r="GC22" s="157"/>
      <c r="GD22" s="157"/>
      <c r="GE22" s="157">
        <f t="shared" si="114"/>
        <v>1.0340394557897801E-13</v>
      </c>
      <c r="GF22" s="157">
        <f t="shared" si="115"/>
        <v>2.0152338744112529E-15</v>
      </c>
      <c r="GG22" s="157">
        <f t="shared" si="116"/>
        <v>2.9604449572740402E-14</v>
      </c>
      <c r="GH22" s="157">
        <f t="shared" si="117"/>
        <v>5.8174978267092089E-16</v>
      </c>
      <c r="GI22" s="157">
        <f t="shared" si="118"/>
        <v>1.7199222118942682E-18</v>
      </c>
      <c r="GJ22" s="157">
        <f t="shared" si="119"/>
        <v>3.5983013849877271E-19</v>
      </c>
      <c r="GK22" s="147">
        <f t="shared" si="120"/>
        <v>3.4928514825079451</v>
      </c>
      <c r="GL22" s="147">
        <f t="shared" si="121"/>
        <v>6.8458144841614707E-2</v>
      </c>
      <c r="GM22" s="157">
        <f t="shared" si="122"/>
        <v>1.6993832483291275E-2</v>
      </c>
      <c r="GN22" s="157">
        <f t="shared" si="123"/>
        <v>4.2393203202435189E-4</v>
      </c>
      <c r="GO22" s="168">
        <f t="shared" si="124"/>
        <v>1.2314371364703822</v>
      </c>
      <c r="GP22" s="168">
        <f t="shared" si="125"/>
        <v>7.7716785486860632E-2</v>
      </c>
      <c r="GQ22" s="169">
        <f t="shared" si="126"/>
        <v>26.046960929999667</v>
      </c>
      <c r="GR22" s="169">
        <f t="shared" si="127"/>
        <v>2.1853524162165279</v>
      </c>
      <c r="GS22" s="157">
        <f t="shared" si="128"/>
        <v>3.3345582937535604E-5</v>
      </c>
      <c r="GT22" s="157">
        <f t="shared" si="129"/>
        <v>2.8589393196505982E-6</v>
      </c>
      <c r="GU22" s="157">
        <f t="shared" si="130"/>
        <v>2.1163315889059012E-2</v>
      </c>
      <c r="GV22" s="157">
        <f t="shared" si="131"/>
        <v>5.8697842936124333E-4</v>
      </c>
      <c r="GW22" s="168">
        <f t="shared" si="132"/>
        <v>1.5335736151492039</v>
      </c>
      <c r="GX22" s="168">
        <f t="shared" si="133"/>
        <v>9.8554092485818867E-2</v>
      </c>
      <c r="GY22" s="169">
        <f t="shared" si="134"/>
        <v>7.4572197130172206</v>
      </c>
      <c r="GZ22" s="169">
        <f t="shared" si="135"/>
        <v>0.62594567048399274</v>
      </c>
      <c r="HA22" s="157">
        <f t="shared" si="136"/>
        <v>9.5468081321318425E-6</v>
      </c>
      <c r="HB22" s="157">
        <f t="shared" si="137"/>
        <v>8.1886408531203906E-7</v>
      </c>
      <c r="HC22" s="6">
        <v>1.1100000000000001</v>
      </c>
      <c r="HD22" s="6">
        <v>0.04</v>
      </c>
      <c r="HE22" s="143">
        <f t="shared" si="138"/>
        <v>359.33999875435973</v>
      </c>
      <c r="HF22" s="143">
        <f t="shared" si="139"/>
        <v>18.437056800223825</v>
      </c>
      <c r="HG22" s="6">
        <v>1.19</v>
      </c>
      <c r="HH22" s="6">
        <v>0.04</v>
      </c>
      <c r="HI22" s="143">
        <f t="shared" si="140"/>
        <v>417.42067963990627</v>
      </c>
      <c r="HJ22" s="143">
        <f t="shared" si="141"/>
        <v>21.328286714875698</v>
      </c>
      <c r="HK22" s="6">
        <v>3.1825570000000001</v>
      </c>
      <c r="HL22" s="6">
        <v>2.8076E-2</v>
      </c>
      <c r="HM22" s="6">
        <v>2.4759999999999999E-3</v>
      </c>
      <c r="HN22" s="6">
        <v>6.8199999999999999E-4</v>
      </c>
      <c r="HO22" s="6">
        <v>1.2600000000000001E-3</v>
      </c>
      <c r="HP22" s="6">
        <v>1.8699999999999999E-4</v>
      </c>
      <c r="HQ22" s="6">
        <v>0.48464600000000002</v>
      </c>
      <c r="HR22" s="6">
        <v>3.999E-3</v>
      </c>
      <c r="HS22" s="6">
        <v>6.0809999999999996E-3</v>
      </c>
      <c r="HT22" s="6">
        <v>6.6799999999999997E-4</v>
      </c>
      <c r="HU22" s="6">
        <v>7.4660000000000004E-3</v>
      </c>
      <c r="HV22" s="6">
        <v>4.1199999999999999E-4</v>
      </c>
      <c r="HW22" s="6">
        <v>8.2529999999999999E-3</v>
      </c>
      <c r="HX22" s="6">
        <v>4.46E-4</v>
      </c>
      <c r="HY22" s="6">
        <v>1.7899999999999999E-3</v>
      </c>
      <c r="HZ22" s="6">
        <v>6.5499999999999998E-4</v>
      </c>
      <c r="IA22" s="6">
        <v>6.5700000000000003E-4</v>
      </c>
      <c r="IB22" s="6">
        <v>1.4200000000000001E-4</v>
      </c>
      <c r="IC22" s="6">
        <v>2.9700000000000001E-4</v>
      </c>
      <c r="ID22" s="6">
        <v>2.1999999999999999E-5</v>
      </c>
      <c r="IE22" s="6">
        <v>7.27E-4</v>
      </c>
      <c r="IF22" s="6">
        <v>1.9699999999999999E-4</v>
      </c>
      <c r="IG22" s="6">
        <v>3.68E-4</v>
      </c>
      <c r="IH22" s="6">
        <v>2.8499999999999999E-4</v>
      </c>
      <c r="II22" s="6">
        <v>3.3399999999999999E-4</v>
      </c>
      <c r="IJ22" s="6">
        <v>1.6000000000000001E-4</v>
      </c>
      <c r="IK22" s="6">
        <v>4.3100000000000001E-4</v>
      </c>
      <c r="IL22" s="6">
        <v>1.94E-4</v>
      </c>
      <c r="IM22" s="167">
        <f t="shared" si="142"/>
        <v>3.1807669999999999</v>
      </c>
      <c r="IN22" s="167">
        <f t="shared" si="143"/>
        <v>2.8083639383099906E-2</v>
      </c>
      <c r="IO22" s="167">
        <f t="shared" si="144"/>
        <v>1.8189999999999999E-3</v>
      </c>
      <c r="IP22" s="167">
        <f t="shared" si="145"/>
        <v>6.966261551219564E-4</v>
      </c>
      <c r="IQ22" s="167">
        <f t="shared" si="146"/>
        <v>9.630000000000001E-4</v>
      </c>
      <c r="IR22" s="167">
        <f t="shared" si="147"/>
        <v>1.8828967045486056E-4</v>
      </c>
      <c r="IS22" s="167">
        <f t="shared" si="148"/>
        <v>0.48391900000000004</v>
      </c>
      <c r="IT22" s="167">
        <f t="shared" si="149"/>
        <v>4.0038493977671034E-3</v>
      </c>
      <c r="IU22" s="167">
        <f t="shared" si="150"/>
        <v>5.7129999999999993E-3</v>
      </c>
      <c r="IV22" s="167">
        <f t="shared" si="151"/>
        <v>7.2625684162009793E-4</v>
      </c>
      <c r="IW22" s="167">
        <f t="shared" si="152"/>
        <v>7.1320000000000003E-3</v>
      </c>
      <c r="IX22" s="167">
        <f t="shared" si="153"/>
        <v>4.419773749865484E-4</v>
      </c>
      <c r="IY22" s="167">
        <f t="shared" si="154"/>
        <v>7.8219999999999991E-3</v>
      </c>
      <c r="IZ22" s="167">
        <f t="shared" si="155"/>
        <v>4.8636611724091144E-4</v>
      </c>
      <c r="JA22" s="167">
        <f t="shared" si="156"/>
        <v>3.1803128507263549</v>
      </c>
      <c r="JB22" s="167">
        <f t="shared" si="157"/>
        <v>2.8083779765672046E-2</v>
      </c>
      <c r="JC22" s="167">
        <f t="shared" si="158"/>
        <v>-4.4335033023140003E-3</v>
      </c>
      <c r="JD22" s="167">
        <f t="shared" si="159"/>
        <v>1.4070645053860067E-3</v>
      </c>
      <c r="JE22" s="167">
        <f t="shared" si="160"/>
        <v>0.47890045970945805</v>
      </c>
      <c r="JF22" s="167">
        <f t="shared" si="161"/>
        <v>4.1223358049413033E-3</v>
      </c>
      <c r="JG22" s="167">
        <f t="shared" si="162"/>
        <v>-6.4763408184500149E-4</v>
      </c>
      <c r="JH22" s="167">
        <f t="shared" si="163"/>
        <v>1.4401846216300553E-3</v>
      </c>
      <c r="JI22" s="167">
        <f t="shared" si="164"/>
        <v>4.6532608982139999E-3</v>
      </c>
      <c r="JJ22" s="167">
        <f t="shared" si="165"/>
        <v>6.5592123069516714E-4</v>
      </c>
      <c r="JK22" s="167">
        <f t="shared" si="166"/>
        <v>5.7268071334989987E-3</v>
      </c>
      <c r="JL22" s="167">
        <f t="shared" si="167"/>
        <v>6.3590394030274187E-4</v>
      </c>
      <c r="JM22" s="3">
        <v>1.0578061216037453E-12</v>
      </c>
      <c r="JN22" s="3">
        <v>3.8197537541218414E-14</v>
      </c>
      <c r="JO22" s="7">
        <v>1</v>
      </c>
      <c r="JP22" s="7">
        <v>0</v>
      </c>
      <c r="JQ22" s="157">
        <f t="shared" si="168"/>
        <v>3.3641544021133965E-12</v>
      </c>
      <c r="JR22" s="157">
        <f t="shared" si="169"/>
        <v>1.2505973300899919E-13</v>
      </c>
      <c r="JS22" s="157">
        <f t="shared" si="170"/>
        <v>1.5009191155554724E-16</v>
      </c>
      <c r="JT22" s="157">
        <f t="shared" si="171"/>
        <v>5.5795460447474909E-18</v>
      </c>
      <c r="JU22" s="6">
        <v>1.35</v>
      </c>
      <c r="JV22" s="6">
        <v>6.4000000000000001E-2</v>
      </c>
      <c r="JW22" s="157">
        <f t="shared" si="172"/>
        <v>1.7360374711298526E-12</v>
      </c>
      <c r="JX22" s="157">
        <f t="shared" si="173"/>
        <v>1.1254382229035237E-13</v>
      </c>
      <c r="JY22" s="143">
        <f t="shared" si="174"/>
        <v>595.43504663513079</v>
      </c>
      <c r="JZ22" s="143">
        <f t="shared" si="175"/>
        <v>38.62085809688147</v>
      </c>
      <c r="KA22" s="147">
        <f t="shared" si="176"/>
        <v>0.47720870434277191</v>
      </c>
      <c r="KB22" s="147">
        <f t="shared" si="177"/>
        <v>4.1298021885064424E-3</v>
      </c>
      <c r="KC22" s="157">
        <f t="shared" si="178"/>
        <v>5.0479428873637598E-13</v>
      </c>
      <c r="KD22" s="157">
        <f t="shared" si="179"/>
        <v>1.8744365422632581E-14</v>
      </c>
      <c r="KE22" s="157">
        <f t="shared" si="180"/>
        <v>2.2521421636048815E-17</v>
      </c>
      <c r="KF22" s="157">
        <f t="shared" si="181"/>
        <v>8.3628077110682689E-19</v>
      </c>
      <c r="KG22" s="118">
        <v>1.24</v>
      </c>
      <c r="KH22" s="118">
        <v>0.06</v>
      </c>
      <c r="KI22" s="157">
        <f t="shared" si="182"/>
        <v>2.000022579080427E-10</v>
      </c>
      <c r="KJ22" s="157">
        <f t="shared" si="183"/>
        <v>1.5749019219699571E-11</v>
      </c>
      <c r="KK22" s="143">
        <f t="shared" si="184"/>
        <v>74.23164884253454</v>
      </c>
      <c r="KL22" s="143">
        <f t="shared" si="185"/>
        <v>4.8322886945622514</v>
      </c>
      <c r="KM22" s="157">
        <f t="shared" si="186"/>
        <v>4.9222478635501118E-15</v>
      </c>
      <c r="KN22" s="157">
        <f t="shared" si="187"/>
        <v>7.1624233276568752E-16</v>
      </c>
      <c r="KO22" s="157">
        <f t="shared" si="188"/>
        <v>2.1960632678640713E-19</v>
      </c>
      <c r="KP22" s="157">
        <f t="shared" si="189"/>
        <v>3.195518635979561E-20</v>
      </c>
      <c r="KQ22" s="157">
        <f t="shared" si="190"/>
        <v>5.8688484533314535E-14</v>
      </c>
      <c r="KR22" s="157">
        <f t="shared" si="191"/>
        <v>8.6462773412554448E-15</v>
      </c>
      <c r="KS22" s="143">
        <f t="shared" si="192"/>
        <v>37.755556764910047</v>
      </c>
      <c r="KT22" s="143">
        <f t="shared" si="193"/>
        <v>5.6133558691449856</v>
      </c>
      <c r="KU22" s="157">
        <f t="shared" si="194"/>
        <v>3.4247663979483889E-5</v>
      </c>
      <c r="KV22" s="157">
        <f t="shared" si="195"/>
        <v>1.3884435212589775E-6</v>
      </c>
      <c r="KW22" s="168">
        <f t="shared" si="196"/>
        <v>1.3223036285515015</v>
      </c>
      <c r="KX22" s="168">
        <f t="shared" si="197"/>
        <v>5.7365907592781928E-2</v>
      </c>
      <c r="KY22" s="169">
        <f t="shared" si="198"/>
        <v>20.379579178634518</v>
      </c>
      <c r="KZ22" s="169">
        <f t="shared" si="199"/>
        <v>1.502077108206719</v>
      </c>
      <c r="LA22" s="157">
        <f t="shared" si="200"/>
        <v>2.6090143474302042E-5</v>
      </c>
      <c r="LB22" s="157">
        <f t="shared" si="201"/>
        <v>1.9773361200461318E-6</v>
      </c>
      <c r="LC22" s="10"/>
      <c r="LD22" s="214" t="str">
        <f t="shared" si="202"/>
        <v>BB1</v>
      </c>
      <c r="LE22" s="214" t="str">
        <f t="shared" si="203"/>
        <v>Mn2022a</v>
      </c>
      <c r="LF22" s="211">
        <f t="shared" si="204"/>
        <v>3</v>
      </c>
      <c r="LG22" s="211">
        <f t="shared" si="205"/>
        <v>10409.90789907508</v>
      </c>
      <c r="LH22" s="211">
        <f t="shared" si="206"/>
        <v>208.19826138744452</v>
      </c>
      <c r="LI22" s="211">
        <f t="shared" si="207"/>
        <v>23471.303427847412</v>
      </c>
      <c r="LJ22" s="211">
        <f t="shared" si="208"/>
        <v>469.4264091950385</v>
      </c>
      <c r="LK22" s="211">
        <f t="shared" si="209"/>
        <v>41233.926095676819</v>
      </c>
      <c r="LL22" s="211">
        <f t="shared" si="210"/>
        <v>824.68908592187631</v>
      </c>
      <c r="LM22" s="211">
        <f t="shared" si="211"/>
        <v>359.33999875435973</v>
      </c>
      <c r="LN22" s="211">
        <f t="shared" si="212"/>
        <v>18.437056800223825</v>
      </c>
      <c r="LO22" s="211">
        <f t="shared" si="213"/>
        <v>417.42067963990627</v>
      </c>
      <c r="LP22" s="211">
        <f t="shared" si="214"/>
        <v>21.328286714875698</v>
      </c>
      <c r="LQ22" s="211">
        <f t="shared" si="215"/>
        <v>595.43504663513079</v>
      </c>
      <c r="LR22" s="211">
        <f t="shared" si="216"/>
        <v>38.62085809688147</v>
      </c>
      <c r="LS22" s="212">
        <f t="shared" si="217"/>
        <v>1.2314371364703822</v>
      </c>
      <c r="LT22" s="212">
        <f t="shared" si="218"/>
        <v>7.7716785486860632E-2</v>
      </c>
      <c r="LU22" s="459">
        <f t="shared" si="219"/>
        <v>26.046960929999667</v>
      </c>
      <c r="LV22" s="459">
        <f t="shared" si="220"/>
        <v>2.1853524162165279</v>
      </c>
      <c r="LW22" s="214">
        <f t="shared" si="221"/>
        <v>3.3345582937535604E-5</v>
      </c>
      <c r="LX22" s="214">
        <f t="shared" si="222"/>
        <v>2.8589393196505982E-6</v>
      </c>
      <c r="LY22" s="462">
        <f t="shared" si="223"/>
        <v>1.5335736151492039</v>
      </c>
      <c r="LZ22" s="462">
        <f t="shared" si="224"/>
        <v>9.8554092485818867E-2</v>
      </c>
      <c r="MA22" s="462">
        <f t="shared" si="225"/>
        <v>7.4572197130172206</v>
      </c>
      <c r="MB22" s="462">
        <f t="shared" si="226"/>
        <v>0.62594567048399274</v>
      </c>
      <c r="MC22" s="214">
        <f t="shared" si="227"/>
        <v>9.5468081321318425E-6</v>
      </c>
      <c r="MD22" s="214">
        <f t="shared" si="228"/>
        <v>8.1886408531203906E-7</v>
      </c>
      <c r="ME22" s="212">
        <f t="shared" si="229"/>
        <v>1.3223036285515015</v>
      </c>
      <c r="MF22" s="212">
        <f t="shared" si="230"/>
        <v>5.7365907592781928E-2</v>
      </c>
      <c r="MG22" s="462">
        <f t="shared" si="231"/>
        <v>20.379579178634518</v>
      </c>
      <c r="MH22" s="462">
        <f t="shared" si="232"/>
        <v>1.502077108206719</v>
      </c>
      <c r="MI22" s="214">
        <f t="shared" si="233"/>
        <v>2.6090143474302042E-5</v>
      </c>
      <c r="MJ22" s="214">
        <f t="shared" si="234"/>
        <v>1.9773361200461318E-6</v>
      </c>
    </row>
    <row r="23" spans="1:348" s="13" customFormat="1" ht="24.9" customHeight="1">
      <c r="A23" s="1"/>
      <c r="B23" s="5"/>
      <c r="C23" s="5"/>
      <c r="D23" s="66"/>
      <c r="E23" s="67"/>
      <c r="F23" s="5"/>
      <c r="G23" s="5"/>
      <c r="H23" s="5"/>
      <c r="I23" s="5"/>
      <c r="J23" s="67"/>
      <c r="K23" s="67"/>
      <c r="L23" s="5"/>
      <c r="M23" s="273"/>
      <c r="N23" s="5"/>
      <c r="O23" s="461"/>
      <c r="P23" s="296"/>
      <c r="Q23" s="296"/>
      <c r="R23" s="296"/>
      <c r="S23" s="461"/>
      <c r="T23" s="296"/>
      <c r="U23" s="296"/>
      <c r="V23" s="296"/>
      <c r="W23" s="296"/>
      <c r="X23" s="296"/>
      <c r="AH23" s="368"/>
      <c r="AI23" s="133"/>
      <c r="AJ23" s="133"/>
      <c r="AK23" s="133"/>
      <c r="AL23" s="133"/>
      <c r="AM23" s="133"/>
      <c r="AN23" s="133"/>
      <c r="AO23" s="133"/>
      <c r="AP23" s="133"/>
      <c r="AQ23" s="133"/>
      <c r="AR23" s="133"/>
      <c r="AS23" s="4"/>
      <c r="AT23" s="326"/>
      <c r="AU23" s="133"/>
      <c r="AV23" s="133"/>
      <c r="AW23" s="133"/>
      <c r="AX23" s="133"/>
      <c r="AY23" s="133"/>
      <c r="AZ23" s="133"/>
      <c r="BA23" s="133"/>
      <c r="BB23" s="133"/>
      <c r="BC23" s="6"/>
      <c r="BD23" s="8"/>
      <c r="BE23" s="133"/>
      <c r="BF23" s="133"/>
      <c r="BG23" s="133"/>
      <c r="BH23" s="133"/>
      <c r="BI23" s="143"/>
      <c r="BJ23" s="133"/>
      <c r="BK23" s="143"/>
      <c r="BL23" s="133"/>
      <c r="BM23" s="143"/>
      <c r="BN23" s="133"/>
      <c r="BO23" s="133"/>
      <c r="BP23" s="133"/>
      <c r="BQ23" s="369"/>
      <c r="BR23" s="147"/>
      <c r="BS23" s="147"/>
      <c r="BT23" s="143"/>
      <c r="BU23" s="147"/>
      <c r="BV23" s="143"/>
      <c r="BW23" s="143"/>
      <c r="BX23" s="3"/>
      <c r="BY23" s="3"/>
      <c r="BZ23" s="157"/>
      <c r="CA23" s="157"/>
      <c r="CB23" s="157"/>
      <c r="CC23" s="158"/>
      <c r="CD23" s="157"/>
      <c r="CE23" s="157"/>
      <c r="CF23" s="157"/>
      <c r="CG23" s="157"/>
      <c r="CH23" s="157"/>
      <c r="CI23" s="157"/>
      <c r="CJ23" s="157"/>
      <c r="CK23" s="157"/>
      <c r="CL23" s="157"/>
      <c r="CM23" s="157"/>
      <c r="CN23" s="66"/>
      <c r="CO23" s="66"/>
      <c r="CP23" s="3"/>
      <c r="CQ23" s="3"/>
      <c r="CR23" s="3"/>
      <c r="CS23" s="3"/>
      <c r="CT23" s="6"/>
      <c r="CU23" s="6"/>
      <c r="CV23" s="6"/>
      <c r="CW23" s="6"/>
      <c r="CX23" s="157"/>
      <c r="CY23" s="157"/>
      <c r="CZ23" s="157"/>
      <c r="DA23" s="157"/>
      <c r="DB23" s="157"/>
      <c r="DC23" s="157"/>
      <c r="DD23" s="157"/>
      <c r="DE23" s="157"/>
      <c r="DF23" s="143"/>
      <c r="DG23" s="143"/>
      <c r="DH23" s="159"/>
      <c r="DI23" s="167"/>
      <c r="DJ23" s="157"/>
      <c r="DK23" s="157"/>
      <c r="DL23" s="143"/>
      <c r="DM23" s="143"/>
      <c r="DN23" s="159"/>
      <c r="DO23" s="167"/>
      <c r="DP23" s="157"/>
      <c r="DQ23" s="157"/>
      <c r="DR23" s="143"/>
      <c r="DS23" s="143"/>
      <c r="DT23" s="147"/>
      <c r="DU23" s="147"/>
      <c r="DV23" s="147"/>
      <c r="DW23" s="147"/>
      <c r="DX23" s="147"/>
      <c r="DY23" s="147"/>
      <c r="DZ23" s="147"/>
      <c r="EA23" s="147"/>
      <c r="EB23" s="147"/>
      <c r="EC23" s="147"/>
      <c r="ED23" s="157"/>
      <c r="EE23" s="157"/>
      <c r="EF23" s="147"/>
      <c r="EG23" s="147"/>
      <c r="EH23" s="157"/>
      <c r="EI23" s="157"/>
      <c r="EJ23" s="143"/>
      <c r="EK23" s="147"/>
      <c r="EL23" s="147"/>
      <c r="ER23" s="368"/>
      <c r="ES23" s="370"/>
      <c r="ET23" s="370"/>
      <c r="EU23" s="7"/>
      <c r="EV23" s="7"/>
      <c r="EW23" s="7"/>
      <c r="EX23" s="7"/>
      <c r="EY23" s="371"/>
      <c r="EZ23" s="371"/>
      <c r="FA23" s="371"/>
      <c r="FB23" s="371"/>
      <c r="FC23" s="147"/>
      <c r="FD23" s="147"/>
      <c r="FE23" s="147"/>
      <c r="FF23" s="147"/>
      <c r="FG23" s="147"/>
      <c r="FH23" s="147"/>
      <c r="FI23" s="147"/>
      <c r="FJ23" s="147"/>
      <c r="FK23" s="147"/>
      <c r="FL23" s="147"/>
      <c r="FM23" s="143"/>
      <c r="FN23" s="143"/>
      <c r="FO23" s="143"/>
      <c r="FP23" s="143"/>
      <c r="FQ23" s="147"/>
      <c r="FR23" s="147"/>
      <c r="FS23" s="3"/>
      <c r="FT23" s="3"/>
      <c r="FU23" s="6"/>
      <c r="FV23" s="6"/>
      <c r="FW23" s="157"/>
      <c r="FX23" s="157"/>
      <c r="FY23" s="157"/>
      <c r="FZ23" s="157"/>
      <c r="GA23" s="157"/>
      <c r="GB23" s="157"/>
      <c r="GC23" s="157"/>
      <c r="GD23" s="157"/>
      <c r="GE23" s="157"/>
      <c r="GF23" s="157"/>
      <c r="GG23" s="157"/>
      <c r="GH23" s="157"/>
      <c r="GI23" s="157"/>
      <c r="GJ23" s="157"/>
      <c r="GK23" s="147"/>
      <c r="GL23" s="147"/>
      <c r="GM23" s="157"/>
      <c r="GN23" s="157"/>
      <c r="GO23" s="168"/>
      <c r="GP23" s="168"/>
      <c r="GQ23" s="169"/>
      <c r="GR23" s="169"/>
      <c r="GS23" s="157"/>
      <c r="GT23" s="157"/>
      <c r="GU23" s="157"/>
      <c r="GV23" s="157"/>
      <c r="GW23" s="168"/>
      <c r="GX23" s="168"/>
      <c r="GY23" s="169"/>
      <c r="GZ23" s="169"/>
      <c r="HA23" s="157"/>
      <c r="HB23" s="157"/>
      <c r="HC23" s="6"/>
      <c r="HD23" s="6"/>
      <c r="HE23" s="143"/>
      <c r="HF23" s="143"/>
      <c r="HG23" s="6"/>
      <c r="HH23" s="6"/>
      <c r="HI23" s="143"/>
      <c r="HJ23" s="143"/>
      <c r="IM23" s="167"/>
      <c r="IN23" s="167"/>
      <c r="IO23" s="167"/>
      <c r="IP23" s="167"/>
      <c r="IQ23" s="167"/>
      <c r="IR23" s="167"/>
      <c r="IS23" s="167"/>
      <c r="IT23" s="167"/>
      <c r="IU23" s="167"/>
      <c r="IV23" s="167"/>
      <c r="IW23" s="167"/>
      <c r="IX23" s="167"/>
      <c r="IY23" s="167"/>
      <c r="IZ23" s="167"/>
      <c r="JA23" s="167"/>
      <c r="JB23" s="167"/>
      <c r="JC23" s="167"/>
      <c r="JD23" s="167"/>
      <c r="JE23" s="167"/>
      <c r="JF23" s="167"/>
      <c r="JG23" s="167"/>
      <c r="JH23" s="167"/>
      <c r="JI23" s="167"/>
      <c r="JJ23" s="167"/>
      <c r="JK23" s="167"/>
      <c r="JL23" s="167"/>
      <c r="JM23" s="3"/>
      <c r="JN23" s="3"/>
      <c r="JO23" s="7"/>
      <c r="JP23" s="7"/>
      <c r="JQ23" s="157"/>
      <c r="JR23" s="157"/>
      <c r="JS23" s="157"/>
      <c r="JT23" s="157"/>
      <c r="JU23" s="6"/>
      <c r="JV23" s="6"/>
      <c r="JW23" s="157"/>
      <c r="JX23" s="157"/>
      <c r="JY23" s="143"/>
      <c r="JZ23" s="143"/>
      <c r="KA23" s="147"/>
      <c r="KB23" s="147"/>
      <c r="KC23" s="157"/>
      <c r="KD23" s="157"/>
      <c r="KE23" s="157"/>
      <c r="KF23" s="157"/>
      <c r="KG23" s="118"/>
      <c r="KH23" s="118"/>
      <c r="KI23" s="157"/>
      <c r="KJ23" s="157"/>
      <c r="KK23" s="143"/>
      <c r="KL23" s="143"/>
      <c r="KM23" s="157"/>
      <c r="KN23" s="157"/>
      <c r="KO23" s="157"/>
      <c r="KP23" s="157"/>
      <c r="KQ23" s="157"/>
      <c r="KR23" s="157"/>
      <c r="KS23" s="143"/>
      <c r="KT23" s="143"/>
      <c r="KU23" s="157"/>
      <c r="KV23" s="157"/>
      <c r="KW23" s="168"/>
      <c r="KX23" s="168"/>
      <c r="KY23" s="169"/>
      <c r="KZ23" s="169"/>
      <c r="LA23" s="157"/>
      <c r="LB23" s="157"/>
      <c r="LC23" s="10"/>
      <c r="LD23" s="214"/>
      <c r="LE23" s="214"/>
      <c r="LF23" s="211"/>
      <c r="LG23" s="211"/>
      <c r="LH23" s="211"/>
      <c r="LI23" s="211"/>
      <c r="LJ23" s="211"/>
      <c r="LK23" s="211"/>
      <c r="LL23" s="211"/>
      <c r="LM23" s="211"/>
      <c r="LN23" s="211"/>
      <c r="LO23" s="211"/>
      <c r="LP23" s="211"/>
      <c r="LQ23" s="211"/>
      <c r="LR23" s="211"/>
      <c r="LS23" s="212"/>
      <c r="LT23" s="212"/>
      <c r="LU23" s="213"/>
      <c r="LV23" s="213"/>
      <c r="LW23" s="214"/>
      <c r="LX23" s="214"/>
      <c r="LY23" s="212"/>
      <c r="LZ23" s="212"/>
      <c r="MA23" s="215"/>
      <c r="MB23" s="215"/>
      <c r="MC23" s="214"/>
      <c r="MD23" s="214"/>
      <c r="ME23" s="212"/>
      <c r="MF23" s="212"/>
      <c r="MG23" s="211"/>
      <c r="MH23" s="211"/>
      <c r="MI23" s="214"/>
      <c r="MJ23" s="214"/>
    </row>
    <row r="24" spans="1:348" s="375" customFormat="1" ht="24.9" customHeight="1">
      <c r="A24" s="1"/>
      <c r="B24" s="5"/>
      <c r="C24" s="5"/>
      <c r="D24" s="66"/>
      <c r="E24" s="67"/>
      <c r="F24" s="5"/>
      <c r="G24" s="5"/>
      <c r="H24" s="5"/>
      <c r="I24" s="5"/>
      <c r="J24" s="67"/>
      <c r="K24" s="67"/>
      <c r="L24" s="5"/>
      <c r="M24" s="273"/>
      <c r="N24" s="5"/>
      <c r="O24" s="296"/>
      <c r="P24" s="296"/>
      <c r="Q24" s="296"/>
      <c r="R24" s="296"/>
      <c r="S24" s="461"/>
      <c r="T24" s="296"/>
      <c r="U24" s="296"/>
      <c r="V24" s="296"/>
      <c r="W24" s="296"/>
      <c r="X24" s="296"/>
      <c r="Y24" s="296"/>
      <c r="Z24" s="296"/>
      <c r="AA24" s="296"/>
      <c r="AB24" s="296"/>
      <c r="AC24" s="296"/>
      <c r="AD24" s="296"/>
      <c r="AE24" s="296"/>
      <c r="AF24" s="296"/>
      <c r="AG24" s="296"/>
      <c r="AH24" s="296"/>
      <c r="AI24" s="133"/>
      <c r="AJ24" s="133"/>
      <c r="AK24" s="133"/>
      <c r="AL24" s="133"/>
      <c r="AM24" s="133"/>
      <c r="AN24" s="133"/>
      <c r="AO24" s="133"/>
      <c r="AP24" s="133"/>
      <c r="AQ24" s="133"/>
      <c r="AR24" s="133"/>
      <c r="AS24" s="4"/>
      <c r="AT24" s="326"/>
      <c r="AU24" s="133"/>
      <c r="AV24" s="133"/>
      <c r="AW24" s="133"/>
      <c r="AX24" s="133"/>
      <c r="AY24" s="133"/>
      <c r="AZ24" s="133"/>
      <c r="BA24" s="133"/>
      <c r="BB24" s="133"/>
      <c r="BC24" s="373"/>
      <c r="BD24" s="374"/>
      <c r="BE24" s="133"/>
      <c r="BF24" s="133"/>
      <c r="BG24" s="133"/>
      <c r="BH24" s="133"/>
      <c r="BI24" s="143"/>
      <c r="BJ24" s="133"/>
      <c r="BK24" s="143"/>
      <c r="BL24" s="133"/>
      <c r="BM24" s="143"/>
      <c r="BN24" s="133"/>
      <c r="BO24" s="133"/>
      <c r="BP24" s="133"/>
      <c r="BQ24" s="369"/>
      <c r="BR24" s="147"/>
      <c r="BS24" s="147"/>
      <c r="BT24" s="143"/>
      <c r="BU24" s="147"/>
      <c r="BV24" s="143"/>
      <c r="BW24" s="143"/>
      <c r="BX24" s="3"/>
      <c r="BY24" s="3"/>
      <c r="BZ24" s="157"/>
      <c r="CA24" s="157"/>
      <c r="CB24" s="157"/>
      <c r="CC24" s="158"/>
      <c r="CD24" s="157"/>
      <c r="CE24" s="157"/>
      <c r="CF24" s="157"/>
      <c r="CG24" s="157"/>
      <c r="CH24" s="157"/>
      <c r="CI24" s="157"/>
      <c r="CJ24" s="157"/>
      <c r="CK24" s="157"/>
      <c r="CL24" s="157"/>
      <c r="CM24" s="157"/>
      <c r="CN24" s="66"/>
      <c r="CO24" s="66"/>
      <c r="CP24" s="3"/>
      <c r="CQ24" s="3"/>
      <c r="CR24" s="3"/>
      <c r="CS24" s="3"/>
      <c r="CT24" s="6"/>
      <c r="CU24" s="6"/>
      <c r="CV24" s="6"/>
      <c r="CW24" s="6"/>
      <c r="CX24" s="157"/>
      <c r="CY24" s="157"/>
      <c r="CZ24" s="157"/>
      <c r="DA24" s="157"/>
      <c r="DB24" s="157"/>
      <c r="DC24" s="157"/>
      <c r="DD24" s="157"/>
      <c r="DE24" s="157"/>
      <c r="DF24" s="143"/>
      <c r="DG24" s="143"/>
      <c r="DH24" s="159"/>
      <c r="DI24" s="167"/>
      <c r="DJ24" s="157"/>
      <c r="DK24" s="157"/>
      <c r="DL24" s="143"/>
      <c r="DM24" s="143"/>
      <c r="DN24" s="159"/>
      <c r="DO24" s="167"/>
      <c r="DP24" s="157"/>
      <c r="DQ24" s="157"/>
      <c r="DR24" s="143"/>
      <c r="DS24" s="143"/>
      <c r="DT24" s="147"/>
      <c r="DU24" s="147"/>
      <c r="DV24" s="147"/>
      <c r="DW24" s="147"/>
      <c r="DX24" s="147"/>
      <c r="DY24" s="147"/>
      <c r="DZ24" s="147"/>
      <c r="EA24" s="147"/>
      <c r="EB24" s="147"/>
      <c r="EC24" s="147"/>
      <c r="ED24" s="157"/>
      <c r="EE24" s="157"/>
      <c r="EF24" s="147"/>
      <c r="EG24" s="147"/>
      <c r="EH24" s="157"/>
      <c r="EI24" s="157"/>
      <c r="EJ24" s="143"/>
      <c r="EK24" s="147"/>
      <c r="EL24" s="147"/>
      <c r="EM24" s="368"/>
      <c r="EN24" s="368"/>
      <c r="EO24" s="368"/>
      <c r="EP24" s="368"/>
      <c r="EQ24" s="368"/>
      <c r="ER24" s="368"/>
      <c r="ES24" s="370"/>
      <c r="ET24" s="370"/>
      <c r="EU24" s="7"/>
      <c r="EV24" s="7"/>
      <c r="EW24" s="7"/>
      <c r="EX24" s="7"/>
      <c r="EY24" s="371"/>
      <c r="EZ24" s="371"/>
      <c r="FA24" s="371"/>
      <c r="FB24" s="371"/>
      <c r="FC24" s="147"/>
      <c r="FD24" s="147"/>
      <c r="FE24" s="147"/>
      <c r="FF24" s="147"/>
      <c r="FG24" s="147"/>
      <c r="FH24" s="147"/>
      <c r="FI24" s="147"/>
      <c r="FJ24" s="147"/>
      <c r="FK24" s="147"/>
      <c r="FL24" s="147"/>
      <c r="FM24" s="143"/>
      <c r="FN24" s="143"/>
      <c r="FO24" s="143"/>
      <c r="FP24" s="143"/>
      <c r="FQ24" s="147"/>
      <c r="FR24" s="147"/>
      <c r="FS24" s="3"/>
      <c r="FT24" s="3"/>
      <c r="FU24" s="6"/>
      <c r="FV24" s="6"/>
      <c r="FW24" s="157"/>
      <c r="FX24" s="157"/>
      <c r="FY24" s="157"/>
      <c r="FZ24" s="157"/>
      <c r="GA24" s="157"/>
      <c r="GB24" s="157"/>
      <c r="GC24" s="157"/>
      <c r="GD24" s="157"/>
      <c r="GE24" s="157"/>
      <c r="GF24" s="157"/>
      <c r="GG24" s="157"/>
      <c r="GH24" s="157"/>
      <c r="GI24" s="157"/>
      <c r="GJ24" s="157"/>
      <c r="GK24" s="147"/>
      <c r="GL24" s="147"/>
      <c r="GM24" s="157"/>
      <c r="GN24" s="157"/>
      <c r="GO24" s="168"/>
      <c r="GP24" s="168"/>
      <c r="GQ24" s="169"/>
      <c r="GR24" s="169"/>
      <c r="GS24" s="157"/>
      <c r="GT24" s="157"/>
      <c r="GU24" s="157"/>
      <c r="GV24" s="157"/>
      <c r="GW24" s="168"/>
      <c r="GX24" s="168"/>
      <c r="GY24" s="169"/>
      <c r="GZ24" s="169"/>
      <c r="HA24" s="157"/>
      <c r="HB24" s="157"/>
      <c r="HC24" s="6"/>
      <c r="HD24" s="6"/>
      <c r="HE24" s="143"/>
      <c r="HF24" s="143"/>
      <c r="HG24" s="6"/>
      <c r="HH24" s="6"/>
      <c r="HI24" s="143"/>
      <c r="HJ24" s="143"/>
      <c r="HX24" s="407"/>
      <c r="IL24" s="371"/>
      <c r="IM24" s="167"/>
      <c r="IN24" s="167"/>
      <c r="IO24" s="167"/>
      <c r="IP24" s="167"/>
      <c r="IQ24" s="167"/>
      <c r="IR24" s="167"/>
      <c r="IS24" s="167"/>
      <c r="IT24" s="167"/>
      <c r="IU24" s="167"/>
      <c r="IV24" s="167"/>
      <c r="IW24" s="167"/>
      <c r="IX24" s="167"/>
      <c r="IY24" s="167"/>
      <c r="IZ24" s="167"/>
      <c r="JA24" s="167"/>
      <c r="JB24" s="167"/>
      <c r="JC24" s="167"/>
      <c r="JD24" s="167"/>
      <c r="JE24" s="167"/>
      <c r="JF24" s="167"/>
      <c r="JG24" s="167"/>
      <c r="JH24" s="167"/>
      <c r="JI24" s="167"/>
      <c r="JJ24" s="167"/>
      <c r="JK24" s="167"/>
      <c r="JL24" s="167"/>
      <c r="JM24" s="3"/>
      <c r="JN24" s="3"/>
      <c r="JO24" s="7"/>
      <c r="JP24" s="7"/>
      <c r="JQ24" s="157"/>
      <c r="JR24" s="157"/>
      <c r="JS24" s="157"/>
      <c r="JT24" s="157"/>
      <c r="JU24" s="6"/>
      <c r="JV24" s="6"/>
      <c r="JW24" s="157"/>
      <c r="JX24" s="157"/>
      <c r="JY24" s="143"/>
      <c r="JZ24" s="143"/>
      <c r="KA24" s="147"/>
      <c r="KB24" s="147"/>
      <c r="KC24" s="157"/>
      <c r="KD24" s="157"/>
      <c r="KE24" s="157"/>
      <c r="KF24" s="157"/>
      <c r="KG24" s="118"/>
      <c r="KH24" s="118"/>
      <c r="KI24" s="157"/>
      <c r="KJ24" s="157"/>
      <c r="KK24" s="143"/>
      <c r="KL24" s="143"/>
      <c r="KM24" s="157"/>
      <c r="KN24" s="157"/>
      <c r="KO24" s="157"/>
      <c r="KP24" s="157"/>
      <c r="KQ24" s="157"/>
      <c r="KR24" s="157"/>
      <c r="KS24" s="143"/>
      <c r="KT24" s="143"/>
      <c r="KU24" s="157"/>
      <c r="KV24" s="157"/>
      <c r="KW24" s="168"/>
      <c r="KX24" s="168"/>
      <c r="KY24" s="169"/>
      <c r="KZ24" s="169"/>
      <c r="LA24" s="157"/>
      <c r="LB24" s="157"/>
      <c r="LC24" s="372"/>
      <c r="LD24" s="214"/>
      <c r="LE24" s="214"/>
      <c r="LF24" s="211"/>
      <c r="LG24" s="211"/>
      <c r="LH24" s="211"/>
      <c r="LI24" s="211"/>
      <c r="LJ24" s="211"/>
      <c r="LK24" s="211"/>
      <c r="LL24" s="211"/>
      <c r="LM24" s="211"/>
      <c r="LN24" s="211"/>
      <c r="LO24" s="211"/>
      <c r="LP24" s="211"/>
      <c r="LQ24" s="211"/>
      <c r="LR24" s="211"/>
      <c r="LS24" s="212">
        <f>AVERAGE(LS17:LS22)</f>
        <v>1.236047153452138</v>
      </c>
      <c r="LT24" s="212">
        <f>STDEV(LS17:LS22)</f>
        <v>1.5712292793912588E-2</v>
      </c>
      <c r="LU24" s="212">
        <f>AVERAGE(LU17:LU22)</f>
        <v>26.169770272470505</v>
      </c>
      <c r="LV24" s="212">
        <f>STDEV(LU17:LU22)</f>
        <v>0.31897682079735262</v>
      </c>
      <c r="LW24" s="214"/>
      <c r="LX24" s="214"/>
      <c r="LY24" s="212">
        <f>AVERAGE(LY17:LY22)</f>
        <v>1.5427657553620249</v>
      </c>
      <c r="LZ24" s="212">
        <f>STDEV(LY17:LY22)</f>
        <v>2.4542316188400859E-2</v>
      </c>
      <c r="MA24" s="212">
        <f>AVERAGE(MA17:MA22)</f>
        <v>7.5091582159801362</v>
      </c>
      <c r="MB24" s="212">
        <f>STDEV(MA17:MA22)</f>
        <v>0.11482994255839375</v>
      </c>
      <c r="MC24" s="214"/>
      <c r="MD24" s="214"/>
      <c r="ME24" s="212">
        <f>AVERAGE(ME17:ME22)</f>
        <v>1.308203024524234</v>
      </c>
      <c r="MF24" s="212">
        <f>STDEV(ME17:ME22)</f>
        <v>4.3008520359149718E-2</v>
      </c>
      <c r="MG24" s="212">
        <f>AVERAGE(MG17:MG22)</f>
        <v>20.162258156415845</v>
      </c>
      <c r="MH24" s="212">
        <f>STDEV(MG17:MG22)</f>
        <v>0.66285498057306957</v>
      </c>
      <c r="MI24" s="214"/>
      <c r="MJ24" s="214"/>
    </row>
    <row r="25" spans="1:348" s="85" customFormat="1" ht="24.9" customHeight="1">
      <c r="A25" s="1"/>
      <c r="B25" s="5"/>
      <c r="C25" s="5"/>
      <c r="D25" s="66"/>
      <c r="E25" s="67"/>
      <c r="F25" s="5"/>
      <c r="G25" s="5"/>
      <c r="H25" s="5"/>
      <c r="I25" s="5"/>
      <c r="J25" s="67"/>
      <c r="K25" s="67"/>
      <c r="L25" s="5"/>
      <c r="M25" s="273"/>
      <c r="N25" s="5"/>
      <c r="X25" s="368"/>
      <c r="Y25" s="296"/>
      <c r="Z25" s="296"/>
      <c r="AA25" s="296"/>
      <c r="AB25" s="296"/>
      <c r="AC25" s="296"/>
      <c r="AD25" s="296"/>
      <c r="AE25" s="296"/>
      <c r="AF25" s="296"/>
      <c r="AG25" s="296"/>
      <c r="AH25" s="296"/>
      <c r="AI25" s="133"/>
      <c r="AJ25" s="133"/>
      <c r="AK25" s="133"/>
      <c r="AL25" s="133"/>
      <c r="AM25" s="133"/>
      <c r="AN25" s="133"/>
      <c r="AO25" s="133"/>
      <c r="AP25" s="133"/>
      <c r="AQ25" s="133"/>
      <c r="AR25" s="133"/>
      <c r="AS25" s="4"/>
      <c r="AT25" s="326"/>
      <c r="AU25" s="133"/>
      <c r="AV25" s="133"/>
      <c r="AW25" s="133"/>
      <c r="AX25" s="133"/>
      <c r="AY25" s="133"/>
      <c r="AZ25" s="133"/>
      <c r="BA25" s="133"/>
      <c r="BB25" s="133"/>
      <c r="BC25" s="6"/>
      <c r="BD25" s="8"/>
      <c r="BE25" s="133"/>
      <c r="BF25" s="133"/>
      <c r="BG25" s="133"/>
      <c r="BH25" s="133"/>
      <c r="BI25" s="143"/>
      <c r="BJ25" s="133"/>
      <c r="BK25" s="143"/>
      <c r="BL25" s="133"/>
      <c r="BM25" s="143"/>
      <c r="BN25" s="133"/>
      <c r="BO25" s="133"/>
      <c r="BP25" s="133"/>
      <c r="BQ25" s="369"/>
      <c r="BR25" s="147"/>
      <c r="BS25" s="147"/>
      <c r="BT25" s="143"/>
      <c r="BU25" s="147"/>
      <c r="BV25" s="143"/>
      <c r="BW25" s="143"/>
      <c r="BX25" s="3"/>
      <c r="BY25" s="3"/>
      <c r="BZ25" s="157"/>
      <c r="CA25" s="157"/>
      <c r="CB25" s="157"/>
      <c r="CC25" s="158"/>
      <c r="CD25" s="157"/>
      <c r="CE25" s="157"/>
      <c r="CF25" s="157"/>
      <c r="CG25" s="157"/>
      <c r="CH25" s="157"/>
      <c r="CI25" s="157"/>
      <c r="CJ25" s="157"/>
      <c r="CK25" s="157"/>
      <c r="CL25" s="157"/>
      <c r="CM25" s="157"/>
      <c r="CN25" s="66"/>
      <c r="CO25" s="66"/>
      <c r="CP25" s="3"/>
      <c r="CQ25" s="3"/>
      <c r="CR25" s="3"/>
      <c r="CS25" s="3"/>
      <c r="CT25" s="6"/>
      <c r="CU25" s="6"/>
      <c r="CV25" s="6"/>
      <c r="CW25" s="6"/>
      <c r="CX25" s="157"/>
      <c r="CY25" s="157"/>
      <c r="CZ25" s="157"/>
      <c r="DA25" s="157"/>
      <c r="DB25" s="157"/>
      <c r="DC25" s="157"/>
      <c r="DD25" s="157"/>
      <c r="DE25" s="157"/>
      <c r="DF25" s="143"/>
      <c r="DG25" s="143"/>
      <c r="DH25" s="159"/>
      <c r="DI25" s="167"/>
      <c r="DJ25" s="157"/>
      <c r="DK25" s="157"/>
      <c r="DL25" s="143"/>
      <c r="DM25" s="143"/>
      <c r="DN25" s="159"/>
      <c r="DO25" s="167"/>
      <c r="DP25" s="157"/>
      <c r="DQ25" s="157"/>
      <c r="DR25" s="143"/>
      <c r="DS25" s="143"/>
      <c r="DT25" s="147"/>
      <c r="DU25" s="147"/>
      <c r="DV25" s="147"/>
      <c r="DW25" s="147"/>
      <c r="DX25" s="147"/>
      <c r="DY25" s="147"/>
      <c r="DZ25" s="147"/>
      <c r="EA25" s="147"/>
      <c r="EB25" s="147"/>
      <c r="EC25" s="147"/>
      <c r="ED25" s="157"/>
      <c r="EE25" s="157"/>
      <c r="EF25" s="147"/>
      <c r="EG25" s="147"/>
      <c r="EH25" s="157"/>
      <c r="EI25" s="157"/>
      <c r="EJ25" s="143"/>
      <c r="EK25" s="147"/>
      <c r="EL25" s="147"/>
      <c r="EM25" s="368"/>
      <c r="EN25" s="368"/>
      <c r="EO25" s="368"/>
      <c r="EP25" s="368"/>
      <c r="EQ25" s="368"/>
      <c r="ER25" s="368"/>
      <c r="ES25" s="370"/>
      <c r="ET25" s="370"/>
      <c r="EU25" s="7"/>
      <c r="EV25" s="7"/>
      <c r="EW25" s="7"/>
      <c r="EX25" s="7"/>
      <c r="EY25" s="371"/>
      <c r="EZ25" s="371"/>
      <c r="FA25" s="371"/>
      <c r="FB25" s="371"/>
      <c r="FC25" s="147"/>
      <c r="FD25" s="147"/>
      <c r="FE25" s="147"/>
      <c r="FF25" s="147"/>
      <c r="FG25" s="147"/>
      <c r="FH25" s="147"/>
      <c r="FI25" s="147"/>
      <c r="FJ25" s="147"/>
      <c r="FK25" s="147"/>
      <c r="FL25" s="147"/>
      <c r="FM25" s="143"/>
      <c r="FN25" s="143"/>
      <c r="FO25" s="143"/>
      <c r="FP25" s="143"/>
      <c r="FQ25" s="147"/>
      <c r="FR25" s="147"/>
      <c r="FS25" s="3"/>
      <c r="FT25" s="3"/>
      <c r="FU25" s="6"/>
      <c r="FV25" s="6"/>
      <c r="FW25" s="157"/>
      <c r="FX25" s="157"/>
      <c r="FY25" s="157"/>
      <c r="FZ25" s="157"/>
      <c r="GA25" s="157"/>
      <c r="GB25" s="157"/>
      <c r="GC25" s="157"/>
      <c r="GD25" s="157"/>
      <c r="GE25" s="157"/>
      <c r="GF25" s="157"/>
      <c r="GG25" s="157"/>
      <c r="GH25" s="157"/>
      <c r="GI25" s="157"/>
      <c r="GJ25" s="157"/>
      <c r="GK25" s="147"/>
      <c r="GL25" s="147"/>
      <c r="GM25" s="157"/>
      <c r="GN25" s="157"/>
      <c r="GO25" s="168"/>
      <c r="GP25" s="168"/>
      <c r="GQ25" s="169"/>
      <c r="GR25" s="169"/>
      <c r="GS25" s="157"/>
      <c r="GT25" s="157"/>
      <c r="GU25" s="157"/>
      <c r="GV25" s="157"/>
      <c r="GW25" s="168"/>
      <c r="GX25" s="168"/>
      <c r="GY25" s="169"/>
      <c r="GZ25" s="169"/>
      <c r="HA25" s="157"/>
      <c r="HB25" s="157"/>
      <c r="HC25" s="6"/>
      <c r="HD25" s="6"/>
      <c r="HE25" s="143"/>
      <c r="HF25" s="143"/>
      <c r="HG25" s="6"/>
      <c r="HH25" s="6"/>
      <c r="HI25" s="143"/>
      <c r="HJ25" s="143"/>
      <c r="IF25" s="407"/>
      <c r="IG25" s="407"/>
      <c r="IH25" s="407"/>
      <c r="II25" s="371"/>
      <c r="IJ25" s="371"/>
      <c r="IK25" s="371"/>
      <c r="IL25" s="371"/>
      <c r="IM25" s="167"/>
      <c r="IN25" s="167"/>
      <c r="IO25" s="167"/>
      <c r="IP25" s="167"/>
      <c r="IQ25" s="167"/>
      <c r="IR25" s="167"/>
      <c r="IS25" s="167"/>
      <c r="IT25" s="167"/>
      <c r="IU25" s="167"/>
      <c r="IV25" s="167"/>
      <c r="IW25" s="167"/>
      <c r="IX25" s="167"/>
      <c r="IY25" s="167"/>
      <c r="IZ25" s="167"/>
      <c r="JA25" s="167"/>
      <c r="JB25" s="167"/>
      <c r="JC25" s="167"/>
      <c r="JD25" s="167"/>
      <c r="JE25" s="167"/>
      <c r="JF25" s="167"/>
      <c r="JG25" s="167"/>
      <c r="JH25" s="167"/>
      <c r="JI25" s="167"/>
      <c r="JJ25" s="167"/>
      <c r="JK25" s="167"/>
      <c r="JL25" s="167"/>
      <c r="JM25" s="3"/>
      <c r="JN25" s="3"/>
      <c r="JO25" s="7"/>
      <c r="JP25" s="7"/>
      <c r="JQ25" s="157"/>
      <c r="JR25" s="157"/>
      <c r="JS25" s="157"/>
      <c r="JT25" s="157"/>
      <c r="JU25" s="6"/>
      <c r="JV25" s="6"/>
      <c r="JW25" s="157"/>
      <c r="JX25" s="157"/>
      <c r="JY25" s="143"/>
      <c r="JZ25" s="143"/>
      <c r="KA25" s="147"/>
      <c r="KB25" s="147"/>
      <c r="KC25" s="157"/>
      <c r="KD25" s="157"/>
      <c r="KE25" s="157"/>
      <c r="KF25" s="157"/>
      <c r="KG25" s="118"/>
      <c r="KH25" s="118"/>
      <c r="KI25" s="157"/>
      <c r="KJ25" s="157"/>
      <c r="KK25" s="143"/>
      <c r="KL25" s="143"/>
      <c r="KM25" s="157"/>
      <c r="KN25" s="157"/>
      <c r="KO25" s="157"/>
      <c r="KP25" s="157"/>
      <c r="KQ25" s="157"/>
      <c r="KR25" s="157"/>
      <c r="KS25" s="143"/>
      <c r="KT25" s="143"/>
      <c r="KU25" s="157"/>
      <c r="KV25" s="157"/>
      <c r="KW25" s="168"/>
      <c r="KX25" s="168"/>
      <c r="KY25" s="169"/>
      <c r="KZ25" s="169"/>
      <c r="LA25" s="157"/>
      <c r="LB25" s="157"/>
      <c r="LC25" s="10"/>
      <c r="LD25" s="214"/>
      <c r="LE25" s="214"/>
      <c r="LF25" s="211"/>
      <c r="LG25" s="211"/>
      <c r="LH25" s="211"/>
      <c r="LI25" s="211"/>
      <c r="LJ25" s="211"/>
      <c r="LK25" s="211"/>
      <c r="LL25" s="211"/>
      <c r="LM25" s="211"/>
      <c r="LN25" s="211"/>
      <c r="LO25" s="211"/>
      <c r="LP25" s="211"/>
      <c r="LQ25" s="211"/>
      <c r="LR25" s="211"/>
      <c r="LU25" s="213"/>
      <c r="LV25" s="213"/>
      <c r="LW25" s="214"/>
      <c r="LX25" s="214"/>
      <c r="LY25" s="212"/>
      <c r="LZ25" s="212"/>
      <c r="MA25" s="215"/>
      <c r="MB25" s="215"/>
      <c r="MC25" s="214"/>
      <c r="MD25" s="214"/>
      <c r="ME25" s="212"/>
      <c r="MF25" s="212"/>
      <c r="MG25" s="211"/>
      <c r="MH25" s="211"/>
      <c r="MI25" s="214"/>
      <c r="MJ25" s="214"/>
    </row>
    <row r="26" spans="1:348" s="13" customFormat="1" ht="24.9" customHeight="1">
      <c r="A26" s="1"/>
      <c r="B26" s="5"/>
      <c r="C26" s="5"/>
      <c r="D26" s="66"/>
      <c r="E26" s="67"/>
      <c r="F26" s="5"/>
      <c r="G26" s="5"/>
      <c r="H26" s="5"/>
      <c r="I26" s="5"/>
      <c r="J26" s="67"/>
      <c r="K26" s="67"/>
      <c r="L26" s="5"/>
      <c r="M26" s="273"/>
      <c r="N26" s="5"/>
      <c r="O26" s="368"/>
      <c r="U26" s="368"/>
      <c r="V26" s="368"/>
      <c r="W26" s="368"/>
      <c r="X26" s="368"/>
      <c r="AH26" s="296"/>
      <c r="AI26" s="133"/>
      <c r="AJ26" s="133"/>
      <c r="AK26" s="133"/>
      <c r="AL26" s="133"/>
      <c r="AM26" s="133"/>
      <c r="AN26" s="133"/>
      <c r="AO26" s="133"/>
      <c r="AP26" s="133"/>
      <c r="AQ26" s="133"/>
      <c r="AR26" s="133"/>
      <c r="AS26" s="4"/>
      <c r="AT26" s="326"/>
      <c r="AU26" s="133"/>
      <c r="AV26" s="133"/>
      <c r="AW26" s="133"/>
      <c r="AX26" s="133"/>
      <c r="AY26" s="133"/>
      <c r="AZ26" s="133"/>
      <c r="BA26" s="133"/>
      <c r="BB26" s="133"/>
      <c r="BC26" s="6"/>
      <c r="BD26" s="8"/>
      <c r="BE26" s="133"/>
      <c r="BF26" s="133"/>
      <c r="BG26" s="133"/>
      <c r="BH26" s="133"/>
      <c r="BI26" s="143"/>
      <c r="BJ26" s="133"/>
      <c r="BK26" s="143"/>
      <c r="BL26" s="133"/>
      <c r="BM26" s="143"/>
      <c r="BN26" s="133"/>
      <c r="BO26" s="133"/>
      <c r="BP26" s="133"/>
      <c r="BQ26" s="369"/>
      <c r="BR26" s="147"/>
      <c r="BS26" s="147"/>
      <c r="BT26" s="143"/>
      <c r="BU26" s="147"/>
      <c r="BV26" s="143"/>
      <c r="BW26" s="143"/>
      <c r="BX26" s="3"/>
      <c r="BY26" s="3"/>
      <c r="BZ26" s="157"/>
      <c r="CA26" s="157"/>
      <c r="CB26" s="157"/>
      <c r="CC26" s="158"/>
      <c r="CD26" s="157"/>
      <c r="CE26" s="157"/>
      <c r="CF26" s="157"/>
      <c r="CG26" s="157"/>
      <c r="CH26" s="157"/>
      <c r="CI26" s="157"/>
      <c r="CJ26" s="157"/>
      <c r="CK26" s="157"/>
      <c r="CL26" s="157"/>
      <c r="CM26" s="157"/>
      <c r="CN26" s="66"/>
      <c r="CO26" s="66"/>
      <c r="CP26" s="3"/>
      <c r="CQ26" s="3"/>
      <c r="CR26" s="3"/>
      <c r="CS26" s="3"/>
      <c r="CT26" s="6"/>
      <c r="CU26" s="6"/>
      <c r="CV26" s="6"/>
      <c r="CW26" s="6"/>
      <c r="CX26" s="157"/>
      <c r="CY26" s="157"/>
      <c r="CZ26" s="157"/>
      <c r="DA26" s="157"/>
      <c r="DB26" s="157"/>
      <c r="DC26" s="157"/>
      <c r="DD26" s="157"/>
      <c r="DE26" s="157"/>
      <c r="DF26" s="143"/>
      <c r="DG26" s="143"/>
      <c r="DH26" s="159"/>
      <c r="DI26" s="167"/>
      <c r="DJ26" s="157"/>
      <c r="DK26" s="157"/>
      <c r="DL26" s="143"/>
      <c r="DM26" s="143"/>
      <c r="DN26" s="159"/>
      <c r="DO26" s="167"/>
      <c r="DP26" s="157"/>
      <c r="DQ26" s="157"/>
      <c r="DR26" s="143"/>
      <c r="DS26" s="143"/>
      <c r="DT26" s="147"/>
      <c r="DU26" s="147"/>
      <c r="DV26" s="147"/>
      <c r="DW26" s="147"/>
      <c r="DX26" s="147"/>
      <c r="DY26" s="147"/>
      <c r="DZ26" s="147"/>
      <c r="EA26" s="147"/>
      <c r="EB26" s="147"/>
      <c r="EC26" s="147"/>
      <c r="ED26" s="157"/>
      <c r="EE26" s="157"/>
      <c r="EF26" s="147"/>
      <c r="EG26" s="147"/>
      <c r="EH26" s="157"/>
      <c r="EI26" s="157"/>
      <c r="EJ26" s="143"/>
      <c r="EK26" s="147"/>
      <c r="EL26" s="147"/>
      <c r="EM26" s="368"/>
      <c r="EQ26" s="368"/>
      <c r="ER26" s="368"/>
      <c r="ES26" s="370"/>
      <c r="ET26" s="370"/>
      <c r="FA26" s="371"/>
      <c r="FB26" s="371"/>
      <c r="FC26" s="147"/>
      <c r="FD26" s="147"/>
      <c r="FE26" s="147"/>
      <c r="FF26" s="147"/>
      <c r="FG26" s="147"/>
      <c r="FH26" s="147"/>
      <c r="FI26" s="147"/>
      <c r="FJ26" s="147"/>
      <c r="FK26" s="147"/>
      <c r="FL26" s="147"/>
      <c r="FM26" s="143"/>
      <c r="FN26" s="143"/>
      <c r="FO26" s="143"/>
      <c r="FP26" s="143"/>
      <c r="FQ26" s="147"/>
      <c r="FR26" s="147"/>
      <c r="FS26" s="3"/>
      <c r="FT26" s="3"/>
      <c r="FU26" s="6"/>
      <c r="FV26" s="6"/>
      <c r="FW26" s="157"/>
      <c r="FX26" s="157"/>
      <c r="FY26" s="157"/>
      <c r="FZ26" s="157"/>
      <c r="GA26" s="157"/>
      <c r="GB26" s="157"/>
      <c r="GC26" s="157"/>
      <c r="GD26" s="157"/>
      <c r="GE26" s="157"/>
      <c r="GF26" s="157"/>
      <c r="GG26" s="157"/>
      <c r="GH26" s="157"/>
      <c r="GI26" s="157"/>
      <c r="GJ26" s="157"/>
      <c r="GK26" s="147"/>
      <c r="GL26" s="147"/>
      <c r="GM26" s="157"/>
      <c r="GN26" s="157"/>
      <c r="GO26" s="168"/>
      <c r="GP26" s="168"/>
      <c r="GQ26" s="169"/>
      <c r="GR26" s="169"/>
      <c r="GS26" s="157"/>
      <c r="GT26" s="157"/>
      <c r="GU26" s="157"/>
      <c r="GV26" s="157"/>
      <c r="GW26" s="168"/>
      <c r="GX26" s="168"/>
      <c r="GY26" s="169"/>
      <c r="GZ26" s="169"/>
      <c r="HA26" s="157"/>
      <c r="HB26" s="157"/>
      <c r="HC26" s="6"/>
      <c r="HD26" s="6"/>
      <c r="HE26" s="143"/>
      <c r="HF26" s="143"/>
      <c r="HG26" s="6"/>
      <c r="HH26" s="6"/>
      <c r="HI26" s="143"/>
      <c r="HJ26" s="143"/>
      <c r="HX26" s="407"/>
      <c r="IF26" s="407"/>
      <c r="IG26" s="407"/>
      <c r="IH26" s="407"/>
      <c r="II26" s="407"/>
      <c r="IJ26" s="407"/>
      <c r="IK26" s="371"/>
      <c r="IL26" s="371"/>
      <c r="IM26" s="167"/>
      <c r="IN26" s="167"/>
      <c r="IO26" s="167"/>
      <c r="IP26" s="167"/>
      <c r="IQ26" s="167"/>
      <c r="IR26" s="167"/>
      <c r="IS26" s="167"/>
      <c r="IT26" s="167"/>
      <c r="IU26" s="167"/>
      <c r="IV26" s="167"/>
      <c r="IW26" s="167"/>
      <c r="IX26" s="167"/>
      <c r="IY26" s="167"/>
      <c r="IZ26" s="167"/>
      <c r="JA26" s="167"/>
      <c r="JB26" s="167"/>
      <c r="JC26" s="167"/>
      <c r="JD26" s="167"/>
      <c r="JE26" s="167"/>
      <c r="JF26" s="167"/>
      <c r="JG26" s="167"/>
      <c r="JH26" s="167"/>
      <c r="JI26" s="167"/>
      <c r="JJ26" s="167"/>
      <c r="JK26" s="167"/>
      <c r="JL26" s="167"/>
      <c r="JM26" s="3"/>
      <c r="JN26" s="3"/>
      <c r="JO26" s="7"/>
      <c r="JP26" s="7"/>
      <c r="JQ26" s="157"/>
      <c r="JR26" s="157"/>
      <c r="JS26" s="157"/>
      <c r="JT26" s="157"/>
      <c r="JU26" s="6"/>
      <c r="JV26" s="6"/>
      <c r="JW26" s="157"/>
      <c r="JX26" s="157"/>
      <c r="JY26" s="143"/>
      <c r="JZ26" s="143"/>
      <c r="KA26" s="147"/>
      <c r="KB26" s="147"/>
      <c r="KC26" s="157"/>
      <c r="KD26" s="157"/>
      <c r="KE26" s="157"/>
      <c r="KF26" s="157"/>
      <c r="KG26" s="118"/>
      <c r="KH26" s="118"/>
      <c r="KI26" s="157"/>
      <c r="KJ26" s="157"/>
      <c r="KK26" s="143"/>
      <c r="KL26" s="143"/>
      <c r="KM26" s="157"/>
      <c r="KN26" s="157"/>
      <c r="KO26" s="157"/>
      <c r="KP26" s="157"/>
      <c r="KQ26" s="157"/>
      <c r="KR26" s="157"/>
      <c r="KS26" s="143"/>
      <c r="KT26" s="143"/>
      <c r="KU26" s="157"/>
      <c r="KV26" s="157"/>
      <c r="KW26" s="168"/>
      <c r="KX26" s="168"/>
      <c r="KY26" s="169"/>
      <c r="KZ26" s="169"/>
      <c r="LA26" s="157"/>
      <c r="LB26" s="157"/>
      <c r="LC26" s="10"/>
      <c r="LD26" s="214"/>
      <c r="LE26" s="214"/>
      <c r="LF26" s="211"/>
      <c r="LG26" s="211"/>
      <c r="LH26" s="211"/>
      <c r="LI26" s="211"/>
      <c r="LJ26" s="211"/>
      <c r="LK26" s="211"/>
      <c r="LL26" s="211"/>
      <c r="LM26" s="211"/>
      <c r="LN26" s="211"/>
      <c r="LO26" s="211"/>
      <c r="LP26" s="211"/>
      <c r="LQ26" s="211"/>
      <c r="LR26" s="211"/>
      <c r="LS26" s="212"/>
      <c r="LT26" s="212"/>
      <c r="LU26" s="213"/>
      <c r="LV26" s="213"/>
      <c r="LW26" s="214"/>
      <c r="LX26" s="214"/>
      <c r="LY26" s="212"/>
      <c r="LZ26" s="212"/>
      <c r="MA26" s="215"/>
      <c r="MB26" s="215"/>
      <c r="MC26" s="214"/>
      <c r="MD26" s="214"/>
      <c r="ME26" s="212"/>
      <c r="MF26" s="212"/>
      <c r="MG26" s="211"/>
      <c r="MH26" s="211"/>
      <c r="MI26" s="214"/>
      <c r="MJ26" s="214"/>
    </row>
    <row r="27" spans="1:348" s="13" customFormat="1" ht="24.9" customHeight="1">
      <c r="A27" s="1"/>
      <c r="B27" s="5"/>
      <c r="C27" s="5"/>
      <c r="D27" s="66"/>
      <c r="E27" s="67"/>
      <c r="F27" s="5"/>
      <c r="G27" s="5"/>
      <c r="H27" s="5"/>
      <c r="I27" s="5"/>
      <c r="J27" s="67"/>
      <c r="K27" s="67"/>
      <c r="L27" s="5"/>
      <c r="M27" s="273"/>
      <c r="N27" s="5"/>
      <c r="O27" s="368"/>
      <c r="P27" s="368"/>
      <c r="Q27" s="368"/>
      <c r="R27" s="368"/>
      <c r="S27" s="368"/>
      <c r="T27" s="368"/>
      <c r="U27" s="368"/>
      <c r="V27" s="368"/>
      <c r="W27" s="368"/>
      <c r="X27" s="368"/>
      <c r="AH27" s="368"/>
      <c r="AI27" s="133"/>
      <c r="AJ27" s="133"/>
      <c r="AK27" s="133"/>
      <c r="AL27" s="133"/>
      <c r="AM27" s="133"/>
      <c r="AN27" s="133"/>
      <c r="AO27" s="133"/>
      <c r="AP27" s="133"/>
      <c r="AQ27" s="133"/>
      <c r="AR27" s="133"/>
      <c r="AS27" s="4"/>
      <c r="AT27" s="326"/>
      <c r="AU27" s="133"/>
      <c r="AV27" s="133"/>
      <c r="AW27" s="133"/>
      <c r="AX27" s="133"/>
      <c r="AY27" s="133"/>
      <c r="AZ27" s="133"/>
      <c r="BA27" s="133"/>
      <c r="BB27" s="133"/>
      <c r="BC27" s="6"/>
      <c r="BD27" s="8"/>
      <c r="BE27" s="133"/>
      <c r="BF27" s="133"/>
      <c r="BG27" s="133"/>
      <c r="BH27" s="133"/>
      <c r="BI27" s="143"/>
      <c r="BJ27" s="133"/>
      <c r="BK27" s="143"/>
      <c r="BL27" s="133"/>
      <c r="BM27" s="143"/>
      <c r="BN27" s="133"/>
      <c r="BO27" s="133"/>
      <c r="BP27" s="133"/>
      <c r="BQ27" s="369"/>
      <c r="BR27" s="147"/>
      <c r="BS27" s="147"/>
      <c r="BT27" s="143"/>
      <c r="BU27" s="147"/>
      <c r="BV27" s="143"/>
      <c r="BW27" s="143"/>
      <c r="BX27" s="3"/>
      <c r="BY27" s="3"/>
      <c r="BZ27" s="157"/>
      <c r="CA27" s="157"/>
      <c r="CB27" s="157"/>
      <c r="CC27" s="158"/>
      <c r="CD27" s="157"/>
      <c r="CE27" s="157"/>
      <c r="CF27" s="157"/>
      <c r="CG27" s="157"/>
      <c r="CH27" s="157"/>
      <c r="CI27" s="157"/>
      <c r="CJ27" s="157"/>
      <c r="CK27" s="157"/>
      <c r="CL27" s="157"/>
      <c r="CM27" s="157"/>
      <c r="CN27" s="66"/>
      <c r="CO27" s="66"/>
      <c r="CP27" s="3"/>
      <c r="CQ27" s="3"/>
      <c r="CR27" s="3"/>
      <c r="CS27" s="3"/>
      <c r="CT27" s="6"/>
      <c r="CU27" s="6"/>
      <c r="CV27" s="6"/>
      <c r="CW27" s="6"/>
      <c r="CX27" s="157"/>
      <c r="CY27" s="157"/>
      <c r="CZ27" s="157"/>
      <c r="DA27" s="157"/>
      <c r="DB27" s="157"/>
      <c r="DC27" s="157"/>
      <c r="DD27" s="157"/>
      <c r="DE27" s="157"/>
      <c r="DF27" s="143"/>
      <c r="DG27" s="143"/>
      <c r="DH27" s="159"/>
      <c r="DI27" s="167"/>
      <c r="DJ27" s="157"/>
      <c r="DK27" s="157"/>
      <c r="DL27" s="143"/>
      <c r="DM27" s="143"/>
      <c r="DN27" s="159"/>
      <c r="DO27" s="167"/>
      <c r="DP27" s="157"/>
      <c r="DQ27" s="157"/>
      <c r="DR27" s="143"/>
      <c r="DS27" s="143"/>
      <c r="DT27" s="147"/>
      <c r="DU27" s="147"/>
      <c r="DV27" s="147"/>
      <c r="DW27" s="147"/>
      <c r="DX27" s="147"/>
      <c r="DY27" s="147"/>
      <c r="DZ27" s="147"/>
      <c r="EA27" s="147"/>
      <c r="EB27" s="147"/>
      <c r="EC27" s="147"/>
      <c r="ED27" s="157"/>
      <c r="EE27" s="157"/>
      <c r="EF27" s="147"/>
      <c r="EG27" s="147"/>
      <c r="EH27" s="157"/>
      <c r="EI27" s="157"/>
      <c r="EJ27" s="143"/>
      <c r="EK27" s="147"/>
      <c r="EL27" s="147"/>
      <c r="EM27" s="368"/>
      <c r="EN27" s="368"/>
      <c r="EO27" s="368"/>
      <c r="EP27" s="368"/>
      <c r="EQ27" s="368"/>
      <c r="ER27" s="368"/>
      <c r="ES27" s="370"/>
      <c r="ET27" s="370"/>
      <c r="EU27" s="6"/>
      <c r="EV27" s="328"/>
      <c r="EW27" s="6"/>
      <c r="EX27" s="68"/>
      <c r="EY27" s="328"/>
      <c r="EZ27" s="328"/>
      <c r="FA27" s="371"/>
      <c r="FB27" s="371"/>
      <c r="FC27" s="147"/>
      <c r="FD27" s="147"/>
      <c r="FE27" s="147"/>
      <c r="FF27" s="147"/>
      <c r="FG27" s="147"/>
      <c r="FH27" s="147"/>
      <c r="FI27" s="147"/>
      <c r="FJ27" s="147"/>
      <c r="FK27" s="147"/>
      <c r="FL27" s="147"/>
      <c r="FM27" s="143"/>
      <c r="FN27" s="143"/>
      <c r="FO27" s="143"/>
      <c r="FP27" s="143"/>
      <c r="FQ27" s="147"/>
      <c r="FR27" s="147"/>
      <c r="FS27" s="3"/>
      <c r="FT27" s="3"/>
      <c r="FU27" s="6"/>
      <c r="FV27" s="6"/>
      <c r="FW27" s="157"/>
      <c r="FX27" s="157"/>
      <c r="FY27" s="157"/>
      <c r="FZ27" s="157"/>
      <c r="GA27" s="157"/>
      <c r="GB27" s="157"/>
      <c r="GC27" s="157"/>
      <c r="GD27" s="157"/>
      <c r="GE27" s="157"/>
      <c r="GF27" s="157"/>
      <c r="GG27" s="157"/>
      <c r="GH27" s="157"/>
      <c r="GI27" s="157"/>
      <c r="GJ27" s="157"/>
      <c r="GK27" s="147"/>
      <c r="GL27" s="147"/>
      <c r="GM27" s="157"/>
      <c r="GN27" s="157"/>
      <c r="GO27" s="168"/>
      <c r="GP27" s="168"/>
      <c r="GQ27" s="169"/>
      <c r="GR27" s="169"/>
      <c r="GS27" s="157"/>
      <c r="GT27" s="157"/>
      <c r="GU27" s="157"/>
      <c r="GV27" s="157"/>
      <c r="GW27" s="168"/>
      <c r="GX27" s="168"/>
      <c r="GY27" s="169"/>
      <c r="GZ27" s="169"/>
      <c r="HA27" s="157"/>
      <c r="HB27" s="157"/>
      <c r="HC27" s="6"/>
      <c r="HD27" s="6"/>
      <c r="HE27" s="143"/>
      <c r="HF27" s="143"/>
      <c r="HG27" s="6"/>
      <c r="HH27" s="6"/>
      <c r="HI27" s="143"/>
      <c r="HJ27" s="143"/>
      <c r="HK27" s="412"/>
      <c r="HL27" s="413"/>
      <c r="HM27" s="413"/>
      <c r="HN27" s="412"/>
      <c r="HO27" s="413"/>
      <c r="HP27" s="413"/>
      <c r="HQ27" s="412"/>
      <c r="HR27" s="412"/>
      <c r="HS27" s="412"/>
      <c r="HT27" s="413"/>
      <c r="HU27" s="413"/>
      <c r="HV27" s="412"/>
      <c r="HW27" s="413"/>
      <c r="HX27" s="413"/>
      <c r="HY27" s="371"/>
      <c r="HZ27" s="407"/>
      <c r="IA27" s="371"/>
      <c r="IB27" s="371"/>
      <c r="IC27" s="407"/>
      <c r="ID27" s="407"/>
      <c r="IE27" s="407"/>
      <c r="IF27" s="371"/>
      <c r="IG27" s="371"/>
      <c r="IH27" s="407"/>
      <c r="II27" s="371"/>
      <c r="IJ27" s="407"/>
      <c r="IK27" s="407"/>
      <c r="IL27" s="407"/>
      <c r="IM27" s="167"/>
      <c r="IN27" s="167"/>
      <c r="IO27" s="167"/>
      <c r="IP27" s="167"/>
      <c r="IQ27" s="167"/>
      <c r="IR27" s="167"/>
      <c r="IS27" s="167"/>
      <c r="IT27" s="167"/>
      <c r="IU27" s="167"/>
      <c r="IV27" s="167"/>
      <c r="IW27" s="167"/>
      <c r="IX27" s="167"/>
      <c r="IY27" s="167"/>
      <c r="IZ27" s="167"/>
      <c r="JA27" s="167"/>
      <c r="JB27" s="167"/>
      <c r="JC27" s="167"/>
      <c r="JD27" s="167"/>
      <c r="JE27" s="167"/>
      <c r="JF27" s="167"/>
      <c r="JG27" s="167"/>
      <c r="JH27" s="167"/>
      <c r="JI27" s="167"/>
      <c r="JJ27" s="167"/>
      <c r="JK27" s="167"/>
      <c r="JL27" s="167"/>
      <c r="JM27" s="3"/>
      <c r="JN27" s="3"/>
      <c r="JO27" s="7"/>
      <c r="JP27" s="7"/>
      <c r="JQ27" s="157"/>
      <c r="JR27" s="157"/>
      <c r="JS27" s="157"/>
      <c r="JT27" s="157"/>
      <c r="JU27" s="6"/>
      <c r="JV27" s="6"/>
      <c r="JW27" s="157"/>
      <c r="JX27" s="157"/>
      <c r="JY27" s="143"/>
      <c r="JZ27" s="143"/>
      <c r="KA27" s="147"/>
      <c r="KB27" s="147"/>
      <c r="KC27" s="157"/>
      <c r="KD27" s="157"/>
      <c r="KE27" s="157"/>
      <c r="KF27" s="157"/>
      <c r="KG27" s="118"/>
      <c r="KH27" s="118"/>
      <c r="KI27" s="157"/>
      <c r="KJ27" s="157"/>
      <c r="KK27" s="143"/>
      <c r="KL27" s="143"/>
      <c r="KM27" s="157"/>
      <c r="KN27" s="157"/>
      <c r="KO27" s="157"/>
      <c r="KP27" s="157"/>
      <c r="KQ27" s="157"/>
      <c r="KR27" s="157"/>
      <c r="KS27" s="143"/>
      <c r="KT27" s="143"/>
      <c r="KU27" s="157"/>
      <c r="KV27" s="157"/>
      <c r="KW27" s="168"/>
      <c r="KX27" s="168"/>
      <c r="KY27" s="169"/>
      <c r="KZ27" s="169"/>
      <c r="LA27" s="157"/>
      <c r="LB27" s="157"/>
      <c r="LC27" s="10"/>
      <c r="LD27" s="214"/>
      <c r="LE27" s="214"/>
      <c r="LF27" s="211"/>
      <c r="LG27" s="211"/>
      <c r="LH27" s="211"/>
      <c r="LI27" s="211"/>
      <c r="LJ27" s="211"/>
      <c r="LK27" s="211"/>
      <c r="LL27" s="211"/>
      <c r="LM27" s="211"/>
      <c r="LN27" s="211"/>
      <c r="LO27" s="211"/>
      <c r="LP27" s="211"/>
      <c r="LQ27" s="211"/>
      <c r="LR27" s="211"/>
      <c r="LS27" s="212"/>
      <c r="LT27" s="212"/>
      <c r="LU27" s="213"/>
      <c r="LV27" s="213"/>
      <c r="LW27" s="214"/>
      <c r="LX27" s="214"/>
      <c r="LY27" s="212"/>
      <c r="LZ27" s="212"/>
      <c r="MA27" s="215"/>
      <c r="MB27" s="215"/>
      <c r="MC27" s="214"/>
      <c r="MD27" s="214"/>
      <c r="ME27" s="212"/>
      <c r="MF27" s="212"/>
      <c r="MG27" s="211"/>
      <c r="MH27" s="211"/>
      <c r="MI27" s="214"/>
      <c r="MJ27" s="214"/>
    </row>
    <row r="28" spans="1:348" s="13" customFormat="1" ht="24.9" customHeight="1">
      <c r="A28" s="1"/>
      <c r="B28" s="5"/>
      <c r="C28" s="5"/>
      <c r="D28" s="66"/>
      <c r="E28" s="67"/>
      <c r="F28" s="5"/>
      <c r="G28" s="5"/>
      <c r="H28" s="5"/>
      <c r="I28" s="5"/>
      <c r="J28" s="67"/>
      <c r="K28" s="67"/>
      <c r="L28" s="5"/>
      <c r="M28" s="273"/>
      <c r="N28" s="5"/>
      <c r="O28" s="368"/>
      <c r="P28" s="368"/>
      <c r="Q28" s="318"/>
      <c r="R28" s="368"/>
      <c r="S28" s="318"/>
      <c r="T28" s="368"/>
      <c r="U28" s="318"/>
      <c r="V28" s="368"/>
      <c r="W28" s="318"/>
      <c r="X28" s="368"/>
      <c r="Y28" s="368"/>
      <c r="Z28" s="368"/>
      <c r="AA28" s="318"/>
      <c r="AB28" s="318"/>
      <c r="AC28" s="368"/>
      <c r="AD28" s="368"/>
      <c r="AE28" s="368"/>
      <c r="AF28" s="368"/>
      <c r="AG28" s="368"/>
      <c r="AH28" s="368"/>
      <c r="AI28" s="133"/>
      <c r="AJ28" s="133"/>
      <c r="AK28" s="133"/>
      <c r="AL28" s="133"/>
      <c r="AM28" s="133"/>
      <c r="AN28" s="133"/>
      <c r="AO28" s="133"/>
      <c r="AP28" s="133"/>
      <c r="AQ28" s="133"/>
      <c r="AR28" s="133"/>
      <c r="AS28" s="4"/>
      <c r="AT28" s="326"/>
      <c r="AU28" s="133"/>
      <c r="AV28" s="133"/>
      <c r="AW28" s="133"/>
      <c r="AX28" s="133"/>
      <c r="AY28" s="133"/>
      <c r="AZ28" s="133"/>
      <c r="BA28" s="133"/>
      <c r="BB28" s="133"/>
      <c r="BC28" s="6"/>
      <c r="BD28" s="8"/>
      <c r="BE28" s="133"/>
      <c r="BF28" s="133"/>
      <c r="BG28" s="133"/>
      <c r="BH28" s="133"/>
      <c r="BI28" s="143"/>
      <c r="BJ28" s="133"/>
      <c r="BK28" s="143"/>
      <c r="BL28" s="133"/>
      <c r="BM28" s="143"/>
      <c r="BN28" s="133"/>
      <c r="BO28" s="133"/>
      <c r="BP28" s="133"/>
      <c r="BQ28" s="369"/>
      <c r="BR28" s="147"/>
      <c r="BS28" s="147"/>
      <c r="BT28" s="143"/>
      <c r="BU28" s="147"/>
      <c r="BV28" s="143"/>
      <c r="BW28" s="143"/>
      <c r="BX28" s="3"/>
      <c r="BY28" s="3"/>
      <c r="BZ28" s="157"/>
      <c r="CA28" s="157"/>
      <c r="CB28" s="157"/>
      <c r="CC28" s="158"/>
      <c r="CD28" s="157"/>
      <c r="CE28" s="157"/>
      <c r="CF28" s="157"/>
      <c r="CG28" s="157"/>
      <c r="CH28" s="157"/>
      <c r="CI28" s="157"/>
      <c r="CJ28" s="157"/>
      <c r="CK28" s="157"/>
      <c r="CL28" s="157"/>
      <c r="CM28" s="157"/>
      <c r="CN28" s="66"/>
      <c r="CO28" s="66"/>
      <c r="CP28" s="3"/>
      <c r="CQ28" s="3"/>
      <c r="CR28" s="3"/>
      <c r="CS28" s="3"/>
      <c r="CT28" s="6"/>
      <c r="CU28" s="6"/>
      <c r="CV28" s="6"/>
      <c r="CW28" s="6"/>
      <c r="CX28" s="157"/>
      <c r="CY28" s="157"/>
      <c r="CZ28" s="157"/>
      <c r="DA28" s="157"/>
      <c r="DB28" s="157"/>
      <c r="DC28" s="157"/>
      <c r="DD28" s="157"/>
      <c r="DE28" s="157"/>
      <c r="DF28" s="143"/>
      <c r="DG28" s="143"/>
      <c r="DH28" s="159"/>
      <c r="DI28" s="167"/>
      <c r="DJ28" s="157"/>
      <c r="DK28" s="157"/>
      <c r="DL28" s="143"/>
      <c r="DM28" s="143"/>
      <c r="DN28" s="159"/>
      <c r="DO28" s="167"/>
      <c r="DP28" s="157"/>
      <c r="DQ28" s="157"/>
      <c r="DR28" s="143"/>
      <c r="DS28" s="143"/>
      <c r="DT28" s="147"/>
      <c r="DU28" s="147"/>
      <c r="DV28" s="147"/>
      <c r="DW28" s="147"/>
      <c r="DX28" s="147"/>
      <c r="DY28" s="147"/>
      <c r="DZ28" s="147"/>
      <c r="EA28" s="147"/>
      <c r="EB28" s="147"/>
      <c r="EC28" s="147"/>
      <c r="ED28" s="157"/>
      <c r="EE28" s="157"/>
      <c r="EF28" s="147"/>
      <c r="EG28" s="147"/>
      <c r="EH28" s="157"/>
      <c r="EI28" s="157"/>
      <c r="EJ28" s="143"/>
      <c r="EK28" s="147"/>
      <c r="EL28" s="147"/>
      <c r="EM28" s="368"/>
      <c r="EN28" s="368"/>
      <c r="EO28" s="318"/>
      <c r="EP28" s="368"/>
      <c r="EQ28" s="318"/>
      <c r="ER28" s="368"/>
      <c r="ES28" s="370"/>
      <c r="ET28" s="370"/>
      <c r="EU28" s="6"/>
      <c r="EV28" s="328"/>
      <c r="EW28" s="6"/>
      <c r="EX28" s="68"/>
      <c r="EY28" s="328"/>
      <c r="EZ28" s="328"/>
      <c r="FA28" s="371"/>
      <c r="FB28" s="371"/>
      <c r="FC28" s="147"/>
      <c r="FD28" s="147"/>
      <c r="FE28" s="147"/>
      <c r="FF28" s="147"/>
      <c r="FG28" s="147"/>
      <c r="FH28" s="147"/>
      <c r="FI28" s="147"/>
      <c r="FJ28" s="147"/>
      <c r="FK28" s="147"/>
      <c r="FL28" s="147"/>
      <c r="FM28" s="143"/>
      <c r="FN28" s="143"/>
      <c r="FO28" s="143"/>
      <c r="FP28" s="143"/>
      <c r="FQ28" s="147"/>
      <c r="FR28" s="147"/>
      <c r="FS28" s="3"/>
      <c r="FT28" s="3"/>
      <c r="FU28" s="6"/>
      <c r="FV28" s="6"/>
      <c r="FW28" s="157"/>
      <c r="FX28" s="157"/>
      <c r="FY28" s="157"/>
      <c r="FZ28" s="157"/>
      <c r="GA28" s="157"/>
      <c r="GB28" s="157"/>
      <c r="GC28" s="157"/>
      <c r="GD28" s="157"/>
      <c r="GE28" s="157"/>
      <c r="GF28" s="157"/>
      <c r="GG28" s="157"/>
      <c r="GH28" s="157"/>
      <c r="GI28" s="157"/>
      <c r="GJ28" s="157"/>
      <c r="GK28" s="147"/>
      <c r="GL28" s="147"/>
      <c r="GM28" s="157"/>
      <c r="GN28" s="157"/>
      <c r="GO28" s="168"/>
      <c r="GP28" s="168"/>
      <c r="GQ28" s="169"/>
      <c r="GR28" s="169"/>
      <c r="GS28" s="157"/>
      <c r="GT28" s="157"/>
      <c r="GU28" s="157"/>
      <c r="GV28" s="157"/>
      <c r="GW28" s="168"/>
      <c r="GX28" s="168"/>
      <c r="GY28" s="169"/>
      <c r="GZ28" s="169"/>
      <c r="HA28" s="157"/>
      <c r="HB28" s="157"/>
      <c r="HC28" s="6"/>
      <c r="HD28" s="6"/>
      <c r="HE28" s="143"/>
      <c r="HF28" s="143"/>
      <c r="HG28" s="6"/>
      <c r="HH28" s="6"/>
      <c r="HI28" s="143"/>
      <c r="HJ28" s="143"/>
      <c r="HK28" s="412"/>
      <c r="HL28" s="8"/>
      <c r="HM28" s="8"/>
      <c r="HN28" s="412"/>
      <c r="HO28" s="8"/>
      <c r="HP28" s="413"/>
      <c r="HQ28" s="8"/>
      <c r="HR28" s="412"/>
      <c r="HS28" s="8"/>
      <c r="HT28" s="413"/>
      <c r="HU28" s="8"/>
      <c r="HV28" s="412"/>
      <c r="HW28" s="8"/>
      <c r="HX28" s="413"/>
      <c r="HY28" s="371"/>
      <c r="HZ28" s="407"/>
      <c r="IA28" s="371"/>
      <c r="IB28" s="371"/>
      <c r="IC28" s="407"/>
      <c r="ID28" s="407"/>
      <c r="IE28" s="407"/>
      <c r="IF28" s="371"/>
      <c r="IG28" s="371"/>
      <c r="IH28" s="407"/>
      <c r="II28" s="371"/>
      <c r="IJ28" s="407"/>
      <c r="IK28" s="407"/>
      <c r="IL28" s="407"/>
      <c r="IM28" s="167"/>
      <c r="IN28" s="167"/>
      <c r="IO28" s="167"/>
      <c r="IP28" s="167"/>
      <c r="IQ28" s="167"/>
      <c r="IR28" s="167"/>
      <c r="IS28" s="167"/>
      <c r="IT28" s="167"/>
      <c r="IU28" s="167"/>
      <c r="IV28" s="167"/>
      <c r="IW28" s="167"/>
      <c r="IX28" s="167"/>
      <c r="IY28" s="167"/>
      <c r="IZ28" s="167"/>
      <c r="JA28" s="167"/>
      <c r="JB28" s="167"/>
      <c r="JC28" s="167"/>
      <c r="JD28" s="167"/>
      <c r="JE28" s="167"/>
      <c r="JF28" s="167"/>
      <c r="JG28" s="167"/>
      <c r="JH28" s="167"/>
      <c r="JI28" s="167"/>
      <c r="JJ28" s="167"/>
      <c r="JK28" s="167"/>
      <c r="JL28" s="167"/>
      <c r="JM28" s="3"/>
      <c r="JN28" s="3"/>
      <c r="JO28" s="7"/>
      <c r="JP28" s="7"/>
      <c r="JQ28" s="157"/>
      <c r="JR28" s="157"/>
      <c r="JS28" s="157"/>
      <c r="JT28" s="157"/>
      <c r="JU28" s="6"/>
      <c r="JV28" s="6"/>
      <c r="JW28" s="157"/>
      <c r="JX28" s="157"/>
      <c r="JY28" s="143"/>
      <c r="JZ28" s="143"/>
      <c r="KA28" s="147"/>
      <c r="KB28" s="147"/>
      <c r="KC28" s="157"/>
      <c r="KD28" s="157"/>
      <c r="KE28" s="157"/>
      <c r="KF28" s="157"/>
      <c r="KG28" s="118"/>
      <c r="KH28" s="118"/>
      <c r="KI28" s="157"/>
      <c r="KJ28" s="157"/>
      <c r="KK28" s="143"/>
      <c r="KL28" s="143"/>
      <c r="KM28" s="157"/>
      <c r="KN28" s="157"/>
      <c r="KO28" s="157"/>
      <c r="KP28" s="157"/>
      <c r="KQ28" s="157"/>
      <c r="KR28" s="157"/>
      <c r="KS28" s="143"/>
      <c r="KT28" s="143"/>
      <c r="KU28" s="157"/>
      <c r="KV28" s="157"/>
      <c r="KW28" s="168"/>
      <c r="KX28" s="168"/>
      <c r="KY28" s="169"/>
      <c r="KZ28" s="169"/>
      <c r="LA28" s="157"/>
      <c r="LB28" s="157"/>
      <c r="LC28" s="10"/>
      <c r="LD28" s="214"/>
      <c r="LE28" s="214"/>
      <c r="LF28" s="211"/>
      <c r="LG28" s="211"/>
      <c r="LH28" s="211"/>
      <c r="LI28" s="211"/>
      <c r="LJ28" s="211"/>
      <c r="LK28" s="211"/>
      <c r="LL28" s="211"/>
      <c r="LM28" s="211"/>
      <c r="LN28" s="211"/>
      <c r="LO28" s="211"/>
      <c r="LP28" s="211"/>
      <c r="LQ28" s="211"/>
      <c r="LR28" s="211"/>
      <c r="LS28" s="212"/>
      <c r="LT28" s="212"/>
      <c r="LU28" s="213"/>
      <c r="LV28" s="213"/>
      <c r="LW28" s="214"/>
      <c r="LX28" s="214"/>
      <c r="LY28" s="212"/>
      <c r="LZ28" s="212"/>
      <c r="MA28" s="215"/>
      <c r="MB28" s="215"/>
      <c r="MC28" s="214"/>
      <c r="MD28" s="214"/>
      <c r="ME28" s="212"/>
      <c r="MF28" s="212"/>
      <c r="MG28" s="211"/>
      <c r="MH28" s="211"/>
      <c r="MI28" s="214"/>
      <c r="MJ28" s="214"/>
    </row>
    <row r="29" spans="1:348" s="13" customFormat="1" ht="24.9" customHeight="1">
      <c r="A29" s="1"/>
      <c r="B29" s="5"/>
      <c r="C29" s="5"/>
      <c r="D29" s="66"/>
      <c r="E29" s="67"/>
      <c r="F29" s="5"/>
      <c r="G29" s="5"/>
      <c r="H29" s="5"/>
      <c r="I29" s="5"/>
      <c r="J29" s="67"/>
      <c r="K29" s="67"/>
      <c r="L29" s="5"/>
      <c r="M29" s="273"/>
      <c r="N29" s="5"/>
      <c r="O29" s="318"/>
      <c r="P29" s="368"/>
      <c r="Q29" s="318"/>
      <c r="R29" s="368"/>
      <c r="S29" s="318"/>
      <c r="T29" s="368"/>
      <c r="U29" s="318"/>
      <c r="V29" s="368"/>
      <c r="W29" s="368"/>
      <c r="X29" s="368"/>
      <c r="Y29" s="368"/>
      <c r="Z29" s="368"/>
      <c r="AA29" s="368"/>
      <c r="AB29" s="368"/>
      <c r="AC29" s="318"/>
      <c r="AD29" s="318"/>
      <c r="AE29" s="368"/>
      <c r="AF29" s="368"/>
      <c r="AG29" s="368"/>
      <c r="AH29" s="368"/>
      <c r="AI29" s="133"/>
      <c r="AJ29" s="133"/>
      <c r="AK29" s="133"/>
      <c r="AL29" s="133"/>
      <c r="AM29" s="133"/>
      <c r="AN29" s="133"/>
      <c r="AO29" s="133"/>
      <c r="AP29" s="133"/>
      <c r="AQ29" s="133"/>
      <c r="AR29" s="133"/>
      <c r="AS29" s="4"/>
      <c r="AT29" s="326"/>
      <c r="AU29" s="133"/>
      <c r="AV29" s="133"/>
      <c r="AW29" s="133"/>
      <c r="AX29" s="133"/>
      <c r="AY29" s="133"/>
      <c r="AZ29" s="133"/>
      <c r="BA29" s="133"/>
      <c r="BB29" s="133"/>
      <c r="BC29" s="6"/>
      <c r="BD29" s="8"/>
      <c r="BE29" s="133"/>
      <c r="BF29" s="133"/>
      <c r="BG29" s="133"/>
      <c r="BH29" s="133"/>
      <c r="BI29" s="143"/>
      <c r="BJ29" s="133"/>
      <c r="BK29" s="143"/>
      <c r="BL29" s="133"/>
      <c r="BM29" s="143"/>
      <c r="BN29" s="133"/>
      <c r="BO29" s="133"/>
      <c r="BP29" s="133"/>
      <c r="BQ29" s="369"/>
      <c r="BR29" s="147"/>
      <c r="BS29" s="147"/>
      <c r="BT29" s="143"/>
      <c r="BU29" s="147"/>
      <c r="BV29" s="143"/>
      <c r="BW29" s="143"/>
      <c r="BX29" s="3"/>
      <c r="BY29" s="3"/>
      <c r="BZ29" s="157"/>
      <c r="CA29" s="157"/>
      <c r="CB29" s="157"/>
      <c r="CC29" s="158"/>
      <c r="CD29" s="157"/>
      <c r="CE29" s="157"/>
      <c r="CF29" s="157"/>
      <c r="CG29" s="157"/>
      <c r="CH29" s="157"/>
      <c r="CI29" s="157"/>
      <c r="CJ29" s="157"/>
      <c r="CK29" s="157"/>
      <c r="CL29" s="157"/>
      <c r="CM29" s="157"/>
      <c r="CN29" s="66"/>
      <c r="CO29" s="66"/>
      <c r="CP29" s="3"/>
      <c r="CQ29" s="3"/>
      <c r="CR29" s="3"/>
      <c r="CS29" s="3"/>
      <c r="CT29" s="6"/>
      <c r="CU29" s="6"/>
      <c r="CV29" s="6"/>
      <c r="CW29" s="6"/>
      <c r="CX29" s="157"/>
      <c r="CY29" s="157"/>
      <c r="CZ29" s="157"/>
      <c r="DA29" s="157"/>
      <c r="DB29" s="157"/>
      <c r="DC29" s="157"/>
      <c r="DD29" s="157"/>
      <c r="DE29" s="157"/>
      <c r="DF29" s="143"/>
      <c r="DG29" s="143"/>
      <c r="DH29" s="159"/>
      <c r="DI29" s="167"/>
      <c r="DJ29" s="157"/>
      <c r="DK29" s="157"/>
      <c r="DL29" s="143"/>
      <c r="DM29" s="143"/>
      <c r="DN29" s="159"/>
      <c r="DO29" s="167"/>
      <c r="DP29" s="157"/>
      <c r="DQ29" s="157"/>
      <c r="DR29" s="143"/>
      <c r="DS29" s="143"/>
      <c r="DT29" s="147"/>
      <c r="DU29" s="147"/>
      <c r="DV29" s="147"/>
      <c r="DW29" s="147"/>
      <c r="DX29" s="147"/>
      <c r="DY29" s="147"/>
      <c r="DZ29" s="147"/>
      <c r="EA29" s="147"/>
      <c r="EB29" s="147"/>
      <c r="EC29" s="147"/>
      <c r="ED29" s="157"/>
      <c r="EE29" s="157"/>
      <c r="EF29" s="147"/>
      <c r="EG29" s="147"/>
      <c r="EH29" s="157"/>
      <c r="EI29" s="157"/>
      <c r="EJ29" s="143"/>
      <c r="EK29" s="147"/>
      <c r="EL29" s="147"/>
      <c r="EM29" s="318"/>
      <c r="EN29" s="368"/>
      <c r="EO29" s="318"/>
      <c r="EP29" s="368"/>
      <c r="EQ29" s="318"/>
      <c r="ER29" s="368"/>
      <c r="ES29" s="370"/>
      <c r="ET29" s="370"/>
      <c r="EU29" s="68"/>
      <c r="EV29" s="68"/>
      <c r="EW29" s="328"/>
      <c r="EX29" s="328"/>
      <c r="EY29" s="328"/>
      <c r="EZ29" s="328"/>
      <c r="FA29" s="371"/>
      <c r="FB29" s="371"/>
      <c r="FC29" s="147"/>
      <c r="FD29" s="147"/>
      <c r="FE29" s="147"/>
      <c r="FF29" s="147"/>
      <c r="FG29" s="147"/>
      <c r="FH29" s="147"/>
      <c r="FI29" s="147"/>
      <c r="FJ29" s="147"/>
      <c r="FK29" s="147"/>
      <c r="FL29" s="147"/>
      <c r="FM29" s="143"/>
      <c r="FN29" s="143"/>
      <c r="FO29" s="143"/>
      <c r="FP29" s="143"/>
      <c r="FQ29" s="147"/>
      <c r="FR29" s="147"/>
      <c r="FS29" s="3"/>
      <c r="FT29" s="3"/>
      <c r="FU29" s="6"/>
      <c r="FV29" s="6"/>
      <c r="FW29" s="157"/>
      <c r="FX29" s="157"/>
      <c r="FY29" s="157"/>
      <c r="FZ29" s="157"/>
      <c r="GA29" s="157"/>
      <c r="GB29" s="157"/>
      <c r="GC29" s="157"/>
      <c r="GD29" s="157"/>
      <c r="GE29" s="157"/>
      <c r="GF29" s="157"/>
      <c r="GG29" s="157"/>
      <c r="GH29" s="157"/>
      <c r="GI29" s="157"/>
      <c r="GJ29" s="157"/>
      <c r="GK29" s="147"/>
      <c r="GL29" s="147"/>
      <c r="GM29" s="157"/>
      <c r="GN29" s="157"/>
      <c r="GO29" s="168"/>
      <c r="GP29" s="168"/>
      <c r="GQ29" s="169"/>
      <c r="GR29" s="169"/>
      <c r="GS29" s="157"/>
      <c r="GT29" s="157"/>
      <c r="GU29" s="157"/>
      <c r="GV29" s="157"/>
      <c r="GW29" s="168"/>
      <c r="GX29" s="168"/>
      <c r="GY29" s="169"/>
      <c r="GZ29" s="169"/>
      <c r="HA29" s="157"/>
      <c r="HB29" s="157"/>
      <c r="HC29" s="6"/>
      <c r="HD29" s="6"/>
      <c r="HE29" s="143"/>
      <c r="HF29" s="143"/>
      <c r="HG29" s="6"/>
      <c r="HH29" s="6"/>
      <c r="HI29" s="143"/>
      <c r="HJ29" s="143"/>
      <c r="HK29" s="412"/>
      <c r="HL29" s="412"/>
      <c r="HM29" s="413"/>
      <c r="HN29" s="413"/>
      <c r="HO29" s="8"/>
      <c r="HP29" s="412"/>
      <c r="HQ29" s="8"/>
      <c r="HR29" s="413"/>
      <c r="HS29" s="8"/>
      <c r="HT29" s="412"/>
      <c r="HU29" s="8"/>
      <c r="HV29" s="413"/>
      <c r="HW29" s="8"/>
      <c r="HX29" s="412"/>
      <c r="HY29" s="371"/>
      <c r="HZ29" s="371"/>
      <c r="IA29" s="407"/>
      <c r="IB29" s="407"/>
      <c r="IC29" s="371"/>
      <c r="ID29" s="371"/>
      <c r="IE29" s="407"/>
      <c r="IF29" s="407"/>
      <c r="IG29" s="407"/>
      <c r="IH29" s="407"/>
      <c r="II29" s="407"/>
      <c r="IJ29" s="407"/>
      <c r="IK29" s="371"/>
      <c r="IL29" s="371"/>
      <c r="IM29" s="167"/>
      <c r="IN29" s="167"/>
      <c r="IO29" s="167"/>
      <c r="IP29" s="167"/>
      <c r="IQ29" s="167"/>
      <c r="IR29" s="167"/>
      <c r="IS29" s="167"/>
      <c r="IT29" s="167"/>
      <c r="IU29" s="167"/>
      <c r="IV29" s="167"/>
      <c r="IW29" s="167"/>
      <c r="IX29" s="167"/>
      <c r="IY29" s="167"/>
      <c r="IZ29" s="167"/>
      <c r="JA29" s="167"/>
      <c r="JB29" s="167"/>
      <c r="JC29" s="167"/>
      <c r="JD29" s="167"/>
      <c r="JE29" s="167"/>
      <c r="JF29" s="167"/>
      <c r="JG29" s="167"/>
      <c r="JH29" s="167"/>
      <c r="JI29" s="167"/>
      <c r="JJ29" s="167"/>
      <c r="JK29" s="167"/>
      <c r="JL29" s="167"/>
      <c r="JM29" s="3"/>
      <c r="JN29" s="3"/>
      <c r="JO29" s="7"/>
      <c r="JP29" s="7"/>
      <c r="JQ29" s="157"/>
      <c r="JR29" s="157"/>
      <c r="JS29" s="157"/>
      <c r="JT29" s="157"/>
      <c r="JU29" s="6"/>
      <c r="JV29" s="6"/>
      <c r="JW29" s="157"/>
      <c r="JX29" s="157"/>
      <c r="JY29" s="143"/>
      <c r="JZ29" s="143"/>
      <c r="KA29" s="147"/>
      <c r="KB29" s="147"/>
      <c r="KC29" s="157"/>
      <c r="KD29" s="157"/>
      <c r="KE29" s="157"/>
      <c r="KF29" s="157"/>
      <c r="KG29" s="118"/>
      <c r="KH29" s="118"/>
      <c r="KI29" s="157"/>
      <c r="KJ29" s="157"/>
      <c r="KK29" s="143"/>
      <c r="KL29" s="143"/>
      <c r="KM29" s="157"/>
      <c r="KN29" s="157"/>
      <c r="KO29" s="157"/>
      <c r="KP29" s="157"/>
      <c r="KQ29" s="157"/>
      <c r="KR29" s="157"/>
      <c r="KS29" s="143"/>
      <c r="KT29" s="143"/>
      <c r="KU29" s="157"/>
      <c r="KV29" s="157"/>
      <c r="KW29" s="168"/>
      <c r="KX29" s="168"/>
      <c r="KY29" s="169"/>
      <c r="KZ29" s="169"/>
      <c r="LA29" s="157"/>
      <c r="LB29" s="157"/>
      <c r="LC29" s="10"/>
      <c r="LD29" s="214"/>
      <c r="LE29" s="214"/>
      <c r="LF29" s="211"/>
      <c r="LG29" s="211"/>
      <c r="LH29" s="211"/>
      <c r="LI29" s="211"/>
      <c r="LJ29" s="211"/>
      <c r="LK29" s="211"/>
      <c r="LL29" s="211"/>
      <c r="LM29" s="211"/>
      <c r="LN29" s="211"/>
      <c r="LO29" s="211"/>
      <c r="LP29" s="211"/>
      <c r="LQ29" s="211"/>
      <c r="LR29" s="211"/>
      <c r="LS29" s="212"/>
      <c r="LT29" s="212"/>
      <c r="LU29" s="213"/>
      <c r="LV29" s="213"/>
      <c r="LW29" s="214"/>
      <c r="LX29" s="214"/>
      <c r="LY29" s="212"/>
      <c r="LZ29" s="212"/>
      <c r="MA29" s="215"/>
      <c r="MB29" s="215"/>
      <c r="MC29" s="214"/>
      <c r="MD29" s="214"/>
      <c r="ME29" s="212"/>
      <c r="MF29" s="212"/>
      <c r="MG29" s="211"/>
      <c r="MH29" s="211"/>
      <c r="MI29" s="214"/>
      <c r="MJ29" s="214"/>
    </row>
    <row r="30" spans="1:348" s="13" customFormat="1" ht="24.9" customHeight="1">
      <c r="A30" s="1"/>
      <c r="B30" s="5"/>
      <c r="C30" s="5"/>
      <c r="D30" s="66"/>
      <c r="E30" s="67"/>
      <c r="F30" s="5"/>
      <c r="G30" s="5"/>
      <c r="H30" s="5"/>
      <c r="I30" s="5"/>
      <c r="J30" s="67"/>
      <c r="K30" s="67"/>
      <c r="L30" s="5"/>
      <c r="M30" s="273"/>
      <c r="N30" s="5"/>
      <c r="O30" s="368"/>
      <c r="P30" s="368"/>
      <c r="Q30" s="318"/>
      <c r="R30" s="368"/>
      <c r="S30" s="318"/>
      <c r="T30" s="368"/>
      <c r="U30" s="318"/>
      <c r="V30" s="368"/>
      <c r="W30" s="318"/>
      <c r="X30" s="368"/>
      <c r="Y30" s="318"/>
      <c r="Z30" s="368"/>
      <c r="AA30" s="318"/>
      <c r="AB30" s="318"/>
      <c r="AC30" s="318"/>
      <c r="AD30" s="368"/>
      <c r="AE30" s="318"/>
      <c r="AF30" s="368"/>
      <c r="AG30" s="368"/>
      <c r="AH30" s="368"/>
      <c r="AI30" s="133"/>
      <c r="AJ30" s="133"/>
      <c r="AK30" s="133"/>
      <c r="AL30" s="133"/>
      <c r="AM30" s="133"/>
      <c r="AN30" s="133"/>
      <c r="AO30" s="133"/>
      <c r="AP30" s="133"/>
      <c r="AQ30" s="133"/>
      <c r="AR30" s="133"/>
      <c r="AS30" s="4"/>
      <c r="AT30" s="326"/>
      <c r="AU30" s="133"/>
      <c r="AV30" s="133"/>
      <c r="AW30" s="133"/>
      <c r="AX30" s="133"/>
      <c r="AY30" s="133"/>
      <c r="AZ30" s="133"/>
      <c r="BA30" s="133"/>
      <c r="BB30" s="133"/>
      <c r="BC30" s="6"/>
      <c r="BD30" s="8"/>
      <c r="BE30" s="133"/>
      <c r="BF30" s="133"/>
      <c r="BG30" s="133"/>
      <c r="BH30" s="133"/>
      <c r="BI30" s="143"/>
      <c r="BJ30" s="133"/>
      <c r="BK30" s="143"/>
      <c r="BL30" s="133"/>
      <c r="BM30" s="143"/>
      <c r="BN30" s="133"/>
      <c r="BO30" s="133"/>
      <c r="BP30" s="133"/>
      <c r="BQ30" s="369"/>
      <c r="BR30" s="147"/>
      <c r="BS30" s="147"/>
      <c r="BT30" s="143"/>
      <c r="BU30" s="147"/>
      <c r="BV30" s="143"/>
      <c r="BW30" s="143"/>
      <c r="BX30" s="3"/>
      <c r="BY30" s="3"/>
      <c r="BZ30" s="157"/>
      <c r="CA30" s="157"/>
      <c r="CB30" s="157"/>
      <c r="CC30" s="158"/>
      <c r="CD30" s="157"/>
      <c r="CE30" s="157"/>
      <c r="CF30" s="157"/>
      <c r="CG30" s="157"/>
      <c r="CH30" s="157"/>
      <c r="CI30" s="157"/>
      <c r="CJ30" s="157"/>
      <c r="CK30" s="157"/>
      <c r="CL30" s="157"/>
      <c r="CM30" s="157"/>
      <c r="CN30" s="66"/>
      <c r="CO30" s="66"/>
      <c r="CP30" s="3"/>
      <c r="CQ30" s="3"/>
      <c r="CR30" s="3"/>
      <c r="CS30" s="3"/>
      <c r="CT30" s="6"/>
      <c r="CU30" s="6"/>
      <c r="CV30" s="6"/>
      <c r="CW30" s="6"/>
      <c r="CX30" s="157"/>
      <c r="CY30" s="157"/>
      <c r="CZ30" s="157"/>
      <c r="DA30" s="157"/>
      <c r="DB30" s="157"/>
      <c r="DC30" s="157"/>
      <c r="DD30" s="157"/>
      <c r="DE30" s="157"/>
      <c r="DF30" s="143"/>
      <c r="DG30" s="143"/>
      <c r="DH30" s="159"/>
      <c r="DI30" s="167"/>
      <c r="DJ30" s="157"/>
      <c r="DK30" s="157"/>
      <c r="DL30" s="143"/>
      <c r="DM30" s="143"/>
      <c r="DN30" s="159"/>
      <c r="DO30" s="167"/>
      <c r="DP30" s="157"/>
      <c r="DQ30" s="157"/>
      <c r="DR30" s="143"/>
      <c r="DS30" s="143"/>
      <c r="DT30" s="147"/>
      <c r="DU30" s="147"/>
      <c r="DV30" s="147"/>
      <c r="DW30" s="147"/>
      <c r="DX30" s="147"/>
      <c r="DY30" s="147"/>
      <c r="DZ30" s="147"/>
      <c r="EA30" s="147"/>
      <c r="EB30" s="147"/>
      <c r="EC30" s="147"/>
      <c r="ED30" s="157"/>
      <c r="EE30" s="157"/>
      <c r="EF30" s="147"/>
      <c r="EG30" s="147"/>
      <c r="EH30" s="157"/>
      <c r="EI30" s="157"/>
      <c r="EJ30" s="143"/>
      <c r="EK30" s="147"/>
      <c r="EL30" s="147"/>
      <c r="EM30" s="6"/>
      <c r="EN30" s="68"/>
      <c r="EO30" s="6"/>
      <c r="EP30" s="68"/>
      <c r="EQ30" s="6"/>
      <c r="ER30" s="68"/>
      <c r="ES30" s="370"/>
      <c r="ET30" s="370"/>
      <c r="EU30" s="6"/>
      <c r="EV30" s="328"/>
      <c r="EW30" s="6"/>
      <c r="EX30" s="68"/>
      <c r="EY30" s="6"/>
      <c r="EZ30" s="328"/>
      <c r="FA30" s="371"/>
      <c r="FB30" s="371"/>
      <c r="FC30" s="147"/>
      <c r="FD30" s="147"/>
      <c r="FE30" s="147"/>
      <c r="FF30" s="147"/>
      <c r="FG30" s="147"/>
      <c r="FH30" s="147"/>
      <c r="FI30" s="147"/>
      <c r="FJ30" s="147"/>
      <c r="FK30" s="147"/>
      <c r="FL30" s="147"/>
      <c r="FM30" s="143"/>
      <c r="FN30" s="143"/>
      <c r="FO30" s="143"/>
      <c r="FP30" s="143"/>
      <c r="FQ30" s="147"/>
      <c r="FR30" s="147"/>
      <c r="FS30" s="3"/>
      <c r="FT30" s="3"/>
      <c r="FU30" s="6"/>
      <c r="FV30" s="6"/>
      <c r="FW30" s="157"/>
      <c r="FX30" s="157"/>
      <c r="FY30" s="157"/>
      <c r="FZ30" s="157"/>
      <c r="GA30" s="157"/>
      <c r="GB30" s="157"/>
      <c r="GC30" s="157"/>
      <c r="GD30" s="157"/>
      <c r="GE30" s="157"/>
      <c r="GF30" s="157"/>
      <c r="GG30" s="157"/>
      <c r="GH30" s="157"/>
      <c r="GI30" s="157"/>
      <c r="GJ30" s="157"/>
      <c r="GK30" s="147"/>
      <c r="GL30" s="147"/>
      <c r="GM30" s="157"/>
      <c r="GN30" s="157"/>
      <c r="GO30" s="168"/>
      <c r="GP30" s="168"/>
      <c r="GQ30" s="169"/>
      <c r="GR30" s="169"/>
      <c r="GS30" s="157"/>
      <c r="GT30" s="157"/>
      <c r="GU30" s="157"/>
      <c r="GV30" s="157"/>
      <c r="GW30" s="168"/>
      <c r="GX30" s="168"/>
      <c r="GY30" s="169"/>
      <c r="GZ30" s="169"/>
      <c r="HA30" s="157"/>
      <c r="HB30" s="157"/>
      <c r="HC30" s="6"/>
      <c r="HD30" s="6"/>
      <c r="HE30" s="143"/>
      <c r="HF30" s="143"/>
      <c r="HG30" s="6"/>
      <c r="HH30" s="6"/>
      <c r="HI30" s="143"/>
      <c r="HJ30" s="143"/>
      <c r="HK30" s="8"/>
      <c r="HL30" s="8"/>
      <c r="HM30" s="8"/>
      <c r="HN30" s="8"/>
      <c r="HO30" s="8"/>
      <c r="HP30" s="8"/>
      <c r="HQ30" s="8"/>
      <c r="HR30" s="8"/>
      <c r="HS30" s="8"/>
      <c r="HT30" s="8"/>
      <c r="HU30" s="8"/>
      <c r="HV30" s="8"/>
      <c r="HW30" s="8"/>
      <c r="HX30" s="413"/>
      <c r="HY30" s="407"/>
      <c r="HZ30" s="407"/>
      <c r="IA30" s="7"/>
      <c r="IB30" s="371"/>
      <c r="IC30" s="7"/>
      <c r="ID30" s="407"/>
      <c r="IE30" s="7"/>
      <c r="IF30" s="371"/>
      <c r="IG30" s="7"/>
      <c r="IH30" s="407"/>
      <c r="II30" s="7"/>
      <c r="IJ30" s="407"/>
      <c r="IK30" s="7"/>
      <c r="IL30" s="407"/>
      <c r="IM30" s="167"/>
      <c r="IN30" s="167"/>
      <c r="IO30" s="167"/>
      <c r="IP30" s="167"/>
      <c r="IQ30" s="167"/>
      <c r="IR30" s="167"/>
      <c r="IS30" s="167"/>
      <c r="IT30" s="167"/>
      <c r="IU30" s="167"/>
      <c r="IV30" s="167"/>
      <c r="IW30" s="167"/>
      <c r="IX30" s="167"/>
      <c r="IY30" s="167"/>
      <c r="IZ30" s="167"/>
      <c r="JA30" s="167"/>
      <c r="JB30" s="167"/>
      <c r="JC30" s="167"/>
      <c r="JD30" s="167"/>
      <c r="JE30" s="167"/>
      <c r="JF30" s="167"/>
      <c r="JG30" s="167"/>
      <c r="JH30" s="167"/>
      <c r="JI30" s="167"/>
      <c r="JJ30" s="167"/>
      <c r="JK30" s="167"/>
      <c r="JL30" s="167"/>
      <c r="JM30" s="3"/>
      <c r="JN30" s="3"/>
      <c r="JO30" s="7"/>
      <c r="JP30" s="7"/>
      <c r="JQ30" s="157"/>
      <c r="JR30" s="157"/>
      <c r="JS30" s="157"/>
      <c r="JT30" s="157"/>
      <c r="JU30" s="6"/>
      <c r="JV30" s="6"/>
      <c r="JW30" s="157"/>
      <c r="JX30" s="157"/>
      <c r="JY30" s="143"/>
      <c r="JZ30" s="143"/>
      <c r="KA30" s="147"/>
      <c r="KB30" s="147"/>
      <c r="KC30" s="157"/>
      <c r="KD30" s="157"/>
      <c r="KE30" s="157"/>
      <c r="KF30" s="157"/>
      <c r="KG30" s="118"/>
      <c r="KH30" s="118"/>
      <c r="KI30" s="157"/>
      <c r="KJ30" s="157"/>
      <c r="KK30" s="143"/>
      <c r="KL30" s="143"/>
      <c r="KM30" s="157"/>
      <c r="KN30" s="157"/>
      <c r="KO30" s="157"/>
      <c r="KP30" s="157"/>
      <c r="KQ30" s="157"/>
      <c r="KR30" s="157"/>
      <c r="KS30" s="143"/>
      <c r="KT30" s="143"/>
      <c r="KU30" s="157"/>
      <c r="KV30" s="157"/>
      <c r="KW30" s="168"/>
      <c r="KX30" s="168"/>
      <c r="KY30" s="169"/>
      <c r="KZ30" s="169"/>
      <c r="LA30" s="157"/>
      <c r="LB30" s="157"/>
      <c r="LC30" s="10"/>
      <c r="LD30" s="214"/>
      <c r="LE30" s="214"/>
      <c r="LF30" s="211"/>
      <c r="LG30" s="211"/>
      <c r="LH30" s="211"/>
      <c r="LI30" s="211"/>
      <c r="LJ30" s="211"/>
      <c r="LK30" s="211"/>
      <c r="LL30" s="211"/>
      <c r="LM30" s="211"/>
      <c r="LN30" s="211"/>
      <c r="LO30" s="211"/>
      <c r="LP30" s="211"/>
      <c r="LQ30" s="211"/>
      <c r="LR30" s="211"/>
      <c r="LS30" s="212"/>
      <c r="LT30" s="212"/>
      <c r="LU30" s="213"/>
      <c r="LV30" s="213"/>
      <c r="LW30" s="214"/>
      <c r="LX30" s="214"/>
      <c r="LY30" s="212"/>
      <c r="LZ30" s="212"/>
      <c r="MA30" s="215"/>
      <c r="MB30" s="215"/>
      <c r="MC30" s="214"/>
      <c r="MD30" s="214"/>
      <c r="ME30" s="212"/>
      <c r="MF30" s="212"/>
      <c r="MG30" s="211"/>
      <c r="MH30" s="211"/>
      <c r="MI30" s="214"/>
      <c r="MJ30" s="214"/>
    </row>
    <row r="31" spans="1:348" s="13" customFormat="1" ht="24.9" customHeight="1">
      <c r="A31" s="1"/>
      <c r="B31" s="5"/>
      <c r="C31" s="5"/>
      <c r="D31" s="66"/>
      <c r="E31" s="67"/>
      <c r="F31" s="5"/>
      <c r="G31" s="5"/>
      <c r="H31" s="5"/>
      <c r="I31" s="5"/>
      <c r="J31" s="67"/>
      <c r="K31" s="67"/>
      <c r="L31" s="5"/>
      <c r="M31" s="273"/>
      <c r="N31" s="5"/>
      <c r="O31" s="318"/>
      <c r="P31" s="368"/>
      <c r="Q31" s="318"/>
      <c r="R31" s="368"/>
      <c r="S31" s="318"/>
      <c r="T31" s="368"/>
      <c r="U31" s="318"/>
      <c r="V31" s="368"/>
      <c r="W31" s="318"/>
      <c r="X31" s="368"/>
      <c r="Y31" s="318"/>
      <c r="Z31" s="368"/>
      <c r="AA31" s="318"/>
      <c r="AB31" s="318"/>
      <c r="AC31" s="318"/>
      <c r="AD31" s="368"/>
      <c r="AE31" s="318"/>
      <c r="AF31" s="368"/>
      <c r="AG31" s="368"/>
      <c r="AH31" s="368"/>
      <c r="AI31" s="133"/>
      <c r="AJ31" s="133"/>
      <c r="AK31" s="133"/>
      <c r="AL31" s="133"/>
      <c r="AM31" s="133"/>
      <c r="AN31" s="133"/>
      <c r="AO31" s="133"/>
      <c r="AP31" s="133"/>
      <c r="AQ31" s="133"/>
      <c r="AR31" s="133"/>
      <c r="AS31" s="4"/>
      <c r="AT31" s="326"/>
      <c r="AU31" s="133"/>
      <c r="AV31" s="133"/>
      <c r="AW31" s="133"/>
      <c r="AX31" s="133"/>
      <c r="AY31" s="133"/>
      <c r="AZ31" s="133"/>
      <c r="BA31" s="133"/>
      <c r="BB31" s="133"/>
      <c r="BC31" s="6"/>
      <c r="BD31" s="8"/>
      <c r="BE31" s="133"/>
      <c r="BF31" s="133"/>
      <c r="BG31" s="133"/>
      <c r="BH31" s="133"/>
      <c r="BI31" s="143"/>
      <c r="BJ31" s="133"/>
      <c r="BK31" s="143"/>
      <c r="BL31" s="133"/>
      <c r="BM31" s="143"/>
      <c r="BN31" s="133"/>
      <c r="BO31" s="133"/>
      <c r="BP31" s="133"/>
      <c r="BQ31" s="369"/>
      <c r="BR31" s="147"/>
      <c r="BS31" s="147"/>
      <c r="BT31" s="143"/>
      <c r="BU31" s="147"/>
      <c r="BV31" s="143"/>
      <c r="BW31" s="143"/>
      <c r="BX31" s="3"/>
      <c r="BY31" s="3"/>
      <c r="BZ31" s="157"/>
      <c r="CA31" s="157"/>
      <c r="CB31" s="157"/>
      <c r="CC31" s="158"/>
      <c r="CD31" s="157"/>
      <c r="CE31" s="157"/>
      <c r="CF31" s="157"/>
      <c r="CG31" s="157"/>
      <c r="CH31" s="157"/>
      <c r="CI31" s="157"/>
      <c r="CJ31" s="157"/>
      <c r="CK31" s="157"/>
      <c r="CL31" s="157"/>
      <c r="CM31" s="157"/>
      <c r="CN31" s="66"/>
      <c r="CO31" s="66"/>
      <c r="CP31" s="3"/>
      <c r="CQ31" s="3"/>
      <c r="CR31" s="3"/>
      <c r="CS31" s="3"/>
      <c r="CT31" s="6"/>
      <c r="CU31" s="6"/>
      <c r="CV31" s="6"/>
      <c r="CW31" s="6"/>
      <c r="CX31" s="157"/>
      <c r="CY31" s="157"/>
      <c r="CZ31" s="157"/>
      <c r="DA31" s="157"/>
      <c r="DB31" s="157"/>
      <c r="DC31" s="157"/>
      <c r="DD31" s="157"/>
      <c r="DE31" s="157"/>
      <c r="DF31" s="143"/>
      <c r="DG31" s="143"/>
      <c r="DH31" s="159"/>
      <c r="DI31" s="167"/>
      <c r="DJ31" s="157"/>
      <c r="DK31" s="157"/>
      <c r="DL31" s="143"/>
      <c r="DM31" s="143"/>
      <c r="DN31" s="159"/>
      <c r="DO31" s="167"/>
      <c r="DP31" s="157"/>
      <c r="DQ31" s="157"/>
      <c r="DR31" s="143"/>
      <c r="DS31" s="143"/>
      <c r="DT31" s="147"/>
      <c r="DU31" s="147"/>
      <c r="DV31" s="147"/>
      <c r="DW31" s="147"/>
      <c r="DX31" s="147"/>
      <c r="DY31" s="147"/>
      <c r="DZ31" s="147"/>
      <c r="EA31" s="147"/>
      <c r="EB31" s="147"/>
      <c r="EC31" s="147"/>
      <c r="ED31" s="157"/>
      <c r="EE31" s="157"/>
      <c r="EF31" s="147"/>
      <c r="EG31" s="147"/>
      <c r="EH31" s="157"/>
      <c r="EI31" s="157"/>
      <c r="EJ31" s="143"/>
      <c r="EK31" s="147"/>
      <c r="EL31" s="147"/>
      <c r="EM31" s="318"/>
      <c r="EN31" s="368"/>
      <c r="EO31" s="318"/>
      <c r="EP31" s="368"/>
      <c r="EQ31" s="318"/>
      <c r="ER31" s="368"/>
      <c r="ES31" s="370"/>
      <c r="ET31" s="370"/>
      <c r="EU31" s="6"/>
      <c r="EV31" s="328"/>
      <c r="EW31" s="6"/>
      <c r="EX31" s="68"/>
      <c r="EY31" s="6"/>
      <c r="EZ31" s="328"/>
      <c r="FA31" s="371"/>
      <c r="FB31" s="371"/>
      <c r="FC31" s="147"/>
      <c r="FD31" s="147"/>
      <c r="FE31" s="147"/>
      <c r="FF31" s="147"/>
      <c r="FG31" s="147"/>
      <c r="FH31" s="147"/>
      <c r="FI31" s="147"/>
      <c r="FJ31" s="147"/>
      <c r="FK31" s="147"/>
      <c r="FL31" s="147"/>
      <c r="FM31" s="143"/>
      <c r="FN31" s="143"/>
      <c r="FO31" s="143"/>
      <c r="FP31" s="143"/>
      <c r="FQ31" s="147"/>
      <c r="FR31" s="147"/>
      <c r="FS31" s="3"/>
      <c r="FT31" s="3"/>
      <c r="FU31" s="6"/>
      <c r="FV31" s="6"/>
      <c r="FW31" s="157"/>
      <c r="FX31" s="157"/>
      <c r="FY31" s="157"/>
      <c r="FZ31" s="157"/>
      <c r="GA31" s="157"/>
      <c r="GB31" s="157"/>
      <c r="GC31" s="157"/>
      <c r="GD31" s="157"/>
      <c r="GE31" s="157"/>
      <c r="GF31" s="157"/>
      <c r="GG31" s="157"/>
      <c r="GH31" s="157"/>
      <c r="GI31" s="157"/>
      <c r="GJ31" s="157"/>
      <c r="GK31" s="147"/>
      <c r="GL31" s="147"/>
      <c r="GM31" s="157"/>
      <c r="GN31" s="157"/>
      <c r="GO31" s="168"/>
      <c r="GP31" s="168"/>
      <c r="GQ31" s="169"/>
      <c r="GR31" s="169"/>
      <c r="GS31" s="157"/>
      <c r="GT31" s="157"/>
      <c r="GU31" s="157"/>
      <c r="GV31" s="157"/>
      <c r="GW31" s="168"/>
      <c r="GX31" s="168"/>
      <c r="GY31" s="169"/>
      <c r="GZ31" s="169"/>
      <c r="HA31" s="157"/>
      <c r="HB31" s="157"/>
      <c r="HC31" s="6"/>
      <c r="HD31" s="6"/>
      <c r="HE31" s="143"/>
      <c r="HF31" s="143"/>
      <c r="HG31" s="6"/>
      <c r="HH31" s="6"/>
      <c r="HI31" s="143"/>
      <c r="HJ31" s="143"/>
      <c r="HK31" s="8"/>
      <c r="HL31" s="8"/>
      <c r="HM31" s="412"/>
      <c r="HN31" s="412"/>
      <c r="HO31" s="413"/>
      <c r="HP31" s="413"/>
      <c r="HQ31" s="412"/>
      <c r="HR31" s="412"/>
      <c r="HS31" s="413"/>
      <c r="HT31" s="413"/>
      <c r="HU31" s="412"/>
      <c r="HV31" s="412"/>
      <c r="HW31" s="413"/>
      <c r="HX31" s="413"/>
      <c r="HY31" s="407"/>
      <c r="HZ31" s="407"/>
      <c r="IA31" s="7"/>
      <c r="IB31" s="371"/>
      <c r="IC31" s="7"/>
      <c r="ID31" s="407"/>
      <c r="IE31" s="7"/>
      <c r="IF31" s="371"/>
      <c r="IG31" s="7"/>
      <c r="IH31" s="407"/>
      <c r="II31" s="7"/>
      <c r="IJ31" s="407"/>
      <c r="IK31" s="7"/>
      <c r="IL31" s="407"/>
      <c r="IM31" s="167"/>
      <c r="IN31" s="167"/>
      <c r="IO31" s="167"/>
      <c r="IP31" s="167"/>
      <c r="IQ31" s="167"/>
      <c r="IR31" s="167"/>
      <c r="IS31" s="167"/>
      <c r="IT31" s="167"/>
      <c r="IU31" s="167"/>
      <c r="IV31" s="167"/>
      <c r="IW31" s="167"/>
      <c r="IX31" s="167"/>
      <c r="IY31" s="167"/>
      <c r="IZ31" s="167"/>
      <c r="JA31" s="167"/>
      <c r="JB31" s="167"/>
      <c r="JC31" s="167"/>
      <c r="JD31" s="167"/>
      <c r="JE31" s="167"/>
      <c r="JF31" s="167"/>
      <c r="JG31" s="167"/>
      <c r="JH31" s="167"/>
      <c r="JI31" s="167"/>
      <c r="JJ31" s="167"/>
      <c r="JK31" s="167"/>
      <c r="JL31" s="167"/>
      <c r="JM31" s="3"/>
      <c r="JN31" s="3"/>
      <c r="JO31" s="7"/>
      <c r="JP31" s="7"/>
      <c r="JQ31" s="157"/>
      <c r="JR31" s="157"/>
      <c r="JS31" s="157"/>
      <c r="JT31" s="157"/>
      <c r="JU31" s="6"/>
      <c r="JV31" s="6"/>
      <c r="JW31" s="157"/>
      <c r="JX31" s="157"/>
      <c r="JY31" s="143"/>
      <c r="JZ31" s="143"/>
      <c r="KA31" s="147"/>
      <c r="KB31" s="147"/>
      <c r="KC31" s="157"/>
      <c r="KD31" s="157"/>
      <c r="KE31" s="157"/>
      <c r="KF31" s="157"/>
      <c r="KG31" s="118"/>
      <c r="KH31" s="118"/>
      <c r="KI31" s="157"/>
      <c r="KJ31" s="157"/>
      <c r="KK31" s="143"/>
      <c r="KL31" s="143"/>
      <c r="KM31" s="157"/>
      <c r="KN31" s="157"/>
      <c r="KO31" s="157"/>
      <c r="KP31" s="157"/>
      <c r="KQ31" s="157"/>
      <c r="KR31" s="157"/>
      <c r="KS31" s="143"/>
      <c r="KT31" s="143"/>
      <c r="KU31" s="157"/>
      <c r="KV31" s="157"/>
      <c r="KW31" s="168"/>
      <c r="KX31" s="168"/>
      <c r="KY31" s="169"/>
      <c r="KZ31" s="169"/>
      <c r="LA31" s="157"/>
      <c r="LB31" s="157"/>
      <c r="LC31" s="10"/>
      <c r="LD31" s="214"/>
      <c r="LE31" s="214"/>
      <c r="LF31" s="211"/>
      <c r="LG31" s="211"/>
      <c r="LH31" s="211"/>
      <c r="LI31" s="211"/>
      <c r="LJ31" s="211"/>
      <c r="LK31" s="211"/>
      <c r="LL31" s="211"/>
      <c r="LM31" s="211"/>
      <c r="LN31" s="211"/>
      <c r="LO31" s="211"/>
      <c r="LP31" s="211"/>
      <c r="LQ31" s="211"/>
      <c r="LR31" s="211"/>
      <c r="LS31" s="212"/>
      <c r="LT31" s="212"/>
      <c r="LU31" s="213"/>
      <c r="LV31" s="213"/>
      <c r="LW31" s="214"/>
      <c r="LX31" s="214"/>
      <c r="LY31" s="212"/>
      <c r="LZ31" s="212"/>
      <c r="MA31" s="215"/>
      <c r="MB31" s="215"/>
      <c r="MC31" s="214"/>
      <c r="MD31" s="214"/>
      <c r="ME31" s="212"/>
      <c r="MF31" s="212"/>
      <c r="MG31" s="211"/>
      <c r="MH31" s="211"/>
      <c r="MI31" s="214"/>
      <c r="MJ31" s="214"/>
    </row>
    <row r="32" spans="1:348" s="13" customFormat="1" ht="24.9" customHeight="1">
      <c r="A32" s="1"/>
      <c r="B32" s="5"/>
      <c r="C32" s="5"/>
      <c r="D32" s="66"/>
      <c r="E32" s="67"/>
      <c r="F32" s="5"/>
      <c r="G32" s="5"/>
      <c r="H32" s="5"/>
      <c r="I32" s="5"/>
      <c r="J32" s="67"/>
      <c r="K32" s="67"/>
      <c r="L32" s="5"/>
      <c r="M32" s="273"/>
      <c r="N32" s="5"/>
      <c r="O32" s="318"/>
      <c r="P32" s="368"/>
      <c r="Q32" s="318"/>
      <c r="R32" s="368"/>
      <c r="S32" s="318"/>
      <c r="T32" s="368"/>
      <c r="U32" s="318"/>
      <c r="V32" s="368"/>
      <c r="W32" s="318"/>
      <c r="X32" s="368"/>
      <c r="Y32" s="318"/>
      <c r="Z32" s="368"/>
      <c r="AA32" s="318"/>
      <c r="AB32" s="318"/>
      <c r="AC32" s="318"/>
      <c r="AD32" s="368"/>
      <c r="AE32" s="318"/>
      <c r="AF32" s="368"/>
      <c r="AG32" s="368"/>
      <c r="AH32" s="368"/>
      <c r="AI32" s="133"/>
      <c r="AJ32" s="133"/>
      <c r="AK32" s="133"/>
      <c r="AL32" s="133"/>
      <c r="AM32" s="133"/>
      <c r="AN32" s="133"/>
      <c r="AO32" s="133"/>
      <c r="AP32" s="133"/>
      <c r="AQ32" s="133"/>
      <c r="AR32" s="133"/>
      <c r="AS32" s="4"/>
      <c r="AT32" s="326"/>
      <c r="AU32" s="133"/>
      <c r="AV32" s="133"/>
      <c r="AW32" s="133"/>
      <c r="AX32" s="133"/>
      <c r="AY32" s="133"/>
      <c r="AZ32" s="133"/>
      <c r="BA32" s="133"/>
      <c r="BB32" s="133"/>
      <c r="BC32" s="6"/>
      <c r="BD32" s="8"/>
      <c r="BE32" s="133"/>
      <c r="BF32" s="133"/>
      <c r="BG32" s="133"/>
      <c r="BH32" s="133"/>
      <c r="BI32" s="143"/>
      <c r="BJ32" s="133"/>
      <c r="BK32" s="143"/>
      <c r="BL32" s="133"/>
      <c r="BM32" s="143"/>
      <c r="BN32" s="133"/>
      <c r="BO32" s="133"/>
      <c r="BP32" s="133"/>
      <c r="BQ32" s="369"/>
      <c r="BR32" s="147"/>
      <c r="BS32" s="147"/>
      <c r="BT32" s="143"/>
      <c r="BU32" s="147"/>
      <c r="BV32" s="143"/>
      <c r="BW32" s="143"/>
      <c r="BX32" s="3"/>
      <c r="BY32" s="3"/>
      <c r="BZ32" s="157"/>
      <c r="CA32" s="157"/>
      <c r="CB32" s="157"/>
      <c r="CC32" s="158"/>
      <c r="CD32" s="157"/>
      <c r="CE32" s="157"/>
      <c r="CF32" s="157"/>
      <c r="CG32" s="157"/>
      <c r="CH32" s="157"/>
      <c r="CI32" s="157"/>
      <c r="CJ32" s="157"/>
      <c r="CK32" s="157"/>
      <c r="CL32" s="157"/>
      <c r="CM32" s="157"/>
      <c r="CN32" s="66"/>
      <c r="CO32" s="66"/>
      <c r="CP32" s="3"/>
      <c r="CQ32" s="3"/>
      <c r="CR32" s="3"/>
      <c r="CS32" s="3"/>
      <c r="CT32" s="6"/>
      <c r="CU32" s="6"/>
      <c r="CV32" s="6"/>
      <c r="CW32" s="6"/>
      <c r="CX32" s="157"/>
      <c r="CY32" s="157"/>
      <c r="CZ32" s="157"/>
      <c r="DA32" s="157"/>
      <c r="DB32" s="157"/>
      <c r="DC32" s="157"/>
      <c r="DD32" s="157"/>
      <c r="DE32" s="157"/>
      <c r="DF32" s="143"/>
      <c r="DG32" s="143"/>
      <c r="DH32" s="159"/>
      <c r="DI32" s="167"/>
      <c r="DJ32" s="157"/>
      <c r="DK32" s="157"/>
      <c r="DL32" s="143"/>
      <c r="DM32" s="143"/>
      <c r="DN32" s="159"/>
      <c r="DO32" s="167"/>
      <c r="DP32" s="157"/>
      <c r="DQ32" s="157"/>
      <c r="DR32" s="143"/>
      <c r="DS32" s="143"/>
      <c r="DT32" s="147"/>
      <c r="DU32" s="147"/>
      <c r="DV32" s="147"/>
      <c r="DW32" s="147"/>
      <c r="DX32" s="147"/>
      <c r="DY32" s="147"/>
      <c r="DZ32" s="147"/>
      <c r="EA32" s="147"/>
      <c r="EB32" s="147"/>
      <c r="EC32" s="147"/>
      <c r="ED32" s="157"/>
      <c r="EE32" s="157"/>
      <c r="EF32" s="147"/>
      <c r="EG32" s="147"/>
      <c r="EH32" s="157"/>
      <c r="EI32" s="157"/>
      <c r="EJ32" s="143"/>
      <c r="EK32" s="147"/>
      <c r="EL32" s="147"/>
      <c r="EM32" s="318"/>
      <c r="EN32" s="368"/>
      <c r="EO32" s="318"/>
      <c r="EP32" s="368"/>
      <c r="EQ32" s="368"/>
      <c r="ER32" s="368"/>
      <c r="ES32" s="370"/>
      <c r="ET32" s="370"/>
      <c r="EU32" s="6"/>
      <c r="EV32" s="328"/>
      <c r="EW32" s="6"/>
      <c r="EX32" s="68"/>
      <c r="EY32" s="6"/>
      <c r="EZ32" s="328"/>
      <c r="FA32" s="371"/>
      <c r="FB32" s="371"/>
      <c r="FC32" s="147"/>
      <c r="FD32" s="147"/>
      <c r="FE32" s="147"/>
      <c r="FF32" s="147"/>
      <c r="FG32" s="147"/>
      <c r="FH32" s="147"/>
      <c r="FI32" s="147"/>
      <c r="FJ32" s="147"/>
      <c r="FK32" s="147"/>
      <c r="FL32" s="147"/>
      <c r="FM32" s="143"/>
      <c r="FN32" s="143"/>
      <c r="FO32" s="143"/>
      <c r="FP32" s="143"/>
      <c r="FQ32" s="147"/>
      <c r="FR32" s="147"/>
      <c r="FS32" s="3"/>
      <c r="FT32" s="3"/>
      <c r="FU32" s="6"/>
      <c r="FV32" s="6"/>
      <c r="FW32" s="157"/>
      <c r="FX32" s="157"/>
      <c r="FY32" s="157"/>
      <c r="FZ32" s="157"/>
      <c r="GA32" s="157"/>
      <c r="GB32" s="157"/>
      <c r="GC32" s="157"/>
      <c r="GD32" s="157"/>
      <c r="GE32" s="157"/>
      <c r="GF32" s="157"/>
      <c r="GG32" s="157"/>
      <c r="GH32" s="157"/>
      <c r="GI32" s="157"/>
      <c r="GJ32" s="157"/>
      <c r="GK32" s="147"/>
      <c r="GL32" s="147"/>
      <c r="GM32" s="157"/>
      <c r="GN32" s="157"/>
      <c r="GO32" s="168"/>
      <c r="GP32" s="168"/>
      <c r="GQ32" s="169"/>
      <c r="GR32" s="169"/>
      <c r="GS32" s="157"/>
      <c r="GT32" s="157"/>
      <c r="GU32" s="157"/>
      <c r="GV32" s="157"/>
      <c r="GW32" s="168"/>
      <c r="GX32" s="168"/>
      <c r="GY32" s="169"/>
      <c r="GZ32" s="169"/>
      <c r="HA32" s="157"/>
      <c r="HB32" s="157"/>
      <c r="HC32" s="6"/>
      <c r="HD32" s="6"/>
      <c r="HE32" s="143"/>
      <c r="HF32" s="143"/>
      <c r="HG32" s="6"/>
      <c r="HH32" s="6"/>
      <c r="HI32" s="143"/>
      <c r="HJ32" s="143"/>
      <c r="HK32" s="8"/>
      <c r="HL32" s="8"/>
      <c r="HM32" s="413"/>
      <c r="HN32" s="413"/>
      <c r="HO32" s="8"/>
      <c r="HP32" s="412"/>
      <c r="HQ32" s="8"/>
      <c r="HR32" s="413"/>
      <c r="HS32" s="8"/>
      <c r="HT32" s="412"/>
      <c r="HU32" s="8"/>
      <c r="HV32" s="413"/>
      <c r="HW32" s="8"/>
      <c r="HX32" s="412"/>
      <c r="HY32" s="407"/>
      <c r="HZ32" s="407"/>
      <c r="IA32" s="7"/>
      <c r="IB32" s="371"/>
      <c r="IC32" s="7"/>
      <c r="ID32" s="407"/>
      <c r="IE32" s="7"/>
      <c r="IF32" s="371"/>
      <c r="IG32" s="7"/>
      <c r="IH32" s="407"/>
      <c r="II32" s="7"/>
      <c r="IJ32" s="407"/>
      <c r="IK32" s="7"/>
      <c r="IL32" s="407"/>
      <c r="IM32" s="167"/>
      <c r="IN32" s="167"/>
      <c r="IO32" s="167"/>
      <c r="IP32" s="167"/>
      <c r="IQ32" s="167"/>
      <c r="IR32" s="167"/>
      <c r="IS32" s="167"/>
      <c r="IT32" s="167"/>
      <c r="IU32" s="167"/>
      <c r="IV32" s="167"/>
      <c r="IW32" s="167"/>
      <c r="IX32" s="167"/>
      <c r="IY32" s="167"/>
      <c r="IZ32" s="167"/>
      <c r="JA32" s="167"/>
      <c r="JB32" s="167"/>
      <c r="JC32" s="167"/>
      <c r="JD32" s="167"/>
      <c r="JE32" s="167"/>
      <c r="JF32" s="167"/>
      <c r="JG32" s="167"/>
      <c r="JH32" s="167"/>
      <c r="JI32" s="167"/>
      <c r="JJ32" s="167"/>
      <c r="JK32" s="167"/>
      <c r="JL32" s="167"/>
      <c r="JM32" s="3"/>
      <c r="JN32" s="3"/>
      <c r="JO32" s="7"/>
      <c r="JP32" s="7"/>
      <c r="JQ32" s="157"/>
      <c r="JR32" s="157"/>
      <c r="JS32" s="157"/>
      <c r="JT32" s="157"/>
      <c r="JU32" s="6"/>
      <c r="JV32" s="6"/>
      <c r="JW32" s="157"/>
      <c r="JX32" s="157"/>
      <c r="JY32" s="143"/>
      <c r="JZ32" s="143"/>
      <c r="KA32" s="147"/>
      <c r="KB32" s="147"/>
      <c r="KC32" s="157"/>
      <c r="KD32" s="157"/>
      <c r="KE32" s="157"/>
      <c r="KF32" s="157"/>
      <c r="KG32" s="118"/>
      <c r="KH32" s="118"/>
      <c r="KI32" s="157"/>
      <c r="KJ32" s="157"/>
      <c r="KK32" s="143"/>
      <c r="KL32" s="143"/>
      <c r="KM32" s="157"/>
      <c r="KN32" s="157"/>
      <c r="KO32" s="157"/>
      <c r="KP32" s="157"/>
      <c r="KQ32" s="157"/>
      <c r="KR32" s="157"/>
      <c r="KS32" s="143"/>
      <c r="KT32" s="143"/>
      <c r="KU32" s="157"/>
      <c r="KV32" s="157"/>
      <c r="KW32" s="168"/>
      <c r="KX32" s="168"/>
      <c r="KY32" s="169"/>
      <c r="KZ32" s="169"/>
      <c r="LA32" s="157"/>
      <c r="LB32" s="157"/>
      <c r="LC32" s="10"/>
      <c r="LD32" s="214"/>
      <c r="LE32" s="214"/>
      <c r="LF32" s="211"/>
      <c r="LG32" s="211"/>
      <c r="LH32" s="211"/>
      <c r="LI32" s="211"/>
      <c r="LJ32" s="211"/>
      <c r="LK32" s="211"/>
      <c r="LL32" s="211"/>
      <c r="LM32" s="211"/>
      <c r="LN32" s="211"/>
      <c r="LO32" s="211"/>
      <c r="LP32" s="211"/>
      <c r="LQ32" s="211"/>
      <c r="LR32" s="211"/>
      <c r="LS32" s="212"/>
      <c r="LT32" s="212"/>
      <c r="LU32" s="213"/>
      <c r="LV32" s="213"/>
      <c r="LW32" s="214"/>
      <c r="LX32" s="214"/>
      <c r="LY32" s="212"/>
      <c r="LZ32" s="212"/>
      <c r="MA32" s="215"/>
      <c r="MB32" s="215"/>
      <c r="MC32" s="214"/>
      <c r="MD32" s="214"/>
      <c r="ME32" s="212"/>
      <c r="MF32" s="212"/>
      <c r="MG32" s="211"/>
      <c r="MH32" s="211"/>
      <c r="MI32" s="214"/>
      <c r="MJ32" s="214"/>
    </row>
    <row r="33" spans="1:348" s="13" customFormat="1" ht="24.9" customHeight="1">
      <c r="A33" s="1"/>
      <c r="B33" s="85"/>
      <c r="C33" s="5"/>
      <c r="D33" s="66"/>
      <c r="E33" s="85"/>
      <c r="F33" s="5"/>
      <c r="G33" s="5"/>
      <c r="H33" s="85"/>
      <c r="J33" s="67"/>
      <c r="K33" s="67"/>
      <c r="L33" s="5"/>
      <c r="M33" s="273"/>
      <c r="N33" s="85"/>
      <c r="O33" s="368"/>
      <c r="U33" s="368"/>
      <c r="V33" s="368"/>
      <c r="W33" s="368"/>
      <c r="X33" s="368"/>
      <c r="Y33" s="368"/>
      <c r="AE33" s="318"/>
      <c r="AF33" s="368"/>
      <c r="AG33" s="368"/>
      <c r="AH33" s="368"/>
      <c r="AI33" s="133"/>
      <c r="AJ33" s="133"/>
      <c r="AK33" s="133"/>
      <c r="AL33" s="133"/>
      <c r="AM33" s="133"/>
      <c r="AN33" s="133"/>
      <c r="AO33" s="133"/>
      <c r="AP33" s="133"/>
      <c r="AQ33" s="133"/>
      <c r="AR33" s="133"/>
      <c r="AS33" s="85"/>
      <c r="AT33" s="85"/>
      <c r="AU33" s="133"/>
      <c r="AV33" s="133"/>
      <c r="AW33" s="133"/>
      <c r="AX33" s="133"/>
      <c r="AY33" s="133"/>
      <c r="AZ33" s="133"/>
      <c r="BA33" s="133"/>
      <c r="BB33" s="133"/>
      <c r="BC33" s="85"/>
      <c r="BD33" s="85"/>
      <c r="BE33" s="133"/>
      <c r="BF33" s="133"/>
      <c r="BG33" s="133"/>
      <c r="BH33" s="133"/>
      <c r="BI33" s="143"/>
      <c r="BJ33" s="133"/>
      <c r="BK33" s="143"/>
      <c r="BL33" s="133"/>
      <c r="BM33" s="143"/>
      <c r="BN33" s="133"/>
      <c r="BO33" s="133"/>
      <c r="BP33" s="133"/>
      <c r="BQ33" s="85"/>
      <c r="BR33" s="147"/>
      <c r="BS33" s="147"/>
      <c r="BT33" s="143"/>
      <c r="BU33" s="147"/>
      <c r="BV33" s="143"/>
      <c r="BW33" s="143"/>
      <c r="BX33" s="85"/>
      <c r="BY33" s="85"/>
      <c r="BZ33" s="157"/>
      <c r="CA33" s="157"/>
      <c r="CB33" s="157"/>
      <c r="CC33" s="158"/>
      <c r="CD33" s="157"/>
      <c r="CE33" s="157"/>
      <c r="CF33" s="157"/>
      <c r="CG33" s="157"/>
      <c r="CH33" s="157"/>
      <c r="CI33" s="157"/>
      <c r="CJ33" s="157"/>
      <c r="CK33" s="157"/>
      <c r="CL33" s="157"/>
      <c r="CM33" s="157"/>
      <c r="CN33" s="85"/>
      <c r="CO33" s="85"/>
      <c r="CP33" s="85"/>
      <c r="CQ33" s="85"/>
      <c r="CR33" s="85"/>
      <c r="CS33" s="85"/>
      <c r="CT33" s="85"/>
      <c r="CU33" s="85"/>
      <c r="CV33" s="85"/>
      <c r="CW33" s="85"/>
      <c r="CX33" s="157"/>
      <c r="CY33" s="157"/>
      <c r="CZ33" s="157"/>
      <c r="DA33" s="157"/>
      <c r="DB33" s="157"/>
      <c r="DC33" s="157"/>
      <c r="DD33" s="157"/>
      <c r="DE33" s="157"/>
      <c r="DF33" s="143"/>
      <c r="DG33" s="143"/>
      <c r="DH33" s="159"/>
      <c r="DI33" s="167"/>
      <c r="DJ33" s="157"/>
      <c r="DK33" s="157"/>
      <c r="DL33" s="143"/>
      <c r="DM33" s="143"/>
      <c r="DN33" s="159"/>
      <c r="DO33" s="167"/>
      <c r="DP33" s="157"/>
      <c r="DQ33" s="157"/>
      <c r="DR33" s="143"/>
      <c r="DS33" s="143"/>
      <c r="DT33" s="147"/>
      <c r="DU33" s="147"/>
      <c r="DV33" s="147"/>
      <c r="DW33" s="147"/>
      <c r="DX33" s="147"/>
      <c r="DY33" s="147"/>
      <c r="DZ33" s="147"/>
      <c r="EA33" s="147"/>
      <c r="EB33" s="147"/>
      <c r="EC33" s="147"/>
      <c r="ED33" s="157"/>
      <c r="EE33" s="157"/>
      <c r="EF33" s="147"/>
      <c r="EG33" s="147"/>
      <c r="EH33" s="157"/>
      <c r="EI33" s="157"/>
      <c r="EJ33" s="143"/>
      <c r="EK33" s="147"/>
      <c r="EL33" s="147"/>
      <c r="EQ33" s="368"/>
      <c r="ER33" s="368"/>
      <c r="ES33" s="370"/>
      <c r="ET33" s="370"/>
      <c r="EX33" s="371"/>
      <c r="EY33" s="371"/>
      <c r="EZ33" s="371"/>
      <c r="FA33" s="371"/>
      <c r="FB33" s="371"/>
      <c r="FC33" s="147"/>
      <c r="FD33" s="147"/>
      <c r="FE33" s="147"/>
      <c r="FF33" s="147"/>
      <c r="FG33" s="147"/>
      <c r="FH33" s="147"/>
      <c r="FI33" s="147"/>
      <c r="FJ33" s="147"/>
      <c r="FK33" s="147"/>
      <c r="FL33" s="147"/>
      <c r="FM33" s="143"/>
      <c r="FN33" s="143"/>
      <c r="FO33" s="143"/>
      <c r="FP33" s="143"/>
      <c r="FQ33" s="147"/>
      <c r="FR33" s="147"/>
      <c r="FS33" s="3"/>
      <c r="FT33" s="3"/>
      <c r="FU33" s="6"/>
      <c r="FV33" s="6"/>
      <c r="FW33" s="157"/>
      <c r="FX33" s="157"/>
      <c r="FY33" s="157"/>
      <c r="FZ33" s="157"/>
      <c r="GA33" s="157"/>
      <c r="GB33" s="157"/>
      <c r="GC33" s="157"/>
      <c r="GD33" s="157"/>
      <c r="GE33" s="157"/>
      <c r="GF33" s="157"/>
      <c r="GG33" s="157"/>
      <c r="GH33" s="157"/>
      <c r="GI33" s="157"/>
      <c r="GJ33" s="157"/>
      <c r="GK33" s="147"/>
      <c r="GL33" s="147"/>
      <c r="GM33" s="157"/>
      <c r="GN33" s="157"/>
      <c r="GO33" s="168"/>
      <c r="GP33" s="168"/>
      <c r="GQ33" s="169"/>
      <c r="GR33" s="169"/>
      <c r="GS33" s="157"/>
      <c r="GT33" s="157"/>
      <c r="GU33" s="157"/>
      <c r="GV33" s="157"/>
      <c r="GW33" s="168"/>
      <c r="GX33" s="168"/>
      <c r="GY33" s="169"/>
      <c r="GZ33" s="169"/>
      <c r="HA33" s="157"/>
      <c r="HB33" s="157"/>
      <c r="HC33" s="6"/>
      <c r="HD33" s="6"/>
      <c r="HE33" s="143"/>
      <c r="HF33" s="143"/>
      <c r="HG33" s="6"/>
      <c r="HH33" s="6"/>
      <c r="HI33" s="143"/>
      <c r="HJ33" s="143"/>
      <c r="HK33" s="407"/>
      <c r="HL33" s="371"/>
      <c r="HS33" s="407"/>
      <c r="HT33" s="371"/>
      <c r="HU33" s="407"/>
      <c r="HV33" s="371"/>
      <c r="HW33" s="371"/>
      <c r="HX33" s="371"/>
      <c r="HZ33" s="7"/>
      <c r="IA33" s="7"/>
      <c r="IB33" s="7"/>
      <c r="IC33" s="7"/>
      <c r="ID33" s="7"/>
      <c r="IE33" s="7"/>
      <c r="IF33" s="371"/>
      <c r="IG33" s="407"/>
      <c r="IH33" s="407"/>
      <c r="II33" s="407"/>
      <c r="IJ33" s="371"/>
      <c r="IK33" s="407"/>
      <c r="IL33" s="407"/>
      <c r="IM33" s="167"/>
      <c r="IN33" s="167"/>
      <c r="IO33" s="167"/>
      <c r="IP33" s="167"/>
      <c r="IQ33" s="167"/>
      <c r="IR33" s="167"/>
      <c r="IS33" s="167"/>
      <c r="IT33" s="167"/>
      <c r="IU33" s="167"/>
      <c r="IV33" s="167"/>
      <c r="IW33" s="167"/>
      <c r="IX33" s="167"/>
      <c r="IY33" s="167"/>
      <c r="IZ33" s="167"/>
      <c r="JA33" s="167"/>
      <c r="JB33" s="167"/>
      <c r="JC33" s="167"/>
      <c r="JD33" s="167"/>
      <c r="JE33" s="167"/>
      <c r="JF33" s="167"/>
      <c r="JG33" s="167"/>
      <c r="JH33" s="167"/>
      <c r="JI33" s="167"/>
      <c r="JJ33" s="167"/>
      <c r="JK33" s="167"/>
      <c r="JL33" s="167"/>
      <c r="JM33" s="3"/>
      <c r="JN33" s="3"/>
      <c r="JO33" s="7"/>
      <c r="JP33" s="7"/>
      <c r="JQ33" s="157"/>
      <c r="JR33" s="157"/>
      <c r="JS33" s="157"/>
      <c r="JT33" s="157"/>
      <c r="JU33" s="6"/>
      <c r="JV33" s="6"/>
      <c r="JW33" s="157"/>
      <c r="JX33" s="157"/>
      <c r="JY33" s="143"/>
      <c r="JZ33" s="143"/>
      <c r="KA33" s="147"/>
      <c r="KB33" s="147"/>
      <c r="KC33" s="157"/>
      <c r="KD33" s="157"/>
      <c r="KE33" s="157"/>
      <c r="KF33" s="157"/>
      <c r="KG33" s="118"/>
      <c r="KH33" s="118"/>
      <c r="KI33" s="157"/>
      <c r="KJ33" s="157"/>
      <c r="KK33" s="143"/>
      <c r="KL33" s="143"/>
      <c r="KM33" s="157"/>
      <c r="KN33" s="157"/>
      <c r="KO33" s="157"/>
      <c r="KP33" s="157"/>
      <c r="KQ33" s="157"/>
      <c r="KR33" s="157"/>
      <c r="KS33" s="143"/>
      <c r="KT33" s="143"/>
      <c r="KU33" s="157"/>
      <c r="KV33" s="157"/>
      <c r="KW33" s="168"/>
      <c r="KX33" s="168"/>
      <c r="KY33" s="169"/>
      <c r="KZ33" s="169"/>
      <c r="LA33" s="157"/>
      <c r="LB33" s="157"/>
      <c r="LC33" s="10"/>
      <c r="LD33" s="214"/>
      <c r="LE33" s="214"/>
      <c r="LF33" s="211"/>
      <c r="LG33" s="211"/>
      <c r="LH33" s="211"/>
      <c r="LI33" s="211"/>
      <c r="LJ33" s="211"/>
      <c r="LK33" s="211"/>
      <c r="LL33" s="211"/>
      <c r="LM33" s="211"/>
      <c r="LN33" s="211"/>
      <c r="LO33" s="211"/>
      <c r="LP33" s="211"/>
      <c r="LQ33" s="211"/>
      <c r="LR33" s="211"/>
      <c r="LS33" s="212"/>
      <c r="LT33" s="212"/>
      <c r="LU33" s="213"/>
      <c r="LV33" s="213"/>
      <c r="LW33" s="214"/>
      <c r="LX33" s="214"/>
      <c r="LY33" s="212"/>
      <c r="LZ33" s="212"/>
      <c r="MA33" s="215"/>
      <c r="MB33" s="215"/>
      <c r="MC33" s="214"/>
      <c r="MD33" s="214"/>
      <c r="ME33" s="212"/>
      <c r="MF33" s="212"/>
      <c r="MG33" s="211"/>
      <c r="MH33" s="211"/>
      <c r="MI33" s="214"/>
      <c r="MJ33" s="214"/>
    </row>
    <row r="34" spans="1:348" s="13" customFormat="1" ht="24.9" customHeight="1">
      <c r="A34" s="1"/>
      <c r="B34" s="5"/>
      <c r="C34" s="5"/>
      <c r="D34" s="66"/>
      <c r="E34" s="274"/>
      <c r="F34" s="5"/>
      <c r="G34" s="5"/>
      <c r="H34" s="5"/>
      <c r="I34" s="5"/>
      <c r="J34" s="67"/>
      <c r="K34" s="67"/>
      <c r="L34" s="5"/>
      <c r="M34" s="273"/>
      <c r="N34" s="5"/>
      <c r="O34" s="318"/>
      <c r="P34" s="368"/>
      <c r="Q34" s="318"/>
      <c r="R34" s="368"/>
      <c r="S34" s="318"/>
      <c r="T34" s="368"/>
      <c r="U34" s="318"/>
      <c r="V34" s="368"/>
      <c r="W34" s="318"/>
      <c r="X34" s="368"/>
      <c r="Y34" s="368"/>
      <c r="Z34" s="368"/>
      <c r="AA34" s="368"/>
      <c r="AB34" s="368"/>
      <c r="AC34" s="318"/>
      <c r="AD34" s="318"/>
      <c r="AE34" s="368"/>
      <c r="AF34" s="368"/>
      <c r="AG34" s="368"/>
      <c r="AH34" s="368"/>
      <c r="AI34" s="133"/>
      <c r="AJ34" s="133"/>
      <c r="AK34" s="133"/>
      <c r="AL34" s="133"/>
      <c r="AM34" s="133"/>
      <c r="AN34" s="133"/>
      <c r="AO34" s="133"/>
      <c r="AP34" s="133"/>
      <c r="AQ34" s="133"/>
      <c r="AR34" s="133"/>
      <c r="AS34" s="4"/>
      <c r="AT34" s="4"/>
      <c r="AU34" s="133"/>
      <c r="AV34" s="133"/>
      <c r="AW34" s="133"/>
      <c r="AX34" s="133"/>
      <c r="AY34" s="133"/>
      <c r="AZ34" s="133"/>
      <c r="BA34" s="133"/>
      <c r="BB34" s="133"/>
      <c r="BC34" s="85"/>
      <c r="BD34" s="85"/>
      <c r="BE34" s="133"/>
      <c r="BF34" s="133"/>
      <c r="BG34" s="133"/>
      <c r="BH34" s="133"/>
      <c r="BI34" s="143"/>
      <c r="BJ34" s="133"/>
      <c r="BK34" s="143"/>
      <c r="BL34" s="133"/>
      <c r="BM34" s="143"/>
      <c r="BN34" s="133"/>
      <c r="BO34" s="133"/>
      <c r="BP34" s="133"/>
      <c r="BQ34" s="85"/>
      <c r="BR34" s="147"/>
      <c r="BS34" s="147"/>
      <c r="BT34" s="143"/>
      <c r="BU34" s="147"/>
      <c r="BV34" s="143"/>
      <c r="BW34" s="143"/>
      <c r="BX34" s="3"/>
      <c r="BY34" s="3"/>
      <c r="BZ34" s="157"/>
      <c r="CA34" s="157"/>
      <c r="CB34" s="157"/>
      <c r="CC34" s="158"/>
      <c r="CD34" s="157"/>
      <c r="CE34" s="157"/>
      <c r="CF34" s="157"/>
      <c r="CG34" s="157"/>
      <c r="CH34" s="157"/>
      <c r="CI34" s="157"/>
      <c r="CJ34" s="157"/>
      <c r="CK34" s="157"/>
      <c r="CL34" s="157"/>
      <c r="CM34" s="157"/>
      <c r="CN34" s="66"/>
      <c r="CO34" s="66"/>
      <c r="CP34" s="3"/>
      <c r="CQ34" s="3"/>
      <c r="CR34" s="3"/>
      <c r="CS34" s="3"/>
      <c r="CT34" s="6"/>
      <c r="CU34" s="6"/>
      <c r="CV34" s="6"/>
      <c r="CW34" s="6"/>
      <c r="CX34" s="157"/>
      <c r="CY34" s="157"/>
      <c r="CZ34" s="157"/>
      <c r="DA34" s="157"/>
      <c r="DB34" s="157"/>
      <c r="DC34" s="157"/>
      <c r="DD34" s="157"/>
      <c r="DE34" s="157"/>
      <c r="DF34" s="143"/>
      <c r="DG34" s="143"/>
      <c r="DH34" s="159"/>
      <c r="DI34" s="167"/>
      <c r="DJ34" s="157"/>
      <c r="DK34" s="157"/>
      <c r="DL34" s="143"/>
      <c r="DM34" s="143"/>
      <c r="DN34" s="159"/>
      <c r="DO34" s="167"/>
      <c r="DP34" s="157"/>
      <c r="DQ34" s="157"/>
      <c r="DR34" s="143"/>
      <c r="DS34" s="143"/>
      <c r="DT34" s="147"/>
      <c r="DU34" s="147"/>
      <c r="DV34" s="147"/>
      <c r="DW34" s="147"/>
      <c r="DX34" s="147"/>
      <c r="DY34" s="147"/>
      <c r="DZ34" s="147"/>
      <c r="EA34" s="147"/>
      <c r="EB34" s="147"/>
      <c r="EC34" s="147"/>
      <c r="ED34" s="157"/>
      <c r="EE34" s="157"/>
      <c r="EF34" s="147"/>
      <c r="EG34" s="147"/>
      <c r="EH34" s="157"/>
      <c r="EI34" s="157"/>
      <c r="EJ34" s="143"/>
      <c r="EK34" s="147"/>
      <c r="EL34" s="147"/>
      <c r="EM34" s="318"/>
      <c r="EN34" s="368"/>
      <c r="EO34" s="318"/>
      <c r="EP34" s="368"/>
      <c r="EQ34" s="368"/>
      <c r="ER34" s="368"/>
      <c r="ES34" s="370"/>
      <c r="ET34" s="370"/>
      <c r="EU34" s="273"/>
      <c r="EV34" s="371"/>
      <c r="EW34" s="273"/>
      <c r="EX34" s="371"/>
      <c r="EY34" s="371"/>
      <c r="EZ34" s="371"/>
      <c r="FA34" s="371"/>
      <c r="FB34" s="371"/>
      <c r="FC34" s="147"/>
      <c r="FD34" s="147"/>
      <c r="FE34" s="147"/>
      <c r="FF34" s="147"/>
      <c r="FG34" s="147"/>
      <c r="FH34" s="147"/>
      <c r="FI34" s="139"/>
      <c r="FJ34" s="139"/>
      <c r="FK34" s="147"/>
      <c r="FL34" s="147"/>
      <c r="FM34" s="143"/>
      <c r="FN34" s="143"/>
      <c r="FO34" s="143"/>
      <c r="FP34" s="143"/>
      <c r="FQ34" s="147"/>
      <c r="FR34" s="147"/>
      <c r="FS34" s="85"/>
      <c r="FT34" s="85"/>
      <c r="FU34" s="6"/>
      <c r="FV34" s="6"/>
      <c r="FW34" s="157"/>
      <c r="FX34" s="157"/>
      <c r="FY34" s="157"/>
      <c r="FZ34" s="157"/>
      <c r="GA34" s="157"/>
      <c r="GB34" s="157"/>
      <c r="GC34" s="157"/>
      <c r="GD34" s="157"/>
      <c r="GE34" s="157"/>
      <c r="GF34" s="157"/>
      <c r="GG34" s="157"/>
      <c r="GH34" s="157"/>
      <c r="GI34" s="157"/>
      <c r="GJ34" s="157"/>
      <c r="GK34" s="147"/>
      <c r="GL34" s="147"/>
      <c r="GM34" s="157"/>
      <c r="GN34" s="157"/>
      <c r="GO34" s="168"/>
      <c r="GP34" s="168"/>
      <c r="GQ34" s="169"/>
      <c r="GR34" s="169"/>
      <c r="GS34" s="157"/>
      <c r="GT34" s="157"/>
      <c r="GU34" s="157"/>
      <c r="GV34" s="157"/>
      <c r="GW34" s="168"/>
      <c r="GX34" s="168"/>
      <c r="GY34" s="169"/>
      <c r="GZ34" s="169"/>
      <c r="HA34" s="157"/>
      <c r="HB34" s="157"/>
      <c r="HC34" s="6"/>
      <c r="HD34" s="6"/>
      <c r="HE34" s="143"/>
      <c r="HF34" s="143"/>
      <c r="HG34" s="6"/>
      <c r="HH34" s="6"/>
      <c r="HI34" s="143"/>
      <c r="HJ34" s="143"/>
      <c r="HK34" s="8"/>
      <c r="HL34" s="8"/>
      <c r="HM34" s="413"/>
      <c r="HN34" s="413"/>
      <c r="HO34" s="8"/>
      <c r="HP34" s="412"/>
      <c r="HQ34" s="8"/>
      <c r="HR34" s="413"/>
      <c r="HS34" s="8"/>
      <c r="HT34" s="412"/>
      <c r="HU34" s="8"/>
      <c r="HV34" s="413"/>
      <c r="HW34" s="8"/>
      <c r="HX34" s="412"/>
      <c r="HY34" s="407"/>
      <c r="HZ34" s="371"/>
      <c r="IA34" s="407"/>
      <c r="IB34" s="371"/>
      <c r="IC34" s="407"/>
      <c r="ID34" s="407"/>
      <c r="IE34" s="407"/>
      <c r="IF34" s="371"/>
      <c r="IG34" s="407"/>
      <c r="IH34" s="407"/>
      <c r="II34" s="407"/>
      <c r="IJ34" s="371"/>
      <c r="IK34" s="407"/>
      <c r="IL34" s="407"/>
      <c r="IM34" s="167"/>
      <c r="IN34" s="167"/>
      <c r="IO34" s="167"/>
      <c r="IP34" s="167"/>
      <c r="IQ34" s="167"/>
      <c r="IR34" s="167"/>
      <c r="IS34" s="167"/>
      <c r="IT34" s="167"/>
      <c r="IU34" s="167"/>
      <c r="IV34" s="167"/>
      <c r="IW34" s="167"/>
      <c r="IX34" s="167"/>
      <c r="IY34" s="167"/>
      <c r="IZ34" s="167"/>
      <c r="JA34" s="167"/>
      <c r="JB34" s="167"/>
      <c r="JC34" s="167"/>
      <c r="JD34" s="167"/>
      <c r="JE34" s="167"/>
      <c r="JF34" s="167"/>
      <c r="JG34" s="167"/>
      <c r="JH34" s="167"/>
      <c r="JI34" s="167"/>
      <c r="JJ34" s="167"/>
      <c r="JK34" s="167"/>
      <c r="JL34" s="167"/>
      <c r="JM34" s="3"/>
      <c r="JN34" s="3"/>
      <c r="JO34" s="7"/>
      <c r="JP34" s="7"/>
      <c r="JQ34" s="157"/>
      <c r="JR34" s="157"/>
      <c r="JS34" s="157"/>
      <c r="JT34" s="157"/>
      <c r="JU34" s="6"/>
      <c r="JV34" s="6"/>
      <c r="JW34" s="157"/>
      <c r="JX34" s="157"/>
      <c r="JY34" s="143"/>
      <c r="JZ34" s="143"/>
      <c r="KA34" s="147"/>
      <c r="KB34" s="147"/>
      <c r="KC34" s="157"/>
      <c r="KD34" s="157"/>
      <c r="KE34" s="157"/>
      <c r="KF34" s="157"/>
      <c r="KG34" s="118"/>
      <c r="KH34" s="118"/>
      <c r="KI34" s="157"/>
      <c r="KJ34" s="157"/>
      <c r="KK34" s="143"/>
      <c r="KL34" s="143"/>
      <c r="KM34" s="157"/>
      <c r="KN34" s="157"/>
      <c r="KO34" s="157"/>
      <c r="KP34" s="157"/>
      <c r="KQ34" s="157"/>
      <c r="KR34" s="157"/>
      <c r="KS34" s="143"/>
      <c r="KT34" s="143"/>
      <c r="KU34" s="157"/>
      <c r="KV34" s="157"/>
      <c r="KW34" s="168"/>
      <c r="KX34" s="168"/>
      <c r="KY34" s="169"/>
      <c r="KZ34" s="169"/>
      <c r="LA34" s="157"/>
      <c r="LB34" s="157"/>
      <c r="LC34" s="10"/>
      <c r="LD34" s="214"/>
      <c r="LE34" s="214"/>
      <c r="LF34" s="211"/>
      <c r="LG34" s="211"/>
      <c r="LH34" s="211"/>
      <c r="LI34" s="211"/>
      <c r="LJ34" s="211"/>
      <c r="LK34" s="211"/>
      <c r="LL34" s="211"/>
      <c r="LM34" s="211"/>
      <c r="LN34" s="211"/>
      <c r="LO34" s="211"/>
      <c r="LP34" s="211"/>
      <c r="LQ34" s="211"/>
      <c r="LR34" s="211"/>
      <c r="LS34" s="212"/>
      <c r="LT34" s="212"/>
      <c r="LU34" s="213"/>
      <c r="LV34" s="213"/>
      <c r="LW34" s="214"/>
      <c r="LX34" s="214"/>
      <c r="LY34" s="212"/>
      <c r="LZ34" s="212"/>
      <c r="MA34" s="215"/>
      <c r="MB34" s="215"/>
      <c r="MC34" s="214"/>
      <c r="MD34" s="214"/>
      <c r="ME34" s="212"/>
      <c r="MF34" s="212"/>
      <c r="MG34" s="211"/>
      <c r="MH34" s="211"/>
      <c r="MI34" s="214"/>
      <c r="MJ34" s="214"/>
    </row>
    <row r="35" spans="1:348" s="13" customFormat="1" ht="24.9" customHeight="1">
      <c r="A35" s="1"/>
      <c r="B35" s="5"/>
      <c r="C35" s="5"/>
      <c r="D35" s="66"/>
      <c r="E35" s="274"/>
      <c r="F35" s="5"/>
      <c r="G35" s="5"/>
      <c r="H35" s="5"/>
      <c r="I35" s="5"/>
      <c r="J35" s="67"/>
      <c r="K35" s="67"/>
      <c r="L35" s="5"/>
      <c r="M35" s="273"/>
      <c r="N35" s="5"/>
      <c r="O35" s="318"/>
      <c r="P35" s="368"/>
      <c r="Q35" s="318"/>
      <c r="R35" s="368"/>
      <c r="S35" s="318"/>
      <c r="T35" s="368"/>
      <c r="U35" s="318"/>
      <c r="V35" s="368"/>
      <c r="W35" s="318"/>
      <c r="X35" s="368"/>
      <c r="Y35" s="368"/>
      <c r="Z35" s="368"/>
      <c r="AA35" s="368"/>
      <c r="AB35" s="368"/>
      <c r="AC35" s="318"/>
      <c r="AD35" s="318"/>
      <c r="AE35" s="368"/>
      <c r="AF35" s="368"/>
      <c r="AG35" s="368"/>
      <c r="AH35" s="368"/>
      <c r="AI35" s="133"/>
      <c r="AJ35" s="133"/>
      <c r="AK35" s="133"/>
      <c r="AL35" s="133"/>
      <c r="AM35" s="133"/>
      <c r="AN35" s="133"/>
      <c r="AO35" s="133"/>
      <c r="AP35" s="133"/>
      <c r="AQ35" s="133"/>
      <c r="AR35" s="133"/>
      <c r="AS35" s="4"/>
      <c r="AT35" s="4"/>
      <c r="AU35" s="133"/>
      <c r="AV35" s="133"/>
      <c r="AW35" s="133"/>
      <c r="AX35" s="133"/>
      <c r="AY35" s="133"/>
      <c r="AZ35" s="133"/>
      <c r="BA35" s="133"/>
      <c r="BB35" s="133"/>
      <c r="BC35" s="85"/>
      <c r="BD35" s="85"/>
      <c r="BE35" s="133"/>
      <c r="BF35" s="133"/>
      <c r="BG35" s="133"/>
      <c r="BH35" s="133"/>
      <c r="BI35" s="143"/>
      <c r="BJ35" s="133"/>
      <c r="BK35" s="143"/>
      <c r="BL35" s="133"/>
      <c r="BM35" s="143"/>
      <c r="BN35" s="133"/>
      <c r="BO35" s="133"/>
      <c r="BP35" s="133"/>
      <c r="BQ35" s="85"/>
      <c r="BR35" s="147"/>
      <c r="BS35" s="147"/>
      <c r="BT35" s="143"/>
      <c r="BU35" s="147"/>
      <c r="BV35" s="143"/>
      <c r="BW35" s="143"/>
      <c r="BX35" s="3"/>
      <c r="BY35" s="3"/>
      <c r="BZ35" s="157"/>
      <c r="CA35" s="157"/>
      <c r="CB35" s="157"/>
      <c r="CC35" s="158"/>
      <c r="CD35" s="157"/>
      <c r="CE35" s="157"/>
      <c r="CF35" s="157"/>
      <c r="CG35" s="157"/>
      <c r="CH35" s="157"/>
      <c r="CI35" s="157"/>
      <c r="CJ35" s="157"/>
      <c r="CK35" s="157"/>
      <c r="CL35" s="157"/>
      <c r="CM35" s="157"/>
      <c r="CN35" s="66"/>
      <c r="CO35" s="66"/>
      <c r="CP35" s="3"/>
      <c r="CQ35" s="3"/>
      <c r="CR35" s="3"/>
      <c r="CS35" s="3"/>
      <c r="CT35" s="6"/>
      <c r="CU35" s="6"/>
      <c r="CV35" s="6"/>
      <c r="CW35" s="6"/>
      <c r="CX35" s="157"/>
      <c r="CY35" s="157"/>
      <c r="CZ35" s="157"/>
      <c r="DA35" s="157"/>
      <c r="DB35" s="157"/>
      <c r="DC35" s="157"/>
      <c r="DD35" s="157"/>
      <c r="DE35" s="157"/>
      <c r="DF35" s="143"/>
      <c r="DG35" s="143"/>
      <c r="DH35" s="159"/>
      <c r="DI35" s="167"/>
      <c r="DJ35" s="157"/>
      <c r="DK35" s="157"/>
      <c r="DL35" s="143"/>
      <c r="DM35" s="143"/>
      <c r="DN35" s="159"/>
      <c r="DO35" s="167"/>
      <c r="DP35" s="157"/>
      <c r="DQ35" s="157"/>
      <c r="DR35" s="143"/>
      <c r="DS35" s="143"/>
      <c r="DT35" s="147"/>
      <c r="DU35" s="147"/>
      <c r="DV35" s="147"/>
      <c r="DW35" s="147"/>
      <c r="DX35" s="147"/>
      <c r="DY35" s="147"/>
      <c r="DZ35" s="147"/>
      <c r="EA35" s="147"/>
      <c r="EB35" s="147"/>
      <c r="EC35" s="147"/>
      <c r="ED35" s="157"/>
      <c r="EE35" s="157"/>
      <c r="EF35" s="147"/>
      <c r="EG35" s="147"/>
      <c r="EH35" s="157"/>
      <c r="EI35" s="157"/>
      <c r="EJ35" s="143"/>
      <c r="EK35" s="147"/>
      <c r="EL35" s="147"/>
      <c r="EM35" s="318"/>
      <c r="EN35" s="368"/>
      <c r="EO35" s="318"/>
      <c r="EP35" s="368"/>
      <c r="EQ35" s="368"/>
      <c r="ER35" s="368"/>
      <c r="ES35" s="370"/>
      <c r="ET35" s="370"/>
      <c r="EU35" s="273"/>
      <c r="EV35" s="371"/>
      <c r="EW35" s="273"/>
      <c r="EX35" s="371"/>
      <c r="EY35" s="371"/>
      <c r="EZ35" s="371"/>
      <c r="FA35" s="371"/>
      <c r="FB35" s="371"/>
      <c r="FC35" s="147"/>
      <c r="FD35" s="147"/>
      <c r="FE35" s="147"/>
      <c r="FF35" s="147"/>
      <c r="FG35" s="147"/>
      <c r="FH35" s="147"/>
      <c r="FI35" s="139"/>
      <c r="FJ35" s="139"/>
      <c r="FK35" s="147"/>
      <c r="FL35" s="147"/>
      <c r="FM35" s="143"/>
      <c r="FN35" s="143"/>
      <c r="FO35" s="143"/>
      <c r="FP35" s="143"/>
      <c r="FQ35" s="147"/>
      <c r="FR35" s="147"/>
      <c r="FS35" s="85"/>
      <c r="FT35" s="85"/>
      <c r="FU35" s="6"/>
      <c r="FV35" s="6"/>
      <c r="FW35" s="157"/>
      <c r="FX35" s="157"/>
      <c r="FY35" s="157"/>
      <c r="FZ35" s="157"/>
      <c r="GA35" s="157"/>
      <c r="GB35" s="157"/>
      <c r="GC35" s="157"/>
      <c r="GD35" s="157"/>
      <c r="GE35" s="157"/>
      <c r="GF35" s="157"/>
      <c r="GG35" s="157"/>
      <c r="GH35" s="157"/>
      <c r="GI35" s="157"/>
      <c r="GJ35" s="157"/>
      <c r="GK35" s="147"/>
      <c r="GL35" s="147"/>
      <c r="GM35" s="157"/>
      <c r="GN35" s="157"/>
      <c r="GO35" s="168"/>
      <c r="GP35" s="168"/>
      <c r="GQ35" s="169"/>
      <c r="GR35" s="169"/>
      <c r="GS35" s="157"/>
      <c r="GT35" s="157"/>
      <c r="GU35" s="157"/>
      <c r="GV35" s="157"/>
      <c r="GW35" s="168"/>
      <c r="GX35" s="168"/>
      <c r="GY35" s="169"/>
      <c r="GZ35" s="169"/>
      <c r="HA35" s="157"/>
      <c r="HB35" s="157"/>
      <c r="HC35" s="6"/>
      <c r="HD35" s="6"/>
      <c r="HE35" s="143"/>
      <c r="HF35" s="143"/>
      <c r="HG35" s="6"/>
      <c r="HH35" s="6"/>
      <c r="HI35" s="143"/>
      <c r="HJ35" s="143"/>
      <c r="HK35" s="8"/>
      <c r="HL35" s="8"/>
      <c r="HM35" s="413"/>
      <c r="HN35" s="413"/>
      <c r="HO35" s="8"/>
      <c r="HP35" s="412"/>
      <c r="HQ35" s="8"/>
      <c r="HR35" s="413"/>
      <c r="HS35" s="8"/>
      <c r="HT35" s="412"/>
      <c r="HU35" s="8"/>
      <c r="HV35" s="413"/>
      <c r="HW35" s="8"/>
      <c r="HX35" s="412"/>
      <c r="HY35" s="407"/>
      <c r="HZ35" s="407"/>
      <c r="IA35" s="7"/>
      <c r="IB35" s="371"/>
      <c r="IC35" s="7"/>
      <c r="ID35" s="407"/>
      <c r="IE35" s="7"/>
      <c r="IF35" s="371"/>
      <c r="IG35" s="7"/>
      <c r="IH35" s="407"/>
      <c r="II35" s="7"/>
      <c r="IJ35" s="407"/>
      <c r="IK35" s="7"/>
      <c r="IL35" s="407"/>
      <c r="IM35" s="167"/>
      <c r="IN35" s="167"/>
      <c r="IO35" s="167"/>
      <c r="IP35" s="167"/>
      <c r="IQ35" s="167"/>
      <c r="IR35" s="167"/>
      <c r="IS35" s="167"/>
      <c r="IT35" s="167"/>
      <c r="IU35" s="167"/>
      <c r="IV35" s="167"/>
      <c r="IW35" s="167"/>
      <c r="IX35" s="167"/>
      <c r="IY35" s="167"/>
      <c r="IZ35" s="167"/>
      <c r="JA35" s="167"/>
      <c r="JB35" s="167"/>
      <c r="JC35" s="167"/>
      <c r="JD35" s="167"/>
      <c r="JE35" s="167"/>
      <c r="JF35" s="167"/>
      <c r="JG35" s="167"/>
      <c r="JH35" s="167"/>
      <c r="JI35" s="167"/>
      <c r="JJ35" s="167"/>
      <c r="JK35" s="167"/>
      <c r="JL35" s="167"/>
      <c r="JM35" s="3"/>
      <c r="JN35" s="3"/>
      <c r="JO35" s="7"/>
      <c r="JP35" s="7"/>
      <c r="JQ35" s="157"/>
      <c r="JR35" s="157"/>
      <c r="JS35" s="157"/>
      <c r="JT35" s="157"/>
      <c r="JU35" s="6"/>
      <c r="JV35" s="6"/>
      <c r="JW35" s="157"/>
      <c r="JX35" s="157"/>
      <c r="JY35" s="143"/>
      <c r="JZ35" s="143"/>
      <c r="KA35" s="147"/>
      <c r="KB35" s="147"/>
      <c r="KC35" s="157"/>
      <c r="KD35" s="157"/>
      <c r="KE35" s="157"/>
      <c r="KF35" s="157"/>
      <c r="KG35" s="118"/>
      <c r="KH35" s="118"/>
      <c r="KI35" s="157"/>
      <c r="KJ35" s="157"/>
      <c r="KK35" s="143"/>
      <c r="KL35" s="143"/>
      <c r="KM35" s="157"/>
      <c r="KN35" s="157"/>
      <c r="KO35" s="157"/>
      <c r="KP35" s="157"/>
      <c r="KQ35" s="157"/>
      <c r="KR35" s="157"/>
      <c r="KS35" s="143"/>
      <c r="KT35" s="143"/>
      <c r="KU35" s="157"/>
      <c r="KV35" s="157"/>
      <c r="KW35" s="168"/>
      <c r="KX35" s="168"/>
      <c r="KY35" s="169"/>
      <c r="KZ35" s="169"/>
      <c r="LA35" s="157"/>
      <c r="LB35" s="157"/>
      <c r="LC35" s="10"/>
      <c r="LD35" s="214"/>
      <c r="LE35" s="214"/>
      <c r="LF35" s="211"/>
      <c r="LG35" s="211"/>
      <c r="LH35" s="211"/>
      <c r="LI35" s="211"/>
      <c r="LJ35" s="211"/>
      <c r="LK35" s="211"/>
      <c r="LL35" s="211"/>
      <c r="LM35" s="211"/>
      <c r="LN35" s="211"/>
      <c r="LO35" s="211"/>
      <c r="LP35" s="211"/>
      <c r="LQ35" s="211"/>
      <c r="LR35" s="211"/>
      <c r="LS35" s="212"/>
      <c r="LT35" s="212"/>
      <c r="LU35" s="213"/>
      <c r="LV35" s="213"/>
      <c r="LW35" s="214"/>
      <c r="LX35" s="214"/>
      <c r="LY35" s="212"/>
      <c r="LZ35" s="212"/>
      <c r="MA35" s="215"/>
      <c r="MB35" s="215"/>
      <c r="MC35" s="214"/>
      <c r="MD35" s="214"/>
      <c r="ME35" s="212"/>
      <c r="MF35" s="212"/>
      <c r="MG35" s="211"/>
      <c r="MH35" s="211"/>
      <c r="MI35" s="214"/>
      <c r="MJ35" s="214"/>
    </row>
    <row r="36" spans="1:348" s="13" customFormat="1" ht="24.9" customHeight="1">
      <c r="A36" s="1"/>
      <c r="B36" s="5"/>
      <c r="C36" s="5"/>
      <c r="D36" s="66"/>
      <c r="E36" s="274"/>
      <c r="F36" s="5"/>
      <c r="G36" s="5"/>
      <c r="H36" s="5"/>
      <c r="I36" s="5"/>
      <c r="J36" s="67"/>
      <c r="K36" s="67"/>
      <c r="L36" s="5"/>
      <c r="M36" s="273"/>
      <c r="N36" s="5"/>
      <c r="O36" s="318"/>
      <c r="P36" s="368"/>
      <c r="Q36" s="318"/>
      <c r="R36" s="368"/>
      <c r="S36" s="318"/>
      <c r="T36" s="368"/>
      <c r="U36" s="318"/>
      <c r="V36" s="368"/>
      <c r="W36" s="318"/>
      <c r="X36" s="368"/>
      <c r="Y36" s="368"/>
      <c r="Z36" s="368"/>
      <c r="AA36" s="368"/>
      <c r="AB36" s="368"/>
      <c r="AC36" s="318"/>
      <c r="AD36" s="318"/>
      <c r="AE36" s="368"/>
      <c r="AF36" s="368"/>
      <c r="AG36" s="368"/>
      <c r="AH36" s="368"/>
      <c r="AI36" s="133"/>
      <c r="AJ36" s="133"/>
      <c r="AK36" s="133"/>
      <c r="AL36" s="133"/>
      <c r="AM36" s="133"/>
      <c r="AN36" s="133"/>
      <c r="AO36" s="133"/>
      <c r="AP36" s="133"/>
      <c r="AQ36" s="133"/>
      <c r="AR36" s="133"/>
      <c r="AS36" s="4"/>
      <c r="AT36" s="4"/>
      <c r="AU36" s="133"/>
      <c r="AV36" s="133"/>
      <c r="AW36" s="133"/>
      <c r="AX36" s="133"/>
      <c r="AY36" s="133"/>
      <c r="AZ36" s="133"/>
      <c r="BA36" s="133"/>
      <c r="BB36" s="133"/>
      <c r="BC36" s="85"/>
      <c r="BD36" s="85"/>
      <c r="BE36" s="133"/>
      <c r="BF36" s="133"/>
      <c r="BG36" s="133"/>
      <c r="BH36" s="133"/>
      <c r="BI36" s="143"/>
      <c r="BJ36" s="133"/>
      <c r="BK36" s="143"/>
      <c r="BL36" s="133"/>
      <c r="BM36" s="143"/>
      <c r="BN36" s="133"/>
      <c r="BO36" s="133"/>
      <c r="BP36" s="133"/>
      <c r="BQ36" s="85"/>
      <c r="BR36" s="147"/>
      <c r="BS36" s="147"/>
      <c r="BT36" s="143"/>
      <c r="BU36" s="147"/>
      <c r="BV36" s="143"/>
      <c r="BW36" s="143"/>
      <c r="BX36" s="3"/>
      <c r="BY36" s="3"/>
      <c r="BZ36" s="157"/>
      <c r="CA36" s="157"/>
      <c r="CB36" s="157"/>
      <c r="CC36" s="158"/>
      <c r="CD36" s="157"/>
      <c r="CE36" s="157"/>
      <c r="CF36" s="157"/>
      <c r="CG36" s="157"/>
      <c r="CH36" s="157"/>
      <c r="CI36" s="157"/>
      <c r="CJ36" s="157"/>
      <c r="CK36" s="157"/>
      <c r="CL36" s="157"/>
      <c r="CM36" s="157"/>
      <c r="CN36" s="66"/>
      <c r="CO36" s="66"/>
      <c r="CP36" s="3"/>
      <c r="CQ36" s="3"/>
      <c r="CR36" s="3"/>
      <c r="CS36" s="3"/>
      <c r="CT36" s="6"/>
      <c r="CU36" s="6"/>
      <c r="CV36" s="6"/>
      <c r="CW36" s="6"/>
      <c r="CX36" s="157"/>
      <c r="CY36" s="157"/>
      <c r="CZ36" s="157"/>
      <c r="DA36" s="157"/>
      <c r="DB36" s="157"/>
      <c r="DC36" s="157"/>
      <c r="DD36" s="157"/>
      <c r="DE36" s="157"/>
      <c r="DF36" s="143"/>
      <c r="DG36" s="143"/>
      <c r="DH36" s="159"/>
      <c r="DI36" s="167"/>
      <c r="DJ36" s="157"/>
      <c r="DK36" s="157"/>
      <c r="DL36" s="143"/>
      <c r="DM36" s="143"/>
      <c r="DN36" s="159"/>
      <c r="DO36" s="167"/>
      <c r="DP36" s="157"/>
      <c r="DQ36" s="157"/>
      <c r="DR36" s="143"/>
      <c r="DS36" s="143"/>
      <c r="DT36" s="147"/>
      <c r="DU36" s="147"/>
      <c r="DV36" s="147"/>
      <c r="DW36" s="147"/>
      <c r="DX36" s="147"/>
      <c r="DY36" s="147"/>
      <c r="DZ36" s="147"/>
      <c r="EA36" s="147"/>
      <c r="EB36" s="147"/>
      <c r="EC36" s="147"/>
      <c r="ED36" s="157"/>
      <c r="EE36" s="157"/>
      <c r="EF36" s="147"/>
      <c r="EG36" s="147"/>
      <c r="EH36" s="157"/>
      <c r="EI36" s="157"/>
      <c r="EJ36" s="143"/>
      <c r="EK36" s="147"/>
      <c r="EL36" s="147"/>
      <c r="EM36" s="318"/>
      <c r="EN36" s="368"/>
      <c r="EO36" s="318"/>
      <c r="EP36" s="368"/>
      <c r="EQ36" s="368"/>
      <c r="ER36" s="368"/>
      <c r="ES36" s="370"/>
      <c r="ET36" s="370"/>
      <c r="EU36" s="273"/>
      <c r="EV36" s="371"/>
      <c r="EW36" s="273"/>
      <c r="EX36" s="371"/>
      <c r="EY36" s="371"/>
      <c r="EZ36" s="371"/>
      <c r="FA36" s="371"/>
      <c r="FB36" s="371"/>
      <c r="FC36" s="147"/>
      <c r="FD36" s="147"/>
      <c r="FE36" s="147"/>
      <c r="FF36" s="147"/>
      <c r="FG36" s="147"/>
      <c r="FH36" s="147"/>
      <c r="FI36" s="139"/>
      <c r="FJ36" s="139"/>
      <c r="FK36" s="147"/>
      <c r="FL36" s="147"/>
      <c r="FM36" s="143"/>
      <c r="FN36" s="143"/>
      <c r="FO36" s="143"/>
      <c r="FP36" s="143"/>
      <c r="FQ36" s="147"/>
      <c r="FR36" s="147"/>
      <c r="FS36" s="85"/>
      <c r="FT36" s="85"/>
      <c r="FU36" s="6"/>
      <c r="FV36" s="6"/>
      <c r="FW36" s="157"/>
      <c r="FX36" s="157"/>
      <c r="FY36" s="157"/>
      <c r="FZ36" s="157"/>
      <c r="GA36" s="157"/>
      <c r="GB36" s="157"/>
      <c r="GC36" s="157"/>
      <c r="GD36" s="157"/>
      <c r="GE36" s="157"/>
      <c r="GF36" s="157"/>
      <c r="GG36" s="157"/>
      <c r="GH36" s="157"/>
      <c r="GI36" s="157"/>
      <c r="GJ36" s="157"/>
      <c r="GK36" s="147"/>
      <c r="GL36" s="147"/>
      <c r="GM36" s="157"/>
      <c r="GN36" s="157"/>
      <c r="GO36" s="168"/>
      <c r="GP36" s="168"/>
      <c r="GQ36" s="169"/>
      <c r="GR36" s="169"/>
      <c r="GS36" s="157"/>
      <c r="GT36" s="157"/>
      <c r="GU36" s="157"/>
      <c r="GV36" s="157"/>
      <c r="GW36" s="168"/>
      <c r="GX36" s="168"/>
      <c r="GY36" s="169"/>
      <c r="GZ36" s="169"/>
      <c r="HA36" s="157"/>
      <c r="HB36" s="157"/>
      <c r="HC36" s="6"/>
      <c r="HD36" s="6"/>
      <c r="HE36" s="143"/>
      <c r="HF36" s="143"/>
      <c r="HG36" s="6"/>
      <c r="HH36" s="6"/>
      <c r="HI36" s="143"/>
      <c r="HJ36" s="143"/>
      <c r="HK36" s="8"/>
      <c r="HL36" s="8"/>
      <c r="HM36" s="413"/>
      <c r="HN36" s="413"/>
      <c r="HO36" s="8"/>
      <c r="HP36" s="412"/>
      <c r="HQ36" s="8"/>
      <c r="HR36" s="413"/>
      <c r="HS36" s="8"/>
      <c r="HT36" s="412"/>
      <c r="HU36" s="8"/>
      <c r="HV36" s="413"/>
      <c r="HW36" s="8"/>
      <c r="HX36" s="412"/>
      <c r="HY36" s="407"/>
      <c r="HZ36" s="407"/>
      <c r="IA36" s="7"/>
      <c r="IB36" s="371"/>
      <c r="IC36" s="7"/>
      <c r="ID36" s="407"/>
      <c r="IE36" s="7"/>
      <c r="IF36" s="371"/>
      <c r="IG36" s="7"/>
      <c r="IH36" s="407"/>
      <c r="II36" s="7"/>
      <c r="IJ36" s="407"/>
      <c r="IK36" s="7"/>
      <c r="IL36" s="407"/>
      <c r="IM36" s="167"/>
      <c r="IN36" s="167"/>
      <c r="IO36" s="167"/>
      <c r="IP36" s="167"/>
      <c r="IQ36" s="167"/>
      <c r="IR36" s="167"/>
      <c r="IS36" s="167"/>
      <c r="IT36" s="167"/>
      <c r="IU36" s="167"/>
      <c r="IV36" s="167"/>
      <c r="IW36" s="167"/>
      <c r="IX36" s="167"/>
      <c r="IY36" s="167"/>
      <c r="IZ36" s="167"/>
      <c r="JA36" s="167"/>
      <c r="JB36" s="167"/>
      <c r="JC36" s="167"/>
      <c r="JD36" s="167"/>
      <c r="JE36" s="167"/>
      <c r="JF36" s="167"/>
      <c r="JG36" s="167"/>
      <c r="JH36" s="167"/>
      <c r="JI36" s="167"/>
      <c r="JJ36" s="167"/>
      <c r="JK36" s="167"/>
      <c r="JL36" s="167"/>
      <c r="JM36" s="3"/>
      <c r="JN36" s="3"/>
      <c r="JO36" s="7"/>
      <c r="JP36" s="7"/>
      <c r="JQ36" s="157"/>
      <c r="JR36" s="157"/>
      <c r="JS36" s="157"/>
      <c r="JT36" s="157"/>
      <c r="JU36" s="6"/>
      <c r="JV36" s="6"/>
      <c r="JW36" s="157"/>
      <c r="JX36" s="157"/>
      <c r="JY36" s="143"/>
      <c r="JZ36" s="143"/>
      <c r="KA36" s="147"/>
      <c r="KB36" s="147"/>
      <c r="KC36" s="157"/>
      <c r="KD36" s="157"/>
      <c r="KE36" s="157"/>
      <c r="KF36" s="157"/>
      <c r="KG36" s="118"/>
      <c r="KH36" s="118"/>
      <c r="KI36" s="157"/>
      <c r="KJ36" s="157"/>
      <c r="KK36" s="143"/>
      <c r="KL36" s="143"/>
      <c r="KM36" s="157"/>
      <c r="KN36" s="157"/>
      <c r="KO36" s="157"/>
      <c r="KP36" s="157"/>
      <c r="KQ36" s="157"/>
      <c r="KR36" s="157"/>
      <c r="KS36" s="143"/>
      <c r="KT36" s="143"/>
      <c r="KU36" s="157"/>
      <c r="KV36" s="157"/>
      <c r="KW36" s="168"/>
      <c r="KX36" s="168"/>
      <c r="KY36" s="169"/>
      <c r="KZ36" s="169"/>
      <c r="LA36" s="157"/>
      <c r="LB36" s="157"/>
      <c r="LC36" s="10"/>
      <c r="LD36" s="214"/>
      <c r="LE36" s="214"/>
      <c r="LF36" s="211"/>
      <c r="LG36" s="211"/>
      <c r="LH36" s="211"/>
      <c r="LI36" s="211"/>
      <c r="LJ36" s="211"/>
      <c r="LK36" s="211"/>
      <c r="LL36" s="211"/>
      <c r="LM36" s="211"/>
      <c r="LN36" s="211"/>
      <c r="LO36" s="211"/>
      <c r="LP36" s="211"/>
      <c r="LQ36" s="211"/>
      <c r="LR36" s="211"/>
      <c r="LS36" s="212"/>
      <c r="LT36" s="212"/>
      <c r="LU36" s="213"/>
      <c r="LV36" s="213"/>
      <c r="LW36" s="214"/>
      <c r="LX36" s="214"/>
      <c r="LY36" s="212"/>
      <c r="LZ36" s="212"/>
      <c r="MA36" s="215"/>
      <c r="MB36" s="215"/>
      <c r="MC36" s="214"/>
      <c r="MD36" s="214"/>
      <c r="ME36" s="212"/>
      <c r="MF36" s="212"/>
      <c r="MG36" s="211"/>
      <c r="MH36" s="211"/>
      <c r="MI36" s="214"/>
      <c r="MJ36" s="214"/>
    </row>
    <row r="37" spans="1:348" s="13" customFormat="1" ht="24.9" customHeight="1">
      <c r="A37" s="1"/>
      <c r="B37" s="5"/>
      <c r="C37" s="5"/>
      <c r="D37" s="66"/>
      <c r="E37" s="274"/>
      <c r="F37" s="5"/>
      <c r="G37" s="5"/>
      <c r="H37" s="5"/>
      <c r="I37" s="5"/>
      <c r="J37" s="67"/>
      <c r="K37" s="67"/>
      <c r="L37" s="5"/>
      <c r="M37" s="273"/>
      <c r="N37" s="5"/>
      <c r="O37" s="318"/>
      <c r="P37" s="368"/>
      <c r="Q37" s="318"/>
      <c r="R37" s="368"/>
      <c r="S37" s="318"/>
      <c r="T37" s="368"/>
      <c r="U37" s="318"/>
      <c r="V37" s="368"/>
      <c r="W37" s="318"/>
      <c r="X37" s="368"/>
      <c r="Y37" s="368"/>
      <c r="Z37" s="368"/>
      <c r="AA37" s="368"/>
      <c r="AB37" s="368"/>
      <c r="AC37" s="318"/>
      <c r="AD37" s="318"/>
      <c r="AE37" s="368"/>
      <c r="AF37" s="368"/>
      <c r="AG37" s="368"/>
      <c r="AH37" s="368"/>
      <c r="AI37" s="133"/>
      <c r="AJ37" s="133"/>
      <c r="AK37" s="133"/>
      <c r="AL37" s="133"/>
      <c r="AM37" s="133"/>
      <c r="AN37" s="133"/>
      <c r="AO37" s="133"/>
      <c r="AP37" s="133"/>
      <c r="AQ37" s="133"/>
      <c r="AR37" s="133"/>
      <c r="AS37" s="4"/>
      <c r="AT37" s="4"/>
      <c r="AU37" s="133"/>
      <c r="AV37" s="133"/>
      <c r="AW37" s="133"/>
      <c r="AX37" s="133"/>
      <c r="AY37" s="133"/>
      <c r="AZ37" s="133"/>
      <c r="BA37" s="133"/>
      <c r="BB37" s="133"/>
      <c r="BC37" s="85"/>
      <c r="BD37" s="85"/>
      <c r="BE37" s="133"/>
      <c r="BF37" s="133"/>
      <c r="BG37" s="133"/>
      <c r="BH37" s="133"/>
      <c r="BI37" s="143"/>
      <c r="BJ37" s="133"/>
      <c r="BK37" s="143"/>
      <c r="BL37" s="133"/>
      <c r="BM37" s="143"/>
      <c r="BN37" s="133"/>
      <c r="BO37" s="133"/>
      <c r="BP37" s="133"/>
      <c r="BQ37" s="85"/>
      <c r="BR37" s="147"/>
      <c r="BS37" s="147"/>
      <c r="BT37" s="143"/>
      <c r="BU37" s="147"/>
      <c r="BV37" s="143"/>
      <c r="BW37" s="143"/>
      <c r="BX37" s="3"/>
      <c r="BY37" s="3"/>
      <c r="BZ37" s="157"/>
      <c r="CA37" s="157"/>
      <c r="CB37" s="157"/>
      <c r="CC37" s="158"/>
      <c r="CD37" s="157"/>
      <c r="CE37" s="157"/>
      <c r="CF37" s="157"/>
      <c r="CG37" s="157"/>
      <c r="CH37" s="157"/>
      <c r="CI37" s="157"/>
      <c r="CJ37" s="157"/>
      <c r="CK37" s="157"/>
      <c r="CL37" s="157"/>
      <c r="CM37" s="157"/>
      <c r="CN37" s="66"/>
      <c r="CO37" s="66"/>
      <c r="CP37" s="3"/>
      <c r="CQ37" s="3"/>
      <c r="CR37" s="3"/>
      <c r="CS37" s="3"/>
      <c r="CT37" s="6"/>
      <c r="CU37" s="6"/>
      <c r="CV37" s="6"/>
      <c r="CW37" s="6"/>
      <c r="CX37" s="157"/>
      <c r="CY37" s="157"/>
      <c r="CZ37" s="157"/>
      <c r="DA37" s="157"/>
      <c r="DB37" s="157"/>
      <c r="DC37" s="157"/>
      <c r="DD37" s="157"/>
      <c r="DE37" s="157"/>
      <c r="DF37" s="143"/>
      <c r="DG37" s="143"/>
      <c r="DH37" s="159"/>
      <c r="DI37" s="167"/>
      <c r="DJ37" s="157"/>
      <c r="DK37" s="157"/>
      <c r="DL37" s="143"/>
      <c r="DM37" s="143"/>
      <c r="DN37" s="159"/>
      <c r="DO37" s="167"/>
      <c r="DP37" s="157"/>
      <c r="DQ37" s="157"/>
      <c r="DR37" s="143"/>
      <c r="DS37" s="143"/>
      <c r="DT37" s="147"/>
      <c r="DU37" s="147"/>
      <c r="DV37" s="147"/>
      <c r="DW37" s="147"/>
      <c r="DX37" s="147"/>
      <c r="DY37" s="147"/>
      <c r="DZ37" s="147"/>
      <c r="EA37" s="147"/>
      <c r="EB37" s="147"/>
      <c r="EC37" s="147"/>
      <c r="ED37" s="157"/>
      <c r="EE37" s="157"/>
      <c r="EF37" s="147"/>
      <c r="EG37" s="147"/>
      <c r="EH37" s="157"/>
      <c r="EI37" s="157"/>
      <c r="EJ37" s="143"/>
      <c r="EK37" s="147"/>
      <c r="EL37" s="147"/>
      <c r="EM37" s="318"/>
      <c r="EN37" s="368"/>
      <c r="EO37" s="318"/>
      <c r="EP37" s="368"/>
      <c r="EQ37" s="368"/>
      <c r="ER37" s="368"/>
      <c r="ES37" s="370"/>
      <c r="ET37" s="370"/>
      <c r="EU37" s="273"/>
      <c r="EV37" s="371"/>
      <c r="EW37" s="273"/>
      <c r="EX37" s="371"/>
      <c r="EY37" s="371"/>
      <c r="EZ37" s="371"/>
      <c r="FA37" s="371"/>
      <c r="FB37" s="371"/>
      <c r="FC37" s="147"/>
      <c r="FD37" s="147"/>
      <c r="FE37" s="147"/>
      <c r="FF37" s="147"/>
      <c r="FG37" s="147"/>
      <c r="FH37" s="147"/>
      <c r="FI37" s="139"/>
      <c r="FJ37" s="139"/>
      <c r="FK37" s="147"/>
      <c r="FL37" s="147"/>
      <c r="FM37" s="143"/>
      <c r="FN37" s="143"/>
      <c r="FO37" s="143"/>
      <c r="FP37" s="143"/>
      <c r="FQ37" s="147"/>
      <c r="FR37" s="147"/>
      <c r="FS37" s="85"/>
      <c r="FT37" s="85"/>
      <c r="FU37" s="6"/>
      <c r="FV37" s="6"/>
      <c r="FW37" s="157"/>
      <c r="FX37" s="157"/>
      <c r="FY37" s="157"/>
      <c r="FZ37" s="157"/>
      <c r="GA37" s="157"/>
      <c r="GB37" s="157"/>
      <c r="GC37" s="157"/>
      <c r="GD37" s="157"/>
      <c r="GE37" s="157"/>
      <c r="GF37" s="157"/>
      <c r="GG37" s="157"/>
      <c r="GH37" s="157"/>
      <c r="GI37" s="157"/>
      <c r="GJ37" s="157"/>
      <c r="GK37" s="147"/>
      <c r="GL37" s="147"/>
      <c r="GM37" s="157"/>
      <c r="GN37" s="157"/>
      <c r="GO37" s="168"/>
      <c r="GP37" s="168"/>
      <c r="GQ37" s="169"/>
      <c r="GR37" s="169"/>
      <c r="GS37" s="157"/>
      <c r="GT37" s="157"/>
      <c r="GU37" s="157"/>
      <c r="GV37" s="157"/>
      <c r="GW37" s="168"/>
      <c r="GX37" s="168"/>
      <c r="GY37" s="169"/>
      <c r="GZ37" s="169"/>
      <c r="HA37" s="157"/>
      <c r="HB37" s="157"/>
      <c r="HC37" s="6"/>
      <c r="HD37" s="6"/>
      <c r="HE37" s="143"/>
      <c r="HF37" s="143"/>
      <c r="HG37" s="6"/>
      <c r="HH37" s="6"/>
      <c r="HI37" s="143"/>
      <c r="HJ37" s="143"/>
      <c r="HK37" s="8"/>
      <c r="HL37" s="8"/>
      <c r="HM37" s="413"/>
      <c r="HN37" s="413"/>
      <c r="HO37" s="8"/>
      <c r="HP37" s="412"/>
      <c r="HQ37" s="8"/>
      <c r="HR37" s="413"/>
      <c r="HS37" s="8"/>
      <c r="HT37" s="412"/>
      <c r="HU37" s="8"/>
      <c r="HV37" s="413"/>
      <c r="HW37" s="8"/>
      <c r="HX37" s="412"/>
      <c r="HY37" s="407"/>
      <c r="HZ37" s="407"/>
      <c r="IA37" s="7"/>
      <c r="IB37" s="371"/>
      <c r="IC37" s="7"/>
      <c r="ID37" s="407"/>
      <c r="IE37" s="7"/>
      <c r="IF37" s="371"/>
      <c r="IG37" s="7"/>
      <c r="IH37" s="407"/>
      <c r="II37" s="7"/>
      <c r="IJ37" s="407"/>
      <c r="IK37" s="7"/>
      <c r="IL37" s="407"/>
      <c r="IM37" s="167"/>
      <c r="IN37" s="167"/>
      <c r="IO37" s="167"/>
      <c r="IP37" s="167"/>
      <c r="IQ37" s="167"/>
      <c r="IR37" s="167"/>
      <c r="IS37" s="167"/>
      <c r="IT37" s="167"/>
      <c r="IU37" s="167"/>
      <c r="IV37" s="167"/>
      <c r="IW37" s="167"/>
      <c r="IX37" s="167"/>
      <c r="IY37" s="167"/>
      <c r="IZ37" s="167"/>
      <c r="JA37" s="167"/>
      <c r="JB37" s="167"/>
      <c r="JC37" s="167"/>
      <c r="JD37" s="167"/>
      <c r="JE37" s="167"/>
      <c r="JF37" s="167"/>
      <c r="JG37" s="167"/>
      <c r="JH37" s="167"/>
      <c r="JI37" s="167"/>
      <c r="JJ37" s="167"/>
      <c r="JK37" s="167"/>
      <c r="JL37" s="167"/>
      <c r="JM37" s="3"/>
      <c r="JN37" s="3"/>
      <c r="JO37" s="7"/>
      <c r="JP37" s="7"/>
      <c r="JQ37" s="157"/>
      <c r="JR37" s="157"/>
      <c r="JS37" s="157"/>
      <c r="JT37" s="157"/>
      <c r="JU37" s="6"/>
      <c r="JV37" s="6"/>
      <c r="JW37" s="157"/>
      <c r="JX37" s="157"/>
      <c r="JY37" s="143"/>
      <c r="JZ37" s="143"/>
      <c r="KA37" s="147"/>
      <c r="KB37" s="147"/>
      <c r="KC37" s="157"/>
      <c r="KD37" s="157"/>
      <c r="KE37" s="157"/>
      <c r="KF37" s="157"/>
      <c r="KG37" s="118"/>
      <c r="KH37" s="118"/>
      <c r="KI37" s="157"/>
      <c r="KJ37" s="157"/>
      <c r="KK37" s="143"/>
      <c r="KL37" s="143"/>
      <c r="KM37" s="157"/>
      <c r="KN37" s="157"/>
      <c r="KO37" s="157"/>
      <c r="KP37" s="157"/>
      <c r="KQ37" s="157"/>
      <c r="KR37" s="157"/>
      <c r="KS37" s="143"/>
      <c r="KT37" s="143"/>
      <c r="KU37" s="157"/>
      <c r="KV37" s="157"/>
      <c r="KW37" s="168"/>
      <c r="KX37" s="168"/>
      <c r="KY37" s="169"/>
      <c r="KZ37" s="169"/>
      <c r="LA37" s="157"/>
      <c r="LB37" s="157"/>
      <c r="LC37" s="10"/>
      <c r="LD37" s="214"/>
      <c r="LE37" s="214"/>
      <c r="LF37" s="211"/>
      <c r="LG37" s="211"/>
      <c r="LH37" s="211"/>
      <c r="LI37" s="211"/>
      <c r="LJ37" s="211"/>
      <c r="LK37" s="211"/>
      <c r="LL37" s="211"/>
      <c r="LM37" s="211"/>
      <c r="LN37" s="211"/>
      <c r="LO37" s="211"/>
      <c r="LP37" s="211"/>
      <c r="LQ37" s="211"/>
      <c r="LR37" s="211"/>
      <c r="LS37" s="212"/>
      <c r="LT37" s="212"/>
      <c r="LU37" s="213"/>
      <c r="LV37" s="213"/>
      <c r="LW37" s="214"/>
      <c r="LX37" s="214"/>
      <c r="LY37" s="212"/>
      <c r="LZ37" s="212"/>
      <c r="MA37" s="215"/>
      <c r="MB37" s="215"/>
      <c r="MC37" s="214"/>
      <c r="MD37" s="214"/>
      <c r="ME37" s="212"/>
      <c r="MF37" s="212"/>
      <c r="MG37" s="211"/>
      <c r="MH37" s="211"/>
      <c r="MI37" s="214"/>
      <c r="MJ37" s="214"/>
    </row>
    <row r="38" spans="1:348" s="13" customFormat="1" ht="24.9" customHeight="1">
      <c r="A38" s="1"/>
      <c r="B38" s="5"/>
      <c r="C38" s="5"/>
      <c r="D38" s="66"/>
      <c r="E38" s="274"/>
      <c r="F38" s="5"/>
      <c r="G38" s="5"/>
      <c r="H38" s="5"/>
      <c r="I38" s="5"/>
      <c r="J38" s="67"/>
      <c r="K38" s="67"/>
      <c r="L38" s="5"/>
      <c r="M38" s="273"/>
      <c r="N38" s="5"/>
      <c r="O38" s="318"/>
      <c r="P38" s="368"/>
      <c r="Q38" s="318"/>
      <c r="R38" s="368"/>
      <c r="S38" s="318"/>
      <c r="T38" s="368"/>
      <c r="U38" s="318"/>
      <c r="V38" s="368"/>
      <c r="W38" s="318"/>
      <c r="X38" s="368"/>
      <c r="Y38" s="368"/>
      <c r="Z38" s="368"/>
      <c r="AA38" s="368"/>
      <c r="AB38" s="368"/>
      <c r="AC38" s="318"/>
      <c r="AD38" s="318"/>
      <c r="AE38" s="368"/>
      <c r="AF38" s="368"/>
      <c r="AG38" s="368"/>
      <c r="AH38" s="368"/>
      <c r="AI38" s="133"/>
      <c r="AJ38" s="133"/>
      <c r="AK38" s="133"/>
      <c r="AL38" s="133"/>
      <c r="AM38" s="133"/>
      <c r="AN38" s="133"/>
      <c r="AO38" s="133"/>
      <c r="AP38" s="133"/>
      <c r="AQ38" s="133"/>
      <c r="AR38" s="133"/>
      <c r="AS38" s="4"/>
      <c r="AT38" s="4"/>
      <c r="AU38" s="133"/>
      <c r="AV38" s="133"/>
      <c r="AW38" s="133"/>
      <c r="AX38" s="133"/>
      <c r="AY38" s="133"/>
      <c r="AZ38" s="133"/>
      <c r="BA38" s="133"/>
      <c r="BB38" s="133"/>
      <c r="BC38" s="85"/>
      <c r="BD38" s="85"/>
      <c r="BE38" s="133"/>
      <c r="BF38" s="133"/>
      <c r="BG38" s="133"/>
      <c r="BH38" s="133"/>
      <c r="BI38" s="143"/>
      <c r="BJ38" s="133"/>
      <c r="BK38" s="143"/>
      <c r="BL38" s="133"/>
      <c r="BM38" s="143"/>
      <c r="BN38" s="133"/>
      <c r="BO38" s="133"/>
      <c r="BP38" s="133"/>
      <c r="BQ38" s="85"/>
      <c r="BR38" s="147"/>
      <c r="BS38" s="147"/>
      <c r="BT38" s="143"/>
      <c r="BU38" s="147"/>
      <c r="BV38" s="143"/>
      <c r="BW38" s="143"/>
      <c r="BX38" s="3"/>
      <c r="BY38" s="3"/>
      <c r="BZ38" s="157"/>
      <c r="CA38" s="157"/>
      <c r="CB38" s="157"/>
      <c r="CC38" s="158"/>
      <c r="CD38" s="157"/>
      <c r="CE38" s="157"/>
      <c r="CF38" s="157"/>
      <c r="CG38" s="157"/>
      <c r="CH38" s="157"/>
      <c r="CI38" s="157"/>
      <c r="CJ38" s="157"/>
      <c r="CK38" s="157"/>
      <c r="CL38" s="157"/>
      <c r="CM38" s="157"/>
      <c r="CN38" s="66"/>
      <c r="CO38" s="66"/>
      <c r="CP38" s="3"/>
      <c r="CQ38" s="3"/>
      <c r="CR38" s="3"/>
      <c r="CS38" s="3"/>
      <c r="CT38" s="6"/>
      <c r="CU38" s="6"/>
      <c r="CV38" s="6"/>
      <c r="CW38" s="6"/>
      <c r="CX38" s="157"/>
      <c r="CY38" s="157"/>
      <c r="CZ38" s="157"/>
      <c r="DA38" s="157"/>
      <c r="DB38" s="157"/>
      <c r="DC38" s="157"/>
      <c r="DD38" s="157"/>
      <c r="DE38" s="157"/>
      <c r="DF38" s="143"/>
      <c r="DG38" s="143"/>
      <c r="DH38" s="159"/>
      <c r="DI38" s="167"/>
      <c r="DJ38" s="157"/>
      <c r="DK38" s="157"/>
      <c r="DL38" s="143"/>
      <c r="DM38" s="143"/>
      <c r="DN38" s="159"/>
      <c r="DO38" s="167"/>
      <c r="DP38" s="157"/>
      <c r="DQ38" s="157"/>
      <c r="DR38" s="143"/>
      <c r="DS38" s="143"/>
      <c r="DT38" s="147"/>
      <c r="DU38" s="147"/>
      <c r="DV38" s="147"/>
      <c r="DW38" s="147"/>
      <c r="DX38" s="147"/>
      <c r="DY38" s="147"/>
      <c r="DZ38" s="147"/>
      <c r="EA38" s="147"/>
      <c r="EB38" s="147"/>
      <c r="EC38" s="147"/>
      <c r="ED38" s="157"/>
      <c r="EE38" s="157"/>
      <c r="EF38" s="147"/>
      <c r="EG38" s="147"/>
      <c r="EH38" s="157"/>
      <c r="EI38" s="157"/>
      <c r="EJ38" s="143"/>
      <c r="EK38" s="147"/>
      <c r="EL38" s="147"/>
      <c r="EM38" s="318"/>
      <c r="EN38" s="368"/>
      <c r="EO38" s="318"/>
      <c r="EP38" s="368"/>
      <c r="EQ38" s="368"/>
      <c r="ER38" s="368"/>
      <c r="ES38" s="370"/>
      <c r="ET38" s="370"/>
      <c r="EU38" s="273"/>
      <c r="EV38" s="371"/>
      <c r="EW38" s="273"/>
      <c r="EX38" s="371"/>
      <c r="EY38" s="371"/>
      <c r="EZ38" s="371"/>
      <c r="FA38" s="371"/>
      <c r="FB38" s="371"/>
      <c r="FC38" s="147"/>
      <c r="FD38" s="147"/>
      <c r="FE38" s="147"/>
      <c r="FF38" s="147"/>
      <c r="FG38" s="147"/>
      <c r="FH38" s="147"/>
      <c r="FI38" s="139"/>
      <c r="FJ38" s="139"/>
      <c r="FK38" s="147"/>
      <c r="FL38" s="147"/>
      <c r="FM38" s="143"/>
      <c r="FN38" s="143"/>
      <c r="FO38" s="143"/>
      <c r="FP38" s="143"/>
      <c r="FQ38" s="147"/>
      <c r="FR38" s="147"/>
      <c r="FS38" s="85"/>
      <c r="FT38" s="85"/>
      <c r="FU38" s="6"/>
      <c r="FV38" s="6"/>
      <c r="FW38" s="157"/>
      <c r="FX38" s="157"/>
      <c r="FY38" s="157"/>
      <c r="FZ38" s="157"/>
      <c r="GA38" s="157"/>
      <c r="GB38" s="157"/>
      <c r="GC38" s="157"/>
      <c r="GD38" s="157"/>
      <c r="GE38" s="157"/>
      <c r="GF38" s="157"/>
      <c r="GG38" s="157"/>
      <c r="GH38" s="157"/>
      <c r="GI38" s="157"/>
      <c r="GJ38" s="157"/>
      <c r="GK38" s="147"/>
      <c r="GL38" s="147"/>
      <c r="GM38" s="157"/>
      <c r="GN38" s="157"/>
      <c r="GO38" s="168"/>
      <c r="GP38" s="168"/>
      <c r="GQ38" s="169"/>
      <c r="GR38" s="169"/>
      <c r="GS38" s="157"/>
      <c r="GT38" s="157"/>
      <c r="GU38" s="157"/>
      <c r="GV38" s="157"/>
      <c r="GW38" s="168"/>
      <c r="GX38" s="168"/>
      <c r="GY38" s="169"/>
      <c r="GZ38" s="169"/>
      <c r="HA38" s="157"/>
      <c r="HB38" s="157"/>
      <c r="HC38" s="6"/>
      <c r="HD38" s="6"/>
      <c r="HE38" s="143"/>
      <c r="HF38" s="143"/>
      <c r="HG38" s="6"/>
      <c r="HH38" s="6"/>
      <c r="HI38" s="143"/>
      <c r="HJ38" s="143"/>
      <c r="HK38" s="8"/>
      <c r="HL38" s="8"/>
      <c r="HM38" s="413"/>
      <c r="HN38" s="413"/>
      <c r="HO38" s="8"/>
      <c r="HP38" s="412"/>
      <c r="HQ38" s="8"/>
      <c r="HR38" s="413"/>
      <c r="HS38" s="8"/>
      <c r="HT38" s="412"/>
      <c r="HU38" s="8"/>
      <c r="HV38" s="413"/>
      <c r="HW38" s="8"/>
      <c r="HX38" s="412"/>
      <c r="HY38" s="407"/>
      <c r="HZ38" s="407"/>
      <c r="IA38" s="7"/>
      <c r="IB38" s="371"/>
      <c r="IC38" s="7"/>
      <c r="ID38" s="407"/>
      <c r="IE38" s="7"/>
      <c r="IF38" s="371"/>
      <c r="IG38" s="7"/>
      <c r="IH38" s="407"/>
      <c r="II38" s="7"/>
      <c r="IJ38" s="407"/>
      <c r="IK38" s="7"/>
      <c r="IL38" s="407"/>
      <c r="IM38" s="167"/>
      <c r="IN38" s="167"/>
      <c r="IO38" s="167"/>
      <c r="IP38" s="167"/>
      <c r="IQ38" s="167"/>
      <c r="IR38" s="167"/>
      <c r="IS38" s="167"/>
      <c r="IT38" s="167"/>
      <c r="IU38" s="167"/>
      <c r="IV38" s="167"/>
      <c r="IW38" s="167"/>
      <c r="IX38" s="167"/>
      <c r="IY38" s="167"/>
      <c r="IZ38" s="167"/>
      <c r="JA38" s="167"/>
      <c r="JB38" s="167"/>
      <c r="JC38" s="167"/>
      <c r="JD38" s="167"/>
      <c r="JE38" s="167"/>
      <c r="JF38" s="167"/>
      <c r="JG38" s="167"/>
      <c r="JH38" s="167"/>
      <c r="JI38" s="167"/>
      <c r="JJ38" s="167"/>
      <c r="JK38" s="167"/>
      <c r="JL38" s="167"/>
      <c r="JM38" s="3"/>
      <c r="JN38" s="3"/>
      <c r="JO38" s="7"/>
      <c r="JP38" s="7"/>
      <c r="JQ38" s="157"/>
      <c r="JR38" s="157"/>
      <c r="JS38" s="157"/>
      <c r="JT38" s="157"/>
      <c r="JU38" s="6"/>
      <c r="JV38" s="6"/>
      <c r="JW38" s="157"/>
      <c r="JX38" s="157"/>
      <c r="JY38" s="143"/>
      <c r="JZ38" s="143"/>
      <c r="KA38" s="147"/>
      <c r="KB38" s="147"/>
      <c r="KC38" s="157"/>
      <c r="KD38" s="157"/>
      <c r="KE38" s="157"/>
      <c r="KF38" s="157"/>
      <c r="KG38" s="118"/>
      <c r="KH38" s="118"/>
      <c r="KI38" s="157"/>
      <c r="KJ38" s="157"/>
      <c r="KK38" s="143"/>
      <c r="KL38" s="143"/>
      <c r="KM38" s="157"/>
      <c r="KN38" s="157"/>
      <c r="KO38" s="157"/>
      <c r="KP38" s="157"/>
      <c r="KQ38" s="157"/>
      <c r="KR38" s="157"/>
      <c r="KS38" s="143"/>
      <c r="KT38" s="143"/>
      <c r="KU38" s="157"/>
      <c r="KV38" s="157"/>
      <c r="KW38" s="168"/>
      <c r="KX38" s="168"/>
      <c r="KY38" s="169"/>
      <c r="KZ38" s="169"/>
      <c r="LA38" s="157"/>
      <c r="LB38" s="157"/>
      <c r="LC38" s="10"/>
      <c r="LD38" s="214"/>
      <c r="LE38" s="214"/>
      <c r="LF38" s="211"/>
      <c r="LG38" s="211"/>
      <c r="LH38" s="211"/>
      <c r="LI38" s="211"/>
      <c r="LJ38" s="211"/>
      <c r="LK38" s="211"/>
      <c r="LL38" s="211"/>
      <c r="LM38" s="211"/>
      <c r="LN38" s="211"/>
      <c r="LO38" s="211"/>
      <c r="LP38" s="211"/>
      <c r="LQ38" s="211"/>
      <c r="LR38" s="211"/>
      <c r="LS38" s="212"/>
      <c r="LT38" s="212"/>
      <c r="LU38" s="213"/>
      <c r="LV38" s="213"/>
      <c r="LW38" s="214"/>
      <c r="LX38" s="214"/>
      <c r="LY38" s="212"/>
      <c r="LZ38" s="212"/>
      <c r="MA38" s="215"/>
      <c r="MB38" s="215"/>
      <c r="MC38" s="214"/>
      <c r="MD38" s="214"/>
      <c r="ME38" s="212"/>
      <c r="MF38" s="212"/>
      <c r="MG38" s="211"/>
      <c r="MH38" s="211"/>
      <c r="MI38" s="214"/>
      <c r="MJ38" s="214"/>
    </row>
    <row r="39" spans="1:348" s="13" customFormat="1" ht="24.9" customHeight="1">
      <c r="A39" s="1"/>
      <c r="B39" s="5"/>
      <c r="C39" s="5"/>
      <c r="D39" s="66"/>
      <c r="E39" s="274"/>
      <c r="F39" s="5"/>
      <c r="G39" s="5"/>
      <c r="H39" s="5"/>
      <c r="I39" s="5"/>
      <c r="J39" s="67"/>
      <c r="K39" s="67"/>
      <c r="L39" s="5"/>
      <c r="M39" s="273"/>
      <c r="N39" s="5"/>
      <c r="O39" s="318"/>
      <c r="P39" s="368"/>
      <c r="Q39" s="318"/>
      <c r="R39" s="368"/>
      <c r="S39" s="318"/>
      <c r="T39" s="368"/>
      <c r="U39" s="318"/>
      <c r="V39" s="368"/>
      <c r="W39" s="318"/>
      <c r="X39" s="368"/>
      <c r="Y39" s="368"/>
      <c r="Z39" s="368"/>
      <c r="AA39" s="368"/>
      <c r="AB39" s="368"/>
      <c r="AC39" s="318"/>
      <c r="AD39" s="318"/>
      <c r="AE39" s="368"/>
      <c r="AF39" s="368"/>
      <c r="AG39" s="368"/>
      <c r="AH39" s="368"/>
      <c r="AI39" s="133"/>
      <c r="AJ39" s="133"/>
      <c r="AK39" s="133"/>
      <c r="AL39" s="133"/>
      <c r="AM39" s="133"/>
      <c r="AN39" s="133"/>
      <c r="AO39" s="133"/>
      <c r="AP39" s="133"/>
      <c r="AQ39" s="133"/>
      <c r="AR39" s="133"/>
      <c r="AS39" s="4"/>
      <c r="AT39" s="4"/>
      <c r="AU39" s="133"/>
      <c r="AV39" s="133"/>
      <c r="AW39" s="133"/>
      <c r="AX39" s="133"/>
      <c r="AY39" s="133"/>
      <c r="AZ39" s="133"/>
      <c r="BA39" s="133"/>
      <c r="BB39" s="133"/>
      <c r="BC39" s="85"/>
      <c r="BD39" s="85"/>
      <c r="BE39" s="133"/>
      <c r="BF39" s="133"/>
      <c r="BG39" s="133"/>
      <c r="BH39" s="133"/>
      <c r="BI39" s="143"/>
      <c r="BJ39" s="133"/>
      <c r="BK39" s="143"/>
      <c r="BL39" s="133"/>
      <c r="BM39" s="143"/>
      <c r="BN39" s="133"/>
      <c r="BO39" s="133"/>
      <c r="BP39" s="133"/>
      <c r="BQ39" s="85"/>
      <c r="BR39" s="147"/>
      <c r="BS39" s="147"/>
      <c r="BT39" s="143"/>
      <c r="BU39" s="147"/>
      <c r="BV39" s="143"/>
      <c r="BW39" s="143"/>
      <c r="BX39" s="3"/>
      <c r="BY39" s="3"/>
      <c r="BZ39" s="157"/>
      <c r="CA39" s="157"/>
      <c r="CB39" s="157"/>
      <c r="CC39" s="158"/>
      <c r="CD39" s="157"/>
      <c r="CE39" s="157"/>
      <c r="CF39" s="157"/>
      <c r="CG39" s="157"/>
      <c r="CH39" s="157"/>
      <c r="CI39" s="157"/>
      <c r="CJ39" s="157"/>
      <c r="CK39" s="157"/>
      <c r="CL39" s="157"/>
      <c r="CM39" s="157"/>
      <c r="CN39" s="66"/>
      <c r="CO39" s="66"/>
      <c r="CP39" s="3"/>
      <c r="CQ39" s="3"/>
      <c r="CR39" s="3"/>
      <c r="CS39" s="3"/>
      <c r="CT39" s="6"/>
      <c r="CU39" s="6"/>
      <c r="CV39" s="6"/>
      <c r="CW39" s="6"/>
      <c r="CX39" s="157"/>
      <c r="CY39" s="157"/>
      <c r="CZ39" s="157"/>
      <c r="DA39" s="157"/>
      <c r="DB39" s="157"/>
      <c r="DC39" s="157"/>
      <c r="DD39" s="157"/>
      <c r="DE39" s="157"/>
      <c r="DF39" s="143"/>
      <c r="DG39" s="143"/>
      <c r="DH39" s="159"/>
      <c r="DI39" s="167"/>
      <c r="DJ39" s="157"/>
      <c r="DK39" s="157"/>
      <c r="DL39" s="143"/>
      <c r="DM39" s="143"/>
      <c r="DN39" s="159"/>
      <c r="DO39" s="167"/>
      <c r="DP39" s="157"/>
      <c r="DQ39" s="157"/>
      <c r="DR39" s="143"/>
      <c r="DS39" s="143"/>
      <c r="DT39" s="147"/>
      <c r="DU39" s="147"/>
      <c r="DV39" s="147"/>
      <c r="DW39" s="147"/>
      <c r="DX39" s="147"/>
      <c r="DY39" s="147"/>
      <c r="DZ39" s="147"/>
      <c r="EA39" s="147"/>
      <c r="EB39" s="147"/>
      <c r="EC39" s="147"/>
      <c r="ED39" s="157"/>
      <c r="EE39" s="157"/>
      <c r="EF39" s="147"/>
      <c r="EG39" s="147"/>
      <c r="EH39" s="157"/>
      <c r="EI39" s="157"/>
      <c r="EJ39" s="143"/>
      <c r="EK39" s="147"/>
      <c r="EL39" s="147"/>
      <c r="EM39" s="318"/>
      <c r="EN39" s="368"/>
      <c r="EO39" s="318"/>
      <c r="EP39" s="368"/>
      <c r="EQ39" s="368"/>
      <c r="ER39" s="368"/>
      <c r="ES39" s="85"/>
      <c r="ET39" s="85"/>
      <c r="EU39" s="85"/>
      <c r="EV39" s="85"/>
      <c r="EW39" s="85"/>
      <c r="EX39" s="85"/>
      <c r="EY39" s="85"/>
      <c r="EZ39" s="85"/>
      <c r="FA39" s="85"/>
      <c r="FB39" s="85"/>
      <c r="FC39" s="147"/>
      <c r="FD39" s="147"/>
      <c r="FE39" s="147"/>
      <c r="FF39" s="147"/>
      <c r="FG39" s="147"/>
      <c r="FH39" s="147"/>
      <c r="FI39" s="139"/>
      <c r="FJ39" s="139"/>
      <c r="FK39" s="147"/>
      <c r="FL39" s="147"/>
      <c r="FM39" s="143"/>
      <c r="FN39" s="143"/>
      <c r="FO39" s="143"/>
      <c r="FP39" s="143"/>
      <c r="FQ39" s="147"/>
      <c r="FR39" s="147"/>
      <c r="FS39" s="85"/>
      <c r="FT39" s="85"/>
      <c r="FU39" s="6"/>
      <c r="FV39" s="6"/>
      <c r="FW39" s="157"/>
      <c r="FX39" s="157"/>
      <c r="FY39" s="157"/>
      <c r="FZ39" s="157"/>
      <c r="GA39" s="157"/>
      <c r="GB39" s="157"/>
      <c r="GC39" s="157"/>
      <c r="GD39" s="157"/>
      <c r="GE39" s="157"/>
      <c r="GF39" s="157"/>
      <c r="GG39" s="157"/>
      <c r="GH39" s="157"/>
      <c r="GI39" s="157"/>
      <c r="GJ39" s="157"/>
      <c r="GK39" s="147"/>
      <c r="GL39" s="147"/>
      <c r="GM39" s="157"/>
      <c r="GN39" s="157"/>
      <c r="GO39" s="168"/>
      <c r="GP39" s="168"/>
      <c r="GQ39" s="169"/>
      <c r="GR39" s="169"/>
      <c r="GS39" s="157"/>
      <c r="GT39" s="157"/>
      <c r="GU39" s="157"/>
      <c r="GV39" s="157"/>
      <c r="GW39" s="168"/>
      <c r="GX39" s="168"/>
      <c r="GY39" s="169"/>
      <c r="GZ39" s="169"/>
      <c r="HA39" s="157"/>
      <c r="HB39" s="157"/>
      <c r="HC39" s="6"/>
      <c r="HD39" s="6"/>
      <c r="HE39" s="143"/>
      <c r="HF39" s="143"/>
      <c r="HG39" s="6"/>
      <c r="HH39" s="6"/>
      <c r="HI39" s="143"/>
      <c r="HJ39" s="143"/>
      <c r="HK39" s="8"/>
      <c r="HL39" s="8"/>
      <c r="HM39" s="413"/>
      <c r="HN39" s="413"/>
      <c r="HO39" s="8"/>
      <c r="HP39" s="412"/>
      <c r="HQ39" s="8"/>
      <c r="HR39" s="413"/>
      <c r="HS39" s="8"/>
      <c r="HT39" s="412"/>
      <c r="HU39" s="8"/>
      <c r="HV39" s="413"/>
      <c r="HW39" s="8"/>
      <c r="HX39" s="412"/>
      <c r="HY39" s="8"/>
      <c r="HZ39" s="407"/>
      <c r="IA39" s="7"/>
      <c r="IB39" s="371"/>
      <c r="IC39" s="7"/>
      <c r="ID39" s="407"/>
      <c r="IE39" s="7"/>
      <c r="IF39" s="371"/>
      <c r="IG39" s="7"/>
      <c r="IH39" s="407"/>
      <c r="II39" s="7"/>
      <c r="IJ39" s="407"/>
      <c r="IK39" s="7"/>
      <c r="IL39" s="407"/>
      <c r="IM39" s="167"/>
      <c r="IN39" s="167"/>
      <c r="IO39" s="167"/>
      <c r="IP39" s="167"/>
      <c r="IQ39" s="167"/>
      <c r="IR39" s="167"/>
      <c r="IS39" s="167"/>
      <c r="IT39" s="167"/>
      <c r="IU39" s="167"/>
      <c r="IV39" s="167"/>
      <c r="IW39" s="167"/>
      <c r="IX39" s="167"/>
      <c r="IY39" s="167"/>
      <c r="IZ39" s="167"/>
      <c r="JA39" s="167"/>
      <c r="JB39" s="167"/>
      <c r="JC39" s="167"/>
      <c r="JD39" s="167"/>
      <c r="JE39" s="167"/>
      <c r="JF39" s="167"/>
      <c r="JG39" s="167"/>
      <c r="JH39" s="167"/>
      <c r="JI39" s="167"/>
      <c r="JJ39" s="167"/>
      <c r="JK39" s="167"/>
      <c r="JL39" s="167"/>
      <c r="JM39" s="3"/>
      <c r="JN39" s="3"/>
      <c r="JO39" s="7"/>
      <c r="JP39" s="7"/>
      <c r="JQ39" s="157"/>
      <c r="JR39" s="157"/>
      <c r="JS39" s="157"/>
      <c r="JT39" s="157"/>
      <c r="JU39" s="6"/>
      <c r="JV39" s="6"/>
      <c r="JW39" s="157"/>
      <c r="JX39" s="157"/>
      <c r="JY39" s="143"/>
      <c r="JZ39" s="143"/>
      <c r="KA39" s="147"/>
      <c r="KB39" s="147"/>
      <c r="KC39" s="157"/>
      <c r="KD39" s="157"/>
      <c r="KE39" s="157"/>
      <c r="KF39" s="157"/>
      <c r="KG39" s="118"/>
      <c r="KH39" s="118"/>
      <c r="KI39" s="157"/>
      <c r="KJ39" s="157"/>
      <c r="KK39" s="143"/>
      <c r="KL39" s="143"/>
      <c r="KM39" s="157"/>
      <c r="KN39" s="157"/>
      <c r="KO39" s="157"/>
      <c r="KP39" s="157"/>
      <c r="KQ39" s="157"/>
      <c r="KR39" s="157"/>
      <c r="KS39" s="143"/>
      <c r="KT39" s="143"/>
      <c r="KU39" s="157"/>
      <c r="KV39" s="157"/>
      <c r="KW39" s="168"/>
      <c r="KX39" s="168"/>
      <c r="KY39" s="169"/>
      <c r="KZ39" s="169"/>
      <c r="LA39" s="157"/>
      <c r="LB39" s="157"/>
      <c r="LC39" s="10"/>
      <c r="LD39" s="214"/>
      <c r="LE39" s="214"/>
      <c r="LF39" s="211"/>
      <c r="LG39" s="211"/>
      <c r="LH39" s="211"/>
      <c r="LI39" s="211"/>
      <c r="LJ39" s="211"/>
      <c r="LK39" s="211"/>
      <c r="LL39" s="211"/>
      <c r="LM39" s="211"/>
      <c r="LN39" s="211"/>
      <c r="LO39" s="211"/>
      <c r="LP39" s="211"/>
      <c r="LQ39" s="211"/>
      <c r="LR39" s="211"/>
      <c r="LS39" s="212"/>
      <c r="LT39" s="212"/>
      <c r="LU39" s="213"/>
      <c r="LV39" s="213"/>
      <c r="LW39" s="214"/>
      <c r="LX39" s="214"/>
      <c r="LY39" s="212"/>
      <c r="LZ39" s="212"/>
      <c r="MA39" s="215"/>
      <c r="MB39" s="215"/>
      <c r="MC39" s="214"/>
      <c r="MD39" s="214"/>
      <c r="ME39" s="212"/>
      <c r="MF39" s="212"/>
      <c r="MG39" s="211"/>
      <c r="MH39" s="211"/>
      <c r="MI39" s="214"/>
      <c r="MJ39" s="214"/>
    </row>
    <row r="40" spans="1:348" s="13" customFormat="1" ht="24.9" customHeight="1">
      <c r="A40" s="1"/>
      <c r="B40" s="85"/>
      <c r="C40" s="5"/>
      <c r="D40" s="85"/>
      <c r="E40" s="85"/>
      <c r="F40" s="85"/>
      <c r="G40" s="85"/>
      <c r="H40" s="85"/>
      <c r="I40" s="85"/>
      <c r="J40" s="85"/>
      <c r="K40" s="85"/>
      <c r="L40" s="85"/>
      <c r="M40" s="85"/>
      <c r="N40" s="85"/>
      <c r="X40" s="85"/>
      <c r="AH40" s="85"/>
      <c r="AI40" s="139"/>
      <c r="AJ40" s="139"/>
      <c r="AK40" s="139"/>
      <c r="AL40" s="139"/>
      <c r="AM40" s="139"/>
      <c r="AN40" s="139"/>
      <c r="AO40" s="139"/>
      <c r="AP40" s="139"/>
      <c r="AQ40" s="139"/>
      <c r="AR40" s="139"/>
      <c r="AS40" s="85"/>
      <c r="AT40" s="85"/>
      <c r="AU40" s="139"/>
      <c r="AV40" s="139"/>
      <c r="AW40" s="139"/>
      <c r="AX40" s="139"/>
      <c r="AY40" s="139"/>
      <c r="AZ40" s="139"/>
      <c r="BA40" s="139"/>
      <c r="BB40" s="139"/>
      <c r="BC40" s="85"/>
      <c r="BD40" s="85"/>
      <c r="BE40" s="139"/>
      <c r="BF40" s="139"/>
      <c r="BG40" s="139"/>
      <c r="BH40" s="139"/>
      <c r="BI40" s="139"/>
      <c r="BJ40" s="139"/>
      <c r="BK40" s="139"/>
      <c r="BL40" s="139"/>
      <c r="BM40" s="139"/>
      <c r="BN40" s="139"/>
      <c r="BO40" s="139"/>
      <c r="BP40" s="139"/>
      <c r="BQ40" s="85"/>
      <c r="BR40" s="139"/>
      <c r="BS40" s="139"/>
      <c r="BT40" s="139"/>
      <c r="BU40" s="139"/>
      <c r="BV40" s="139"/>
      <c r="BW40" s="139"/>
      <c r="BX40" s="85"/>
      <c r="BY40" s="85"/>
      <c r="BZ40" s="139"/>
      <c r="CA40" s="139"/>
      <c r="CB40" s="139"/>
      <c r="CC40" s="139"/>
      <c r="CD40" s="139"/>
      <c r="CE40" s="139"/>
      <c r="CF40" s="139"/>
      <c r="CG40" s="139"/>
      <c r="CH40" s="139"/>
      <c r="CI40" s="139"/>
      <c r="CJ40" s="139"/>
      <c r="CK40" s="139"/>
      <c r="CL40" s="139"/>
      <c r="CM40" s="139"/>
      <c r="CN40" s="85"/>
      <c r="CO40" s="85"/>
      <c r="CP40" s="85"/>
      <c r="CQ40" s="85"/>
      <c r="CR40" s="85"/>
      <c r="CS40" s="85"/>
      <c r="CT40" s="85"/>
      <c r="CU40" s="85"/>
      <c r="CV40" s="85"/>
      <c r="CW40" s="85"/>
      <c r="CX40" s="139"/>
      <c r="CY40" s="139"/>
      <c r="CZ40" s="139"/>
      <c r="DA40" s="139"/>
      <c r="DB40" s="139"/>
      <c r="DC40" s="139"/>
      <c r="DD40" s="139"/>
      <c r="DE40" s="139"/>
      <c r="DF40" s="139"/>
      <c r="DG40" s="139"/>
      <c r="DH40" s="139"/>
      <c r="DI40" s="139"/>
      <c r="DJ40" s="139"/>
      <c r="DK40" s="139"/>
      <c r="DL40" s="139"/>
      <c r="DM40" s="139"/>
      <c r="DN40" s="139"/>
      <c r="DO40" s="139"/>
      <c r="DP40" s="139"/>
      <c r="DQ40" s="139"/>
      <c r="DR40" s="139"/>
      <c r="DS40" s="139"/>
      <c r="DT40" s="139"/>
      <c r="DU40" s="139"/>
      <c r="DV40" s="139"/>
      <c r="DW40" s="139"/>
      <c r="DX40" s="139"/>
      <c r="DY40" s="139"/>
      <c r="DZ40" s="139"/>
      <c r="EA40" s="139"/>
      <c r="EB40" s="139"/>
      <c r="EC40" s="139"/>
      <c r="ED40" s="139"/>
      <c r="EE40" s="139"/>
      <c r="EF40" s="139"/>
      <c r="EG40" s="139"/>
      <c r="EH40" s="139"/>
      <c r="EI40" s="139"/>
      <c r="EJ40" s="139"/>
      <c r="EK40" s="139"/>
      <c r="EL40" s="139"/>
      <c r="EN40" s="85"/>
      <c r="EP40" s="85"/>
      <c r="ER40" s="85"/>
      <c r="ES40" s="85"/>
      <c r="ET40" s="85"/>
      <c r="EU40" s="85"/>
      <c r="EV40" s="85"/>
      <c r="EW40" s="85"/>
      <c r="EX40" s="85"/>
      <c r="EY40" s="85"/>
      <c r="EZ40" s="85"/>
      <c r="FA40" s="85"/>
      <c r="FB40" s="85"/>
      <c r="FC40" s="139"/>
      <c r="FD40" s="139"/>
      <c r="FE40" s="139"/>
      <c r="FF40" s="139"/>
      <c r="FG40" s="139"/>
      <c r="FH40" s="139"/>
      <c r="FI40" s="139"/>
      <c r="FJ40" s="139"/>
      <c r="FK40" s="139"/>
      <c r="FL40" s="139"/>
      <c r="FM40" s="139"/>
      <c r="FN40" s="139"/>
      <c r="FO40" s="139"/>
      <c r="FP40" s="139"/>
      <c r="FQ40" s="139"/>
      <c r="FR40" s="139"/>
      <c r="FS40" s="85"/>
      <c r="FT40" s="85"/>
      <c r="FU40" s="85"/>
      <c r="FV40" s="85"/>
      <c r="FW40" s="139"/>
      <c r="FX40" s="139"/>
      <c r="FY40" s="139"/>
      <c r="FZ40" s="139"/>
      <c r="GA40" s="139"/>
      <c r="GB40" s="139"/>
      <c r="GC40" s="139"/>
      <c r="GD40" s="139"/>
      <c r="GE40" s="139"/>
      <c r="GF40" s="139"/>
      <c r="GG40" s="139"/>
      <c r="GH40" s="139"/>
      <c r="GI40" s="139"/>
      <c r="GJ40" s="139"/>
      <c r="GK40" s="139"/>
      <c r="GL40" s="139"/>
      <c r="GM40" s="139"/>
      <c r="GN40" s="139"/>
      <c r="GO40" s="139"/>
      <c r="GP40" s="139"/>
      <c r="GQ40" s="139"/>
      <c r="GR40" s="139"/>
      <c r="GS40" s="139"/>
      <c r="GT40" s="139"/>
      <c r="GU40" s="139"/>
      <c r="GV40" s="139"/>
      <c r="GW40" s="139"/>
      <c r="GX40" s="139"/>
      <c r="GY40" s="139"/>
      <c r="GZ40" s="139"/>
      <c r="HA40" s="139"/>
      <c r="HB40" s="139"/>
      <c r="HC40" s="85"/>
      <c r="HD40" s="85"/>
      <c r="HE40" s="139"/>
      <c r="HF40" s="139"/>
      <c r="HG40" s="85"/>
      <c r="HH40" s="85"/>
      <c r="HI40" s="139"/>
      <c r="HJ40" s="139"/>
      <c r="HX40" s="85"/>
      <c r="IL40" s="85"/>
      <c r="IM40" s="139"/>
      <c r="IN40" s="139"/>
      <c r="IO40" s="139"/>
      <c r="IP40" s="139"/>
      <c r="IQ40" s="139"/>
      <c r="IR40" s="139"/>
      <c r="IS40" s="139"/>
      <c r="IT40" s="139"/>
      <c r="IU40" s="139"/>
      <c r="IV40" s="139"/>
      <c r="IW40" s="139"/>
      <c r="IX40" s="139"/>
      <c r="IY40" s="139"/>
      <c r="IZ40" s="139"/>
      <c r="JA40" s="139"/>
      <c r="JB40" s="139"/>
      <c r="JC40" s="139"/>
      <c r="JD40" s="139"/>
      <c r="JE40" s="139"/>
      <c r="JF40" s="139"/>
      <c r="JG40" s="139"/>
      <c r="JH40" s="139"/>
      <c r="JI40" s="139"/>
      <c r="JJ40" s="139"/>
      <c r="JK40" s="139"/>
      <c r="JL40" s="139"/>
      <c r="JM40" s="85"/>
      <c r="JN40" s="85"/>
      <c r="JO40" s="85"/>
      <c r="JP40" s="85"/>
      <c r="JQ40" s="139"/>
      <c r="JR40" s="139"/>
      <c r="JS40" s="139"/>
      <c r="JT40" s="139"/>
      <c r="JU40" s="85"/>
      <c r="JV40" s="85"/>
      <c r="JW40" s="139"/>
      <c r="JX40" s="139"/>
      <c r="JY40" s="139"/>
      <c r="JZ40" s="139"/>
      <c r="KA40" s="139"/>
      <c r="KB40" s="139"/>
      <c r="KC40" s="139"/>
      <c r="KD40" s="139"/>
      <c r="KE40" s="139"/>
      <c r="KF40" s="139"/>
      <c r="KG40" s="119"/>
      <c r="KH40" s="119"/>
      <c r="KI40" s="139"/>
      <c r="KJ40" s="139"/>
      <c r="KK40" s="139"/>
      <c r="KL40" s="139"/>
      <c r="KM40" s="139"/>
      <c r="KN40" s="139"/>
      <c r="KO40" s="139"/>
      <c r="KP40" s="139"/>
      <c r="KQ40" s="139"/>
      <c r="KR40" s="139"/>
      <c r="KS40" s="139"/>
      <c r="KT40" s="139"/>
      <c r="KU40" s="139"/>
      <c r="KV40" s="139"/>
      <c r="KW40" s="170"/>
      <c r="KX40" s="170"/>
      <c r="KY40" s="139"/>
      <c r="KZ40" s="139"/>
      <c r="LA40" s="139"/>
      <c r="LB40" s="139"/>
      <c r="LD40" s="221"/>
      <c r="LE40" s="221"/>
      <c r="LF40" s="221"/>
      <c r="LG40" s="64"/>
      <c r="LH40" s="64"/>
      <c r="LI40" s="64"/>
      <c r="LJ40" s="64"/>
      <c r="LK40" s="64"/>
      <c r="LL40" s="64"/>
      <c r="LM40" s="64"/>
      <c r="LN40" s="64"/>
      <c r="LO40" s="64"/>
      <c r="LP40" s="64"/>
      <c r="LQ40" s="64"/>
      <c r="LR40" s="64"/>
      <c r="LS40" s="64"/>
      <c r="LT40" s="64"/>
      <c r="LU40" s="64"/>
      <c r="LV40" s="64"/>
      <c r="LW40" s="64"/>
      <c r="LX40" s="64"/>
      <c r="LY40" s="64"/>
      <c r="LZ40" s="64"/>
      <c r="MA40" s="64"/>
      <c r="MB40" s="64"/>
      <c r="MC40" s="64"/>
      <c r="MD40" s="64"/>
      <c r="ME40" s="64"/>
      <c r="MF40" s="64"/>
      <c r="MG40" s="64"/>
      <c r="MH40" s="64"/>
      <c r="MI40" s="64"/>
      <c r="MJ40" s="64"/>
    </row>
    <row r="41" spans="1:348" s="13" customFormat="1" ht="24.9" customHeight="1">
      <c r="A41" s="1"/>
      <c r="B41" s="85"/>
      <c r="C41" s="5"/>
      <c r="D41" s="85"/>
      <c r="E41" s="85"/>
      <c r="F41" s="85"/>
      <c r="G41" s="85"/>
      <c r="H41" s="85"/>
      <c r="I41" s="85"/>
      <c r="J41" s="85"/>
      <c r="K41" s="85"/>
      <c r="L41" s="85"/>
      <c r="M41" s="85"/>
      <c r="N41" s="85"/>
      <c r="O41" s="85"/>
      <c r="P41" s="85"/>
      <c r="Q41" s="85"/>
      <c r="R41" s="85"/>
      <c r="S41" s="85"/>
      <c r="T41" s="85"/>
      <c r="U41" s="85"/>
      <c r="V41" s="85"/>
      <c r="W41" s="85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139"/>
      <c r="AJ41" s="139"/>
      <c r="AK41" s="139"/>
      <c r="AL41" s="139"/>
      <c r="AM41" s="139"/>
      <c r="AN41" s="139"/>
      <c r="AO41" s="139"/>
      <c r="AP41" s="139"/>
      <c r="AQ41" s="139"/>
      <c r="AR41" s="139"/>
      <c r="AS41" s="85"/>
      <c r="AT41" s="85"/>
      <c r="AU41" s="139"/>
      <c r="AV41" s="139"/>
      <c r="AW41" s="139"/>
      <c r="AX41" s="139"/>
      <c r="AY41" s="139"/>
      <c r="AZ41" s="139"/>
      <c r="BA41" s="139"/>
      <c r="BB41" s="139"/>
      <c r="BC41" s="85"/>
      <c r="BD41" s="85"/>
      <c r="BE41" s="139"/>
      <c r="BF41" s="139"/>
      <c r="BG41" s="139"/>
      <c r="BH41" s="139"/>
      <c r="BI41" s="139"/>
      <c r="BJ41" s="139"/>
      <c r="BK41" s="139"/>
      <c r="BL41" s="139"/>
      <c r="BM41" s="139"/>
      <c r="BN41" s="139"/>
      <c r="BO41" s="139"/>
      <c r="BP41" s="139"/>
      <c r="BQ41" s="85"/>
      <c r="BR41" s="139"/>
      <c r="BS41" s="139"/>
      <c r="BT41" s="139"/>
      <c r="BU41" s="139"/>
      <c r="BV41" s="139"/>
      <c r="BW41" s="139"/>
      <c r="BX41" s="85"/>
      <c r="BY41" s="85"/>
      <c r="BZ41" s="139"/>
      <c r="CA41" s="139"/>
      <c r="CB41" s="139"/>
      <c r="CC41" s="139"/>
      <c r="CD41" s="139"/>
      <c r="CE41" s="139"/>
      <c r="CF41" s="139"/>
      <c r="CG41" s="139"/>
      <c r="CH41" s="139"/>
      <c r="CI41" s="139"/>
      <c r="CJ41" s="139"/>
      <c r="CK41" s="139"/>
      <c r="CL41" s="139"/>
      <c r="CM41" s="139"/>
      <c r="CN41" s="85"/>
      <c r="CO41" s="85"/>
      <c r="CP41" s="85"/>
      <c r="CQ41" s="85"/>
      <c r="CR41" s="85"/>
      <c r="CS41" s="85"/>
      <c r="CT41" s="85"/>
      <c r="CU41" s="85"/>
      <c r="CV41" s="85"/>
      <c r="CW41" s="85"/>
      <c r="CX41" s="139"/>
      <c r="CY41" s="139"/>
      <c r="CZ41" s="139"/>
      <c r="DA41" s="139"/>
      <c r="DB41" s="139"/>
      <c r="DC41" s="139"/>
      <c r="DD41" s="139"/>
      <c r="DE41" s="139"/>
      <c r="DF41" s="139"/>
      <c r="DG41" s="139"/>
      <c r="DH41" s="139"/>
      <c r="DI41" s="139"/>
      <c r="DJ41" s="139"/>
      <c r="DK41" s="139"/>
      <c r="DL41" s="139"/>
      <c r="DM41" s="139"/>
      <c r="DN41" s="139"/>
      <c r="DO41" s="139"/>
      <c r="DP41" s="139"/>
      <c r="DQ41" s="139"/>
      <c r="DR41" s="139"/>
      <c r="DS41" s="139"/>
      <c r="DT41" s="139"/>
      <c r="DU41" s="139"/>
      <c r="DV41" s="139"/>
      <c r="DW41" s="139"/>
      <c r="DX41" s="139"/>
      <c r="DY41" s="139"/>
      <c r="DZ41" s="139"/>
      <c r="EA41" s="139"/>
      <c r="EB41" s="139"/>
      <c r="EC41" s="139"/>
      <c r="ED41" s="139"/>
      <c r="EE41" s="139"/>
      <c r="EF41" s="139"/>
      <c r="EG41" s="139"/>
      <c r="EH41" s="139"/>
      <c r="EI41" s="139"/>
      <c r="EJ41" s="139"/>
      <c r="EK41" s="139"/>
      <c r="EL41" s="139"/>
      <c r="EM41" s="85"/>
      <c r="EN41" s="85"/>
      <c r="EO41" s="85"/>
      <c r="EP41" s="85"/>
      <c r="EQ41" s="85"/>
      <c r="ER41" s="85"/>
      <c r="ES41" s="85"/>
      <c r="ET41" s="85"/>
      <c r="EU41" s="85"/>
      <c r="EV41" s="85"/>
      <c r="EW41" s="85"/>
      <c r="EX41" s="85"/>
      <c r="EY41" s="85"/>
      <c r="EZ41" s="85"/>
      <c r="FA41" s="85"/>
      <c r="FB41" s="85"/>
      <c r="FC41" s="139"/>
      <c r="FD41" s="139"/>
      <c r="FE41" s="139"/>
      <c r="FF41" s="139"/>
      <c r="FG41" s="139"/>
      <c r="FH41" s="139"/>
      <c r="FI41" s="139"/>
      <c r="FJ41" s="139"/>
      <c r="FK41" s="139"/>
      <c r="FL41" s="139"/>
      <c r="FM41" s="139"/>
      <c r="FN41" s="139"/>
      <c r="FO41" s="139"/>
      <c r="FP41" s="139"/>
      <c r="FQ41" s="139"/>
      <c r="FR41" s="139"/>
      <c r="FS41" s="85"/>
      <c r="FT41" s="85"/>
      <c r="FU41" s="85"/>
      <c r="FV41" s="85"/>
      <c r="FW41" s="139"/>
      <c r="FX41" s="139"/>
      <c r="FY41" s="139"/>
      <c r="FZ41" s="139"/>
      <c r="GA41" s="139"/>
      <c r="GB41" s="139"/>
      <c r="GC41" s="139"/>
      <c r="GD41" s="139"/>
      <c r="GE41" s="139"/>
      <c r="GF41" s="139"/>
      <c r="GG41" s="139"/>
      <c r="GH41" s="139"/>
      <c r="GI41" s="139"/>
      <c r="GJ41" s="139"/>
      <c r="GK41" s="139"/>
      <c r="GL41" s="139"/>
      <c r="GM41" s="139"/>
      <c r="GN41" s="139"/>
      <c r="GO41" s="139"/>
      <c r="GP41" s="139"/>
      <c r="GQ41" s="139"/>
      <c r="GR41" s="139"/>
      <c r="GS41" s="139"/>
      <c r="GT41" s="139"/>
      <c r="GU41" s="139"/>
      <c r="GV41" s="139"/>
      <c r="GW41" s="139"/>
      <c r="GX41" s="139"/>
      <c r="GY41" s="139"/>
      <c r="GZ41" s="139"/>
      <c r="HA41" s="139"/>
      <c r="HB41" s="139"/>
      <c r="HC41" s="85"/>
      <c r="HD41" s="85"/>
      <c r="HE41" s="139"/>
      <c r="HF41" s="139"/>
      <c r="HG41" s="85"/>
      <c r="HH41" s="85"/>
      <c r="HI41" s="139"/>
      <c r="HJ41" s="139"/>
      <c r="HK41" s="85"/>
      <c r="HL41" s="85"/>
      <c r="HM41" s="85"/>
      <c r="HN41" s="85"/>
      <c r="HO41" s="85"/>
      <c r="HP41" s="85"/>
      <c r="HQ41" s="85"/>
      <c r="HR41" s="85"/>
      <c r="HS41" s="85"/>
      <c r="HT41" s="85"/>
      <c r="HU41" s="85"/>
      <c r="HV41" s="85"/>
      <c r="HW41" s="85"/>
      <c r="HX41" s="85"/>
      <c r="HY41" s="85"/>
      <c r="HZ41" s="85"/>
      <c r="IA41" s="85"/>
      <c r="IB41" s="85"/>
      <c r="IC41" s="85"/>
      <c r="ID41" s="85"/>
      <c r="IE41" s="85"/>
      <c r="IF41" s="85"/>
      <c r="IG41" s="85"/>
      <c r="IH41" s="85"/>
      <c r="II41" s="85"/>
      <c r="IJ41" s="85"/>
      <c r="IK41" s="85"/>
      <c r="IL41" s="85"/>
      <c r="IM41" s="139"/>
      <c r="IN41" s="139"/>
      <c r="IO41" s="139"/>
      <c r="IP41" s="139"/>
      <c r="IQ41" s="139"/>
      <c r="IR41" s="139"/>
      <c r="IS41" s="139"/>
      <c r="IT41" s="139"/>
      <c r="IU41" s="139"/>
      <c r="IV41" s="139"/>
      <c r="IW41" s="139"/>
      <c r="IX41" s="139"/>
      <c r="IY41" s="139"/>
      <c r="IZ41" s="139"/>
      <c r="JA41" s="139"/>
      <c r="JB41" s="139"/>
      <c r="JC41" s="139"/>
      <c r="JD41" s="139"/>
      <c r="JE41" s="139"/>
      <c r="JF41" s="139"/>
      <c r="JG41" s="139"/>
      <c r="JH41" s="139"/>
      <c r="JI41" s="139"/>
      <c r="JJ41" s="139"/>
      <c r="JK41" s="139"/>
      <c r="JL41" s="139"/>
      <c r="JM41" s="85"/>
      <c r="JN41" s="85"/>
      <c r="JO41" s="85"/>
      <c r="JP41" s="85"/>
      <c r="JQ41" s="139"/>
      <c r="JR41" s="139"/>
      <c r="JS41" s="139"/>
      <c r="JT41" s="139"/>
      <c r="JU41" s="85"/>
      <c r="JV41" s="85"/>
      <c r="JW41" s="139"/>
      <c r="JX41" s="139"/>
      <c r="JY41" s="139"/>
      <c r="JZ41" s="139"/>
      <c r="KA41" s="139"/>
      <c r="KB41" s="139"/>
      <c r="KC41" s="139"/>
      <c r="KD41" s="139"/>
      <c r="KE41" s="139"/>
      <c r="KF41" s="139"/>
      <c r="KG41" s="119"/>
      <c r="KH41" s="119"/>
      <c r="KI41" s="139"/>
      <c r="KJ41" s="139"/>
      <c r="KK41" s="139"/>
      <c r="KL41" s="139"/>
      <c r="KM41" s="139"/>
      <c r="KN41" s="139"/>
      <c r="KO41" s="139"/>
      <c r="KP41" s="139"/>
      <c r="KQ41" s="139"/>
      <c r="KR41" s="139"/>
      <c r="KS41" s="139"/>
      <c r="KT41" s="139"/>
      <c r="KU41" s="139"/>
      <c r="KV41" s="139"/>
      <c r="KW41" s="170"/>
      <c r="KX41" s="170"/>
      <c r="KY41" s="139"/>
      <c r="KZ41" s="139"/>
      <c r="LA41" s="139"/>
      <c r="LB41" s="139"/>
      <c r="LD41" s="221"/>
      <c r="LE41" s="221"/>
      <c r="LF41" s="221"/>
      <c r="LG41" s="64"/>
      <c r="LH41" s="64"/>
      <c r="LI41" s="64"/>
      <c r="LJ41" s="64"/>
      <c r="LK41" s="64"/>
      <c r="LL41" s="64"/>
      <c r="LM41" s="64"/>
      <c r="LN41" s="64"/>
      <c r="LO41" s="64"/>
      <c r="LP41" s="64"/>
      <c r="LQ41" s="64"/>
      <c r="LR41" s="64"/>
      <c r="LS41" s="64"/>
      <c r="LT41" s="64"/>
      <c r="LU41" s="64"/>
      <c r="LV41" s="64"/>
      <c r="LW41" s="64"/>
      <c r="LX41" s="64"/>
      <c r="LY41" s="64"/>
      <c r="LZ41" s="64"/>
      <c r="MA41" s="64"/>
      <c r="MB41" s="64"/>
      <c r="MC41" s="64"/>
      <c r="MD41" s="64"/>
      <c r="ME41" s="64"/>
      <c r="MF41" s="64"/>
      <c r="MG41" s="64"/>
      <c r="MH41" s="64"/>
      <c r="MI41" s="64"/>
      <c r="MJ41" s="64"/>
    </row>
    <row r="42" spans="1:348" s="13" customFormat="1" ht="24.9" customHeight="1">
      <c r="A42" s="1"/>
      <c r="B42" s="85"/>
      <c r="C42" s="5"/>
      <c r="D42" s="85"/>
      <c r="E42" s="85"/>
      <c r="F42" s="85"/>
      <c r="G42" s="85"/>
      <c r="H42" s="85"/>
      <c r="I42" s="85"/>
      <c r="J42" s="85"/>
      <c r="K42" s="85"/>
      <c r="L42" s="85"/>
      <c r="M42" s="85"/>
      <c r="N42" s="85"/>
      <c r="O42" s="85"/>
      <c r="P42" s="85"/>
      <c r="Q42" s="85"/>
      <c r="R42" s="85"/>
      <c r="S42" s="85"/>
      <c r="T42" s="85"/>
      <c r="U42" s="85"/>
      <c r="V42" s="85"/>
      <c r="W42" s="85"/>
      <c r="X42" s="85"/>
      <c r="Y42" s="85"/>
      <c r="Z42" s="85"/>
      <c r="AA42" s="85"/>
      <c r="AB42" s="85"/>
      <c r="AC42" s="85"/>
      <c r="AD42" s="85"/>
      <c r="AE42" s="85"/>
      <c r="AF42" s="85"/>
      <c r="AG42" s="85"/>
      <c r="AH42" s="85"/>
      <c r="AI42" s="139"/>
      <c r="AJ42" s="139"/>
      <c r="AK42" s="139"/>
      <c r="AL42" s="139"/>
      <c r="AM42" s="139"/>
      <c r="AN42" s="139"/>
      <c r="AO42" s="139"/>
      <c r="AP42" s="139"/>
      <c r="AQ42" s="139"/>
      <c r="AR42" s="139"/>
      <c r="AS42" s="85"/>
      <c r="AT42" s="85"/>
      <c r="AU42" s="139"/>
      <c r="AV42" s="139"/>
      <c r="AW42" s="139"/>
      <c r="AX42" s="139"/>
      <c r="AY42" s="139"/>
      <c r="AZ42" s="139"/>
      <c r="BA42" s="139"/>
      <c r="BB42" s="139"/>
      <c r="BC42" s="85"/>
      <c r="BD42" s="85"/>
      <c r="BE42" s="139"/>
      <c r="BF42" s="139"/>
      <c r="BG42" s="139"/>
      <c r="BH42" s="139"/>
      <c r="BI42" s="139"/>
      <c r="BJ42" s="139"/>
      <c r="BK42" s="139"/>
      <c r="BL42" s="139"/>
      <c r="BM42" s="139"/>
      <c r="BN42" s="139"/>
      <c r="BO42" s="139"/>
      <c r="BP42" s="139"/>
      <c r="BQ42" s="85"/>
      <c r="BR42" s="139"/>
      <c r="BS42" s="139"/>
      <c r="BT42" s="139"/>
      <c r="BU42" s="139"/>
      <c r="BV42" s="139"/>
      <c r="BW42" s="139"/>
      <c r="BX42" s="85"/>
      <c r="BY42" s="85"/>
      <c r="BZ42" s="139"/>
      <c r="CA42" s="139"/>
      <c r="CB42" s="139"/>
      <c r="CC42" s="139"/>
      <c r="CD42" s="139"/>
      <c r="CE42" s="139"/>
      <c r="CF42" s="139"/>
      <c r="CG42" s="139"/>
      <c r="CH42" s="139"/>
      <c r="CI42" s="139"/>
      <c r="CJ42" s="139"/>
      <c r="CK42" s="139"/>
      <c r="CL42" s="139"/>
      <c r="CM42" s="139"/>
      <c r="CN42" s="85"/>
      <c r="CO42" s="85"/>
      <c r="CP42" s="85"/>
      <c r="CQ42" s="85"/>
      <c r="CR42" s="85"/>
      <c r="CS42" s="85"/>
      <c r="CT42" s="85"/>
      <c r="CU42" s="85"/>
      <c r="CV42" s="85"/>
      <c r="CW42" s="85"/>
      <c r="CX42" s="139"/>
      <c r="CY42" s="139"/>
      <c r="CZ42" s="139"/>
      <c r="DA42" s="139"/>
      <c r="DB42" s="139"/>
      <c r="DC42" s="139"/>
      <c r="DD42" s="139"/>
      <c r="DE42" s="139"/>
      <c r="DF42" s="139"/>
      <c r="DG42" s="139"/>
      <c r="DH42" s="139"/>
      <c r="DI42" s="139"/>
      <c r="DJ42" s="139"/>
      <c r="DK42" s="139"/>
      <c r="DL42" s="139"/>
      <c r="DM42" s="139"/>
      <c r="DN42" s="139"/>
      <c r="DO42" s="139"/>
      <c r="DP42" s="139"/>
      <c r="DQ42" s="139"/>
      <c r="DR42" s="139"/>
      <c r="DS42" s="139"/>
      <c r="DT42" s="139"/>
      <c r="DU42" s="139"/>
      <c r="DV42" s="139"/>
      <c r="DW42" s="139"/>
      <c r="DX42" s="139"/>
      <c r="DY42" s="139"/>
      <c r="DZ42" s="139"/>
      <c r="EA42" s="139"/>
      <c r="EB42" s="139"/>
      <c r="EC42" s="139"/>
      <c r="ED42" s="139"/>
      <c r="EE42" s="139"/>
      <c r="EF42" s="139"/>
      <c r="EG42" s="139"/>
      <c r="EH42" s="139"/>
      <c r="EI42" s="139"/>
      <c r="EJ42" s="139"/>
      <c r="EK42" s="139"/>
      <c r="EL42" s="139"/>
      <c r="EM42" s="85"/>
      <c r="EN42" s="85"/>
      <c r="EO42" s="85"/>
      <c r="EP42" s="85"/>
      <c r="EQ42" s="85"/>
      <c r="ER42" s="85"/>
      <c r="ES42" s="85"/>
      <c r="ET42" s="85"/>
      <c r="EU42" s="85"/>
      <c r="EV42" s="85"/>
      <c r="EW42" s="85"/>
      <c r="EX42" s="85"/>
      <c r="EY42" s="85"/>
      <c r="EZ42" s="85"/>
      <c r="FA42" s="85"/>
      <c r="FB42" s="85"/>
      <c r="FC42" s="139"/>
      <c r="FD42" s="139"/>
      <c r="FE42" s="139"/>
      <c r="FF42" s="139"/>
      <c r="FG42" s="139"/>
      <c r="FH42" s="139"/>
      <c r="FI42" s="139"/>
      <c r="FJ42" s="139"/>
      <c r="FK42" s="139"/>
      <c r="FL42" s="139"/>
      <c r="FM42" s="139"/>
      <c r="FN42" s="139"/>
      <c r="FO42" s="139"/>
      <c r="FP42" s="139"/>
      <c r="FQ42" s="139"/>
      <c r="FR42" s="139"/>
      <c r="FS42" s="85"/>
      <c r="FT42" s="85"/>
      <c r="FU42" s="85"/>
      <c r="FV42" s="85"/>
      <c r="FW42" s="139"/>
      <c r="FX42" s="139"/>
      <c r="FY42" s="139"/>
      <c r="FZ42" s="139"/>
      <c r="GA42" s="139"/>
      <c r="GB42" s="139"/>
      <c r="GC42" s="139"/>
      <c r="GD42" s="139"/>
      <c r="GE42" s="139"/>
      <c r="GF42" s="139"/>
      <c r="GG42" s="139"/>
      <c r="GH42" s="139"/>
      <c r="GI42" s="139"/>
      <c r="GJ42" s="139"/>
      <c r="GK42" s="139"/>
      <c r="GL42" s="139"/>
      <c r="GM42" s="139"/>
      <c r="GN42" s="139"/>
      <c r="GO42" s="139"/>
      <c r="GP42" s="139"/>
      <c r="GQ42" s="139"/>
      <c r="GR42" s="139"/>
      <c r="GS42" s="139"/>
      <c r="GT42" s="139"/>
      <c r="GU42" s="139"/>
      <c r="GV42" s="139"/>
      <c r="GW42" s="139"/>
      <c r="GX42" s="139"/>
      <c r="GY42" s="139"/>
      <c r="GZ42" s="139"/>
      <c r="HA42" s="139"/>
      <c r="HB42" s="139"/>
      <c r="HC42" s="85"/>
      <c r="HD42" s="85"/>
      <c r="HE42" s="139"/>
      <c r="HF42" s="139"/>
      <c r="HG42" s="85"/>
      <c r="HH42" s="85"/>
      <c r="HI42" s="139"/>
      <c r="HJ42" s="139"/>
      <c r="HK42" s="85"/>
      <c r="HL42" s="85"/>
      <c r="HM42" s="85"/>
      <c r="HN42" s="85"/>
      <c r="HO42" s="85"/>
      <c r="HP42" s="85"/>
      <c r="HQ42" s="85"/>
      <c r="HR42" s="85"/>
      <c r="HS42" s="85"/>
      <c r="HT42" s="85"/>
      <c r="HU42" s="85"/>
      <c r="HV42" s="85"/>
      <c r="HW42" s="85"/>
      <c r="HX42" s="85"/>
      <c r="HY42" s="85"/>
      <c r="HZ42" s="85"/>
      <c r="IA42" s="85"/>
      <c r="IB42" s="85"/>
      <c r="IC42" s="85"/>
      <c r="ID42" s="85"/>
      <c r="IE42" s="85"/>
      <c r="IF42" s="85"/>
      <c r="IG42" s="85"/>
      <c r="IH42" s="85"/>
      <c r="II42" s="85"/>
      <c r="IJ42" s="85"/>
      <c r="IK42" s="85"/>
      <c r="IL42" s="85"/>
      <c r="IM42" s="139"/>
      <c r="IN42" s="139"/>
      <c r="IO42" s="139"/>
      <c r="IP42" s="139"/>
      <c r="IQ42" s="139"/>
      <c r="IR42" s="139"/>
      <c r="IS42" s="139"/>
      <c r="IT42" s="139"/>
      <c r="IU42" s="139"/>
      <c r="IV42" s="139"/>
      <c r="IW42" s="139"/>
      <c r="IX42" s="139"/>
      <c r="IY42" s="139"/>
      <c r="IZ42" s="139"/>
      <c r="JA42" s="139"/>
      <c r="JB42" s="139"/>
      <c r="JC42" s="139"/>
      <c r="JD42" s="139"/>
      <c r="JE42" s="139"/>
      <c r="JF42" s="139"/>
      <c r="JG42" s="139"/>
      <c r="JH42" s="139"/>
      <c r="JI42" s="139"/>
      <c r="JJ42" s="139"/>
      <c r="JK42" s="139"/>
      <c r="JL42" s="139"/>
      <c r="JM42" s="85"/>
      <c r="JN42" s="85"/>
      <c r="JO42" s="85"/>
      <c r="JP42" s="85"/>
      <c r="JQ42" s="139"/>
      <c r="JR42" s="139"/>
      <c r="JS42" s="139"/>
      <c r="JT42" s="139"/>
      <c r="JU42" s="85"/>
      <c r="JV42" s="85"/>
      <c r="JW42" s="139"/>
      <c r="JX42" s="139"/>
      <c r="JY42" s="139"/>
      <c r="JZ42" s="139"/>
      <c r="KA42" s="139"/>
      <c r="KB42" s="139"/>
      <c r="KC42" s="139"/>
      <c r="KD42" s="139"/>
      <c r="KE42" s="139"/>
      <c r="KF42" s="139"/>
      <c r="KG42" s="119"/>
      <c r="KH42" s="119"/>
      <c r="KI42" s="139"/>
      <c r="KJ42" s="139"/>
      <c r="KK42" s="139"/>
      <c r="KL42" s="139"/>
      <c r="KM42" s="139"/>
      <c r="KN42" s="139"/>
      <c r="KO42" s="139"/>
      <c r="KP42" s="139"/>
      <c r="KQ42" s="139"/>
      <c r="KR42" s="139"/>
      <c r="KS42" s="139"/>
      <c r="KT42" s="139"/>
      <c r="KU42" s="139"/>
      <c r="KV42" s="139"/>
      <c r="KW42" s="170"/>
      <c r="KX42" s="170"/>
      <c r="KY42" s="139"/>
      <c r="KZ42" s="139"/>
      <c r="LA42" s="139"/>
      <c r="LB42" s="139"/>
      <c r="LD42" s="221"/>
      <c r="LE42" s="221"/>
      <c r="LF42" s="221"/>
      <c r="LG42" s="64"/>
      <c r="LH42" s="64"/>
      <c r="LI42" s="64"/>
      <c r="LJ42" s="64"/>
      <c r="LK42" s="64"/>
      <c r="LL42" s="64"/>
      <c r="LM42" s="64"/>
      <c r="LN42" s="64"/>
      <c r="LO42" s="64"/>
      <c r="LP42" s="64"/>
      <c r="LQ42" s="64"/>
      <c r="LR42" s="64"/>
      <c r="LS42" s="64"/>
      <c r="LT42" s="64"/>
      <c r="LU42" s="64"/>
      <c r="LV42" s="64"/>
      <c r="LW42" s="64"/>
      <c r="LX42" s="64"/>
      <c r="LY42" s="64"/>
      <c r="LZ42" s="64"/>
      <c r="MA42" s="64"/>
      <c r="MB42" s="64"/>
      <c r="MC42" s="64"/>
      <c r="MD42" s="64"/>
      <c r="ME42" s="64"/>
      <c r="MF42" s="64"/>
      <c r="MG42" s="64"/>
      <c r="MH42" s="64"/>
      <c r="MI42" s="64"/>
      <c r="MJ42" s="64"/>
    </row>
    <row r="43" spans="1:348" s="13" customFormat="1" ht="24.9" customHeight="1">
      <c r="A43" s="1"/>
      <c r="B43" s="85"/>
      <c r="C43" s="5"/>
      <c r="D43" s="85"/>
      <c r="E43" s="85"/>
      <c r="F43" s="85"/>
      <c r="G43" s="85"/>
      <c r="H43" s="85"/>
      <c r="I43" s="85"/>
      <c r="J43" s="85"/>
      <c r="K43" s="85"/>
      <c r="L43" s="85"/>
      <c r="M43" s="85"/>
      <c r="N43" s="85"/>
      <c r="O43" s="85"/>
      <c r="P43" s="85"/>
      <c r="Q43" s="85"/>
      <c r="R43" s="85"/>
      <c r="S43" s="85"/>
      <c r="T43" s="85"/>
      <c r="U43" s="85"/>
      <c r="V43" s="85"/>
      <c r="W43" s="85"/>
      <c r="X43" s="85"/>
      <c r="Y43" s="85"/>
      <c r="Z43" s="85"/>
      <c r="AA43" s="85"/>
      <c r="AB43" s="85"/>
      <c r="AC43" s="85"/>
      <c r="AD43" s="85"/>
      <c r="AE43" s="85"/>
      <c r="AF43" s="85"/>
      <c r="AG43" s="85"/>
      <c r="AH43" s="85"/>
      <c r="AI43" s="139"/>
      <c r="AJ43" s="139"/>
      <c r="AK43" s="139"/>
      <c r="AL43" s="139"/>
      <c r="AM43" s="139"/>
      <c r="AN43" s="139"/>
      <c r="AO43" s="139"/>
      <c r="AP43" s="139"/>
      <c r="AQ43" s="139"/>
      <c r="AR43" s="139"/>
      <c r="AS43" s="85"/>
      <c r="AT43" s="85"/>
      <c r="AU43" s="139"/>
      <c r="AV43" s="139"/>
      <c r="AW43" s="139"/>
      <c r="AX43" s="139"/>
      <c r="AY43" s="139"/>
      <c r="AZ43" s="139"/>
      <c r="BA43" s="139"/>
      <c r="BB43" s="139"/>
      <c r="BC43" s="85"/>
      <c r="BD43" s="85"/>
      <c r="BE43" s="139"/>
      <c r="BF43" s="139"/>
      <c r="BG43" s="139"/>
      <c r="BH43" s="139"/>
      <c r="BI43" s="139"/>
      <c r="BJ43" s="139"/>
      <c r="BK43" s="139"/>
      <c r="BL43" s="139"/>
      <c r="BM43" s="139"/>
      <c r="BN43" s="139"/>
      <c r="BO43" s="139"/>
      <c r="BP43" s="139"/>
      <c r="BQ43" s="85"/>
      <c r="BR43" s="139"/>
      <c r="BS43" s="139"/>
      <c r="BT43" s="139"/>
      <c r="BU43" s="139"/>
      <c r="BV43" s="139"/>
      <c r="BW43" s="139"/>
      <c r="BX43" s="85"/>
      <c r="BY43" s="85"/>
      <c r="BZ43" s="139"/>
      <c r="CA43" s="139"/>
      <c r="CB43" s="139"/>
      <c r="CC43" s="139"/>
      <c r="CD43" s="139"/>
      <c r="CE43" s="139"/>
      <c r="CF43" s="139"/>
      <c r="CG43" s="139"/>
      <c r="CH43" s="139"/>
      <c r="CI43" s="139"/>
      <c r="CJ43" s="139"/>
      <c r="CK43" s="139"/>
      <c r="CL43" s="139"/>
      <c r="CM43" s="139"/>
      <c r="CN43" s="85"/>
      <c r="CO43" s="85"/>
      <c r="CP43" s="85"/>
      <c r="CQ43" s="85"/>
      <c r="CR43" s="85"/>
      <c r="CS43" s="85"/>
      <c r="CT43" s="85"/>
      <c r="CU43" s="85"/>
      <c r="CV43" s="85"/>
      <c r="CW43" s="85"/>
      <c r="CX43" s="139"/>
      <c r="CY43" s="139"/>
      <c r="CZ43" s="139"/>
      <c r="DA43" s="139"/>
      <c r="DB43" s="139"/>
      <c r="DC43" s="139"/>
      <c r="DD43" s="139"/>
      <c r="DE43" s="139"/>
      <c r="DF43" s="139"/>
      <c r="DG43" s="139"/>
      <c r="DH43" s="139"/>
      <c r="DI43" s="139"/>
      <c r="DJ43" s="139"/>
      <c r="DK43" s="139"/>
      <c r="DL43" s="139"/>
      <c r="DM43" s="139"/>
      <c r="DN43" s="139"/>
      <c r="DO43" s="139"/>
      <c r="DP43" s="139"/>
      <c r="DQ43" s="139"/>
      <c r="DR43" s="139"/>
      <c r="DS43" s="139"/>
      <c r="DT43" s="139"/>
      <c r="DU43" s="139"/>
      <c r="DV43" s="139"/>
      <c r="DW43" s="139"/>
      <c r="DX43" s="139"/>
      <c r="DY43" s="139"/>
      <c r="DZ43" s="139"/>
      <c r="EA43" s="139"/>
      <c r="EB43" s="139"/>
      <c r="EC43" s="139"/>
      <c r="ED43" s="139"/>
      <c r="EE43" s="139"/>
      <c r="EF43" s="139"/>
      <c r="EG43" s="139"/>
      <c r="EH43" s="139"/>
      <c r="EI43" s="139"/>
      <c r="EJ43" s="139"/>
      <c r="EK43" s="139"/>
      <c r="EL43" s="139"/>
      <c r="EM43" s="85"/>
      <c r="EN43" s="85"/>
      <c r="EO43" s="85"/>
      <c r="EP43" s="85"/>
      <c r="EQ43" s="85"/>
      <c r="ER43" s="85"/>
      <c r="ES43" s="85"/>
      <c r="ET43" s="85"/>
      <c r="EU43" s="85"/>
      <c r="EV43" s="85"/>
      <c r="EW43" s="85"/>
      <c r="EX43" s="85"/>
      <c r="EY43" s="85"/>
      <c r="EZ43" s="85"/>
      <c r="FA43" s="85"/>
      <c r="FB43" s="85"/>
      <c r="FC43" s="139"/>
      <c r="FD43" s="139"/>
      <c r="FE43" s="139"/>
      <c r="FF43" s="139"/>
      <c r="FG43" s="139"/>
      <c r="FH43" s="139"/>
      <c r="FI43" s="139"/>
      <c r="FJ43" s="139"/>
      <c r="FK43" s="139"/>
      <c r="FL43" s="139"/>
      <c r="FM43" s="139"/>
      <c r="FN43" s="139"/>
      <c r="FO43" s="139"/>
      <c r="FP43" s="139"/>
      <c r="FQ43" s="139"/>
      <c r="FR43" s="139"/>
      <c r="FS43" s="85"/>
      <c r="FT43" s="85"/>
      <c r="FU43" s="85"/>
      <c r="FV43" s="85"/>
      <c r="FW43" s="139"/>
      <c r="FX43" s="139"/>
      <c r="FY43" s="139"/>
      <c r="FZ43" s="139"/>
      <c r="GA43" s="139"/>
      <c r="GB43" s="139"/>
      <c r="GC43" s="139"/>
      <c r="GD43" s="139"/>
      <c r="GE43" s="139"/>
      <c r="GF43" s="139"/>
      <c r="GG43" s="139"/>
      <c r="GH43" s="139"/>
      <c r="GI43" s="139"/>
      <c r="GJ43" s="139"/>
      <c r="GK43" s="139"/>
      <c r="GL43" s="139"/>
      <c r="GM43" s="139"/>
      <c r="GN43" s="139"/>
      <c r="GO43" s="139"/>
      <c r="GP43" s="139"/>
      <c r="GQ43" s="139"/>
      <c r="GR43" s="139"/>
      <c r="GS43" s="139"/>
      <c r="GT43" s="139"/>
      <c r="GU43" s="139"/>
      <c r="GV43" s="139"/>
      <c r="GW43" s="139"/>
      <c r="GX43" s="139"/>
      <c r="GY43" s="139"/>
      <c r="GZ43" s="139"/>
      <c r="HA43" s="139"/>
      <c r="HB43" s="139"/>
      <c r="HC43" s="85"/>
      <c r="HD43" s="85"/>
      <c r="HE43" s="139"/>
      <c r="HF43" s="139"/>
      <c r="HG43" s="85"/>
      <c r="HH43" s="85"/>
      <c r="HI43" s="139"/>
      <c r="HJ43" s="139"/>
      <c r="HK43" s="85"/>
      <c r="HL43" s="85"/>
      <c r="HM43" s="85"/>
      <c r="HN43" s="85"/>
      <c r="HO43" s="85"/>
      <c r="HP43" s="85"/>
      <c r="HQ43" s="85"/>
      <c r="HR43" s="85"/>
      <c r="HS43" s="85"/>
      <c r="HT43" s="85"/>
      <c r="HU43" s="85"/>
      <c r="HV43" s="85"/>
      <c r="HW43" s="85"/>
      <c r="HX43" s="85"/>
      <c r="HY43" s="85"/>
      <c r="HZ43" s="85"/>
      <c r="IA43" s="85"/>
      <c r="IB43" s="85"/>
      <c r="IC43" s="85"/>
      <c r="ID43" s="85"/>
      <c r="IE43" s="85"/>
      <c r="IF43" s="85"/>
      <c r="IG43" s="85"/>
      <c r="IH43" s="85"/>
      <c r="II43" s="85"/>
      <c r="IJ43" s="85"/>
      <c r="IK43" s="85"/>
      <c r="IL43" s="85"/>
      <c r="IM43" s="139"/>
      <c r="IN43" s="139"/>
      <c r="IO43" s="139"/>
      <c r="IP43" s="139"/>
      <c r="IQ43" s="139"/>
      <c r="IR43" s="139"/>
      <c r="IS43" s="139"/>
      <c r="IT43" s="139"/>
      <c r="IU43" s="139"/>
      <c r="IV43" s="139"/>
      <c r="IW43" s="139"/>
      <c r="IX43" s="139"/>
      <c r="IY43" s="139"/>
      <c r="IZ43" s="139"/>
      <c r="JA43" s="139"/>
      <c r="JB43" s="139"/>
      <c r="JC43" s="139"/>
      <c r="JD43" s="139"/>
      <c r="JE43" s="139"/>
      <c r="JF43" s="139"/>
      <c r="JG43" s="139"/>
      <c r="JH43" s="139"/>
      <c r="JI43" s="139"/>
      <c r="JJ43" s="139"/>
      <c r="JK43" s="139"/>
      <c r="JL43" s="139"/>
      <c r="JM43" s="85"/>
      <c r="JN43" s="85"/>
      <c r="JO43" s="85"/>
      <c r="JP43" s="85"/>
      <c r="JQ43" s="139"/>
      <c r="JR43" s="139"/>
      <c r="JS43" s="139"/>
      <c r="JT43" s="139"/>
      <c r="JU43" s="85"/>
      <c r="JV43" s="85"/>
      <c r="JW43" s="139"/>
      <c r="JX43" s="139"/>
      <c r="JY43" s="139"/>
      <c r="JZ43" s="139"/>
      <c r="KA43" s="139"/>
      <c r="KB43" s="139"/>
      <c r="KC43" s="139"/>
      <c r="KD43" s="139"/>
      <c r="KE43" s="139"/>
      <c r="KF43" s="139"/>
      <c r="KG43" s="119"/>
      <c r="KH43" s="119"/>
      <c r="KI43" s="139"/>
      <c r="KJ43" s="139"/>
      <c r="KK43" s="139"/>
      <c r="KL43" s="139"/>
      <c r="KM43" s="139"/>
      <c r="KN43" s="139"/>
      <c r="KO43" s="139"/>
      <c r="KP43" s="139"/>
      <c r="KQ43" s="139"/>
      <c r="KR43" s="139"/>
      <c r="KS43" s="139"/>
      <c r="KT43" s="139"/>
      <c r="KU43" s="139"/>
      <c r="KV43" s="139"/>
      <c r="KW43" s="170"/>
      <c r="KX43" s="170"/>
      <c r="KY43" s="139"/>
      <c r="KZ43" s="139"/>
      <c r="LA43" s="139"/>
      <c r="LB43" s="139"/>
      <c r="LD43" s="221"/>
      <c r="LE43" s="221"/>
      <c r="LF43" s="221"/>
      <c r="LG43" s="64"/>
      <c r="LH43" s="64"/>
      <c r="LI43" s="64"/>
      <c r="LJ43" s="64"/>
      <c r="LK43" s="64"/>
      <c r="LL43" s="64"/>
      <c r="LM43" s="64"/>
      <c r="LN43" s="64"/>
      <c r="LO43" s="64"/>
      <c r="LP43" s="64"/>
      <c r="LQ43" s="64"/>
      <c r="LR43" s="64"/>
      <c r="LS43" s="64"/>
      <c r="LT43" s="64"/>
      <c r="LU43" s="64"/>
      <c r="LV43" s="64"/>
      <c r="LW43" s="64"/>
      <c r="LX43" s="64"/>
      <c r="LY43" s="64"/>
      <c r="LZ43" s="64"/>
      <c r="MA43" s="64"/>
      <c r="MB43" s="64"/>
      <c r="MC43" s="64"/>
      <c r="MD43" s="64"/>
      <c r="ME43" s="64"/>
      <c r="MF43" s="64"/>
      <c r="MG43" s="64"/>
      <c r="MH43" s="64"/>
      <c r="MI43" s="64"/>
      <c r="MJ43" s="64"/>
    </row>
    <row r="44" spans="1:348" s="13" customFormat="1" ht="24.9" customHeight="1">
      <c r="A44" s="1"/>
      <c r="B44" s="85"/>
      <c r="C44" s="5"/>
      <c r="D44" s="85"/>
      <c r="E44" s="85"/>
      <c r="F44" s="85"/>
      <c r="G44" s="85"/>
      <c r="H44" s="85"/>
      <c r="I44" s="85"/>
      <c r="J44" s="85"/>
      <c r="K44" s="85"/>
      <c r="L44" s="85"/>
      <c r="M44" s="85"/>
      <c r="N44" s="85"/>
      <c r="O44" s="85"/>
      <c r="P44" s="85"/>
      <c r="Q44" s="85"/>
      <c r="R44" s="85"/>
      <c r="S44" s="85"/>
      <c r="T44" s="85"/>
      <c r="U44" s="85"/>
      <c r="V44" s="85"/>
      <c r="W44" s="85"/>
      <c r="X44" s="85"/>
      <c r="Y44" s="85"/>
      <c r="Z44" s="85"/>
      <c r="AA44" s="85"/>
      <c r="AB44" s="85"/>
      <c r="AC44" s="85"/>
      <c r="AD44" s="85"/>
      <c r="AE44" s="85"/>
      <c r="AF44" s="85"/>
      <c r="AG44" s="85"/>
      <c r="AH44" s="85"/>
      <c r="AI44" s="139"/>
      <c r="AJ44" s="139"/>
      <c r="AK44" s="139"/>
      <c r="AL44" s="139"/>
      <c r="AM44" s="139"/>
      <c r="AN44" s="139"/>
      <c r="AO44" s="139"/>
      <c r="AP44" s="139"/>
      <c r="AQ44" s="139"/>
      <c r="AR44" s="139"/>
      <c r="AS44" s="85"/>
      <c r="AT44" s="85"/>
      <c r="AU44" s="139"/>
      <c r="AV44" s="139"/>
      <c r="AW44" s="139"/>
      <c r="AX44" s="139"/>
      <c r="AY44" s="139"/>
      <c r="AZ44" s="139"/>
      <c r="BA44" s="139"/>
      <c r="BB44" s="139"/>
      <c r="BC44" s="85"/>
      <c r="BD44" s="85"/>
      <c r="BE44" s="139"/>
      <c r="BF44" s="139"/>
      <c r="BG44" s="139"/>
      <c r="BH44" s="139"/>
      <c r="BI44" s="139"/>
      <c r="BJ44" s="139"/>
      <c r="BK44" s="139"/>
      <c r="BL44" s="139"/>
      <c r="BM44" s="139"/>
      <c r="BN44" s="139"/>
      <c r="BO44" s="139"/>
      <c r="BP44" s="139"/>
      <c r="BQ44" s="85"/>
      <c r="BR44" s="139"/>
      <c r="BS44" s="139"/>
      <c r="BT44" s="139"/>
      <c r="BU44" s="139"/>
      <c r="BV44" s="139"/>
      <c r="BW44" s="139"/>
      <c r="BX44" s="85"/>
      <c r="BY44" s="85"/>
      <c r="BZ44" s="139"/>
      <c r="CA44" s="139"/>
      <c r="CB44" s="139"/>
      <c r="CC44" s="139"/>
      <c r="CD44" s="139"/>
      <c r="CE44" s="139"/>
      <c r="CF44" s="139"/>
      <c r="CG44" s="139"/>
      <c r="CH44" s="139"/>
      <c r="CI44" s="139"/>
      <c r="CJ44" s="139"/>
      <c r="CK44" s="139"/>
      <c r="CL44" s="139"/>
      <c r="CM44" s="139"/>
      <c r="CN44" s="85"/>
      <c r="CO44" s="85"/>
      <c r="CP44" s="85"/>
      <c r="CQ44" s="85"/>
      <c r="CR44" s="85"/>
      <c r="CS44" s="85"/>
      <c r="CT44" s="85"/>
      <c r="CU44" s="85"/>
      <c r="CV44" s="85"/>
      <c r="CW44" s="85"/>
      <c r="CX44" s="139"/>
      <c r="CY44" s="139"/>
      <c r="CZ44" s="139"/>
      <c r="DA44" s="139"/>
      <c r="DB44" s="139"/>
      <c r="DC44" s="139"/>
      <c r="DD44" s="139"/>
      <c r="DE44" s="139"/>
      <c r="DF44" s="139"/>
      <c r="DG44" s="139"/>
      <c r="DH44" s="139"/>
      <c r="DI44" s="139"/>
      <c r="DJ44" s="139"/>
      <c r="DK44" s="139"/>
      <c r="DL44" s="139"/>
      <c r="DM44" s="139"/>
      <c r="DN44" s="139"/>
      <c r="DO44" s="139"/>
      <c r="DP44" s="139"/>
      <c r="DQ44" s="139"/>
      <c r="DR44" s="139"/>
      <c r="DS44" s="139"/>
      <c r="DT44" s="139"/>
      <c r="DU44" s="139"/>
      <c r="DV44" s="139"/>
      <c r="DW44" s="139"/>
      <c r="DX44" s="139"/>
      <c r="DY44" s="139"/>
      <c r="DZ44" s="139"/>
      <c r="EA44" s="139"/>
      <c r="EB44" s="139"/>
      <c r="EC44" s="139"/>
      <c r="ED44" s="139"/>
      <c r="EE44" s="139"/>
      <c r="EF44" s="139"/>
      <c r="EG44" s="139"/>
      <c r="EH44" s="139"/>
      <c r="EI44" s="139"/>
      <c r="EJ44" s="139"/>
      <c r="EK44" s="139"/>
      <c r="EL44" s="139"/>
      <c r="EM44" s="85"/>
      <c r="EN44" s="85"/>
      <c r="EO44" s="85"/>
      <c r="EP44" s="85"/>
      <c r="EQ44" s="85"/>
      <c r="ER44" s="85"/>
      <c r="ES44" s="85"/>
      <c r="ET44" s="85"/>
      <c r="EU44" s="85"/>
      <c r="EV44" s="85"/>
      <c r="EW44" s="85"/>
      <c r="EX44" s="85"/>
      <c r="EY44" s="85"/>
      <c r="EZ44" s="85"/>
      <c r="FA44" s="85"/>
      <c r="FB44" s="85"/>
      <c r="FC44" s="139"/>
      <c r="FD44" s="139"/>
      <c r="FE44" s="139"/>
      <c r="FF44" s="139"/>
      <c r="FG44" s="139"/>
      <c r="FH44" s="139"/>
      <c r="FI44" s="139"/>
      <c r="FJ44" s="139"/>
      <c r="FK44" s="139"/>
      <c r="FL44" s="139"/>
      <c r="FM44" s="139"/>
      <c r="FN44" s="139"/>
      <c r="FO44" s="139"/>
      <c r="FP44" s="139"/>
      <c r="FQ44" s="139"/>
      <c r="FR44" s="139"/>
      <c r="FS44" s="85"/>
      <c r="FT44" s="85"/>
      <c r="FU44" s="85"/>
      <c r="FV44" s="85"/>
      <c r="FW44" s="139"/>
      <c r="FX44" s="139"/>
      <c r="FY44" s="139"/>
      <c r="FZ44" s="139"/>
      <c r="GA44" s="139"/>
      <c r="GB44" s="139"/>
      <c r="GC44" s="139"/>
      <c r="GD44" s="139"/>
      <c r="GE44" s="139"/>
      <c r="GF44" s="139"/>
      <c r="GG44" s="139"/>
      <c r="GH44" s="139"/>
      <c r="GI44" s="139"/>
      <c r="GJ44" s="139"/>
      <c r="GK44" s="139"/>
      <c r="GL44" s="139"/>
      <c r="GM44" s="139"/>
      <c r="GN44" s="139"/>
      <c r="GO44" s="139"/>
      <c r="GP44" s="139"/>
      <c r="GQ44" s="139"/>
      <c r="GR44" s="139"/>
      <c r="GS44" s="139"/>
      <c r="GT44" s="139"/>
      <c r="GU44" s="139"/>
      <c r="GV44" s="139"/>
      <c r="GW44" s="139"/>
      <c r="GX44" s="139"/>
      <c r="GY44" s="139"/>
      <c r="GZ44" s="139"/>
      <c r="HA44" s="139"/>
      <c r="HB44" s="139"/>
      <c r="HC44" s="85"/>
      <c r="HD44" s="85"/>
      <c r="HE44" s="139"/>
      <c r="HF44" s="139"/>
      <c r="HG44" s="85"/>
      <c r="HH44" s="85"/>
      <c r="HI44" s="139"/>
      <c r="HJ44" s="139"/>
      <c r="HK44" s="85"/>
      <c r="HL44" s="85"/>
      <c r="HM44" s="85"/>
      <c r="HN44" s="85"/>
      <c r="HO44" s="85"/>
      <c r="HP44" s="85"/>
      <c r="HQ44" s="85"/>
      <c r="HR44" s="85"/>
      <c r="HS44" s="85"/>
      <c r="HT44" s="85"/>
      <c r="HU44" s="85"/>
      <c r="HV44" s="85"/>
      <c r="HW44" s="85"/>
      <c r="HX44" s="85"/>
      <c r="HY44" s="85"/>
      <c r="HZ44" s="85"/>
      <c r="IA44" s="85"/>
      <c r="IB44" s="85"/>
      <c r="IC44" s="85"/>
      <c r="ID44" s="85"/>
      <c r="IE44" s="85"/>
      <c r="IF44" s="85"/>
      <c r="IG44" s="85"/>
      <c r="IH44" s="85"/>
      <c r="II44" s="85"/>
      <c r="IJ44" s="85"/>
      <c r="IK44" s="85"/>
      <c r="IL44" s="85"/>
      <c r="IM44" s="139"/>
      <c r="IN44" s="139"/>
      <c r="IO44" s="139"/>
      <c r="IP44" s="139"/>
      <c r="IQ44" s="139"/>
      <c r="IR44" s="139"/>
      <c r="IS44" s="139"/>
      <c r="IT44" s="139"/>
      <c r="IU44" s="139"/>
      <c r="IV44" s="139"/>
      <c r="IW44" s="139"/>
      <c r="IX44" s="139"/>
      <c r="IY44" s="139"/>
      <c r="IZ44" s="139"/>
      <c r="JA44" s="139"/>
      <c r="JB44" s="139"/>
      <c r="JC44" s="139"/>
      <c r="JD44" s="139"/>
      <c r="JE44" s="139"/>
      <c r="JF44" s="139"/>
      <c r="JG44" s="139"/>
      <c r="JH44" s="139"/>
      <c r="JI44" s="139"/>
      <c r="JJ44" s="139"/>
      <c r="JK44" s="139"/>
      <c r="JL44" s="139"/>
      <c r="JM44" s="85"/>
      <c r="JN44" s="85"/>
      <c r="JO44" s="85"/>
      <c r="JP44" s="85"/>
      <c r="JQ44" s="139"/>
      <c r="JR44" s="139"/>
      <c r="JS44" s="139"/>
      <c r="JT44" s="139"/>
      <c r="JU44" s="85"/>
      <c r="JV44" s="85"/>
      <c r="JW44" s="139"/>
      <c r="JX44" s="139"/>
      <c r="JY44" s="139"/>
      <c r="JZ44" s="139"/>
      <c r="KA44" s="139"/>
      <c r="KB44" s="139"/>
      <c r="KC44" s="139"/>
      <c r="KD44" s="139"/>
      <c r="KE44" s="139"/>
      <c r="KF44" s="139"/>
      <c r="KG44" s="119"/>
      <c r="KH44" s="119"/>
      <c r="KI44" s="139"/>
      <c r="KJ44" s="139"/>
      <c r="KK44" s="139"/>
      <c r="KL44" s="139"/>
      <c r="KM44" s="139"/>
      <c r="KN44" s="139"/>
      <c r="KO44" s="139"/>
      <c r="KP44" s="139"/>
      <c r="KQ44" s="139"/>
      <c r="KR44" s="139"/>
      <c r="KS44" s="139"/>
      <c r="KT44" s="139"/>
      <c r="KU44" s="139"/>
      <c r="KV44" s="139"/>
      <c r="KW44" s="170"/>
      <c r="KX44" s="170"/>
      <c r="KY44" s="139"/>
      <c r="KZ44" s="139"/>
      <c r="LA44" s="139"/>
      <c r="LB44" s="139"/>
      <c r="LD44" s="221"/>
      <c r="LE44" s="221"/>
      <c r="LF44" s="221"/>
      <c r="LG44" s="64"/>
      <c r="LH44" s="64"/>
      <c r="LI44" s="64"/>
      <c r="LJ44" s="64"/>
      <c r="LK44" s="64"/>
      <c r="LL44" s="64"/>
      <c r="LM44" s="64"/>
      <c r="LN44" s="64"/>
      <c r="LO44" s="64"/>
      <c r="LP44" s="64"/>
      <c r="LQ44" s="64"/>
      <c r="LR44" s="64"/>
      <c r="LS44" s="64"/>
      <c r="LT44" s="64"/>
      <c r="LU44" s="64"/>
      <c r="LV44" s="64"/>
      <c r="LW44" s="64"/>
      <c r="LX44" s="64"/>
      <c r="LY44" s="64"/>
      <c r="LZ44" s="64"/>
      <c r="MA44" s="64"/>
      <c r="MB44" s="64"/>
      <c r="MC44" s="64"/>
      <c r="MD44" s="64"/>
      <c r="ME44" s="64"/>
      <c r="MF44" s="64"/>
      <c r="MG44" s="64"/>
      <c r="MH44" s="64"/>
      <c r="MI44" s="64"/>
      <c r="MJ44" s="64"/>
    </row>
    <row r="45" spans="1:348" s="13" customFormat="1" ht="24.9" customHeight="1">
      <c r="A45" s="1"/>
      <c r="B45" s="85"/>
      <c r="C45" s="5"/>
      <c r="D45" s="85"/>
      <c r="E45" s="85"/>
      <c r="F45" s="85"/>
      <c r="G45" s="85"/>
      <c r="H45" s="85"/>
      <c r="I45" s="85"/>
      <c r="J45" s="85"/>
      <c r="K45" s="85"/>
      <c r="L45" s="85"/>
      <c r="M45" s="85"/>
      <c r="N45" s="85"/>
      <c r="O45" s="85"/>
      <c r="P45" s="85"/>
      <c r="Q45" s="85"/>
      <c r="R45" s="85"/>
      <c r="S45" s="85"/>
      <c r="T45" s="85"/>
      <c r="U45" s="85"/>
      <c r="V45" s="85"/>
      <c r="W45" s="85"/>
      <c r="X45" s="85"/>
      <c r="Y45" s="85"/>
      <c r="Z45" s="85"/>
      <c r="AA45" s="85"/>
      <c r="AB45" s="85"/>
      <c r="AC45" s="85"/>
      <c r="AD45" s="85"/>
      <c r="AE45" s="85"/>
      <c r="AF45" s="85"/>
      <c r="AG45" s="85"/>
      <c r="AH45" s="85"/>
      <c r="AI45" s="139"/>
      <c r="AJ45" s="139"/>
      <c r="AK45" s="139"/>
      <c r="AL45" s="139"/>
      <c r="AM45" s="139"/>
      <c r="AN45" s="139"/>
      <c r="AO45" s="139"/>
      <c r="AP45" s="139"/>
      <c r="AQ45" s="139"/>
      <c r="AR45" s="139"/>
      <c r="AS45" s="85"/>
      <c r="AT45" s="85"/>
      <c r="AU45" s="139"/>
      <c r="AV45" s="139"/>
      <c r="AW45" s="139"/>
      <c r="AX45" s="139"/>
      <c r="AY45" s="139"/>
      <c r="AZ45" s="139"/>
      <c r="BA45" s="139"/>
      <c r="BB45" s="139"/>
      <c r="BC45" s="85"/>
      <c r="BD45" s="85"/>
      <c r="BE45" s="139"/>
      <c r="BF45" s="139"/>
      <c r="BG45" s="139"/>
      <c r="BH45" s="139"/>
      <c r="BI45" s="139"/>
      <c r="BJ45" s="139"/>
      <c r="BK45" s="139"/>
      <c r="BL45" s="139"/>
      <c r="BM45" s="139"/>
      <c r="BN45" s="139"/>
      <c r="BO45" s="139"/>
      <c r="BP45" s="139"/>
      <c r="BQ45" s="85"/>
      <c r="BR45" s="139"/>
      <c r="BS45" s="139"/>
      <c r="BT45" s="139"/>
      <c r="BU45" s="139"/>
      <c r="BV45" s="139"/>
      <c r="BW45" s="139"/>
      <c r="BX45" s="85"/>
      <c r="BY45" s="85"/>
      <c r="BZ45" s="139"/>
      <c r="CA45" s="139"/>
      <c r="CB45" s="139"/>
      <c r="CC45" s="139"/>
      <c r="CD45" s="139"/>
      <c r="CE45" s="139"/>
      <c r="CF45" s="139"/>
      <c r="CG45" s="139"/>
      <c r="CH45" s="139"/>
      <c r="CI45" s="139"/>
      <c r="CJ45" s="139"/>
      <c r="CK45" s="139"/>
      <c r="CL45" s="139"/>
      <c r="CM45" s="139"/>
      <c r="CN45" s="85"/>
      <c r="CO45" s="85"/>
      <c r="CP45" s="85"/>
      <c r="CQ45" s="85"/>
      <c r="CR45" s="85"/>
      <c r="CS45" s="85"/>
      <c r="CT45" s="85"/>
      <c r="CU45" s="85"/>
      <c r="CV45" s="85"/>
      <c r="CW45" s="85"/>
      <c r="CX45" s="139"/>
      <c r="CY45" s="139"/>
      <c r="CZ45" s="139"/>
      <c r="DA45" s="139"/>
      <c r="DB45" s="139"/>
      <c r="DC45" s="139"/>
      <c r="DD45" s="139"/>
      <c r="DE45" s="139"/>
      <c r="DF45" s="139"/>
      <c r="DG45" s="139"/>
      <c r="DH45" s="139"/>
      <c r="DI45" s="139"/>
      <c r="DJ45" s="139"/>
      <c r="DK45" s="139"/>
      <c r="DL45" s="139"/>
      <c r="DM45" s="139"/>
      <c r="DN45" s="139"/>
      <c r="DO45" s="139"/>
      <c r="DP45" s="139"/>
      <c r="DQ45" s="139"/>
      <c r="DR45" s="139"/>
      <c r="DS45" s="139"/>
      <c r="DT45" s="139"/>
      <c r="DU45" s="139"/>
      <c r="DV45" s="139"/>
      <c r="DW45" s="139"/>
      <c r="DX45" s="139"/>
      <c r="DY45" s="139"/>
      <c r="DZ45" s="139"/>
      <c r="EA45" s="139"/>
      <c r="EB45" s="139"/>
      <c r="EC45" s="139"/>
      <c r="ED45" s="139"/>
      <c r="EE45" s="139"/>
      <c r="EF45" s="139"/>
      <c r="EG45" s="139"/>
      <c r="EH45" s="139"/>
      <c r="EI45" s="139"/>
      <c r="EJ45" s="139"/>
      <c r="EK45" s="139"/>
      <c r="EL45" s="139"/>
      <c r="EM45" s="85"/>
      <c r="EN45" s="85"/>
      <c r="EO45" s="85"/>
      <c r="EP45" s="85"/>
      <c r="EQ45" s="85"/>
      <c r="ER45" s="85"/>
      <c r="ES45" s="85"/>
      <c r="ET45" s="85"/>
      <c r="EU45" s="85"/>
      <c r="EV45" s="85"/>
      <c r="EW45" s="85"/>
      <c r="EX45" s="85"/>
      <c r="EY45" s="85"/>
      <c r="EZ45" s="85"/>
      <c r="FA45" s="85"/>
      <c r="FB45" s="85"/>
      <c r="FC45" s="139"/>
      <c r="FD45" s="139"/>
      <c r="FE45" s="139"/>
      <c r="FF45" s="139"/>
      <c r="FG45" s="139"/>
      <c r="FH45" s="139"/>
      <c r="FI45" s="139"/>
      <c r="FJ45" s="139"/>
      <c r="FK45" s="139"/>
      <c r="FL45" s="139"/>
      <c r="FM45" s="139"/>
      <c r="FN45" s="139"/>
      <c r="FO45" s="139"/>
      <c r="FP45" s="139"/>
      <c r="FQ45" s="139"/>
      <c r="FR45" s="139"/>
      <c r="FS45" s="85"/>
      <c r="FT45" s="85"/>
      <c r="FU45" s="85"/>
      <c r="FV45" s="85"/>
      <c r="FW45" s="139"/>
      <c r="FX45" s="139"/>
      <c r="FY45" s="139"/>
      <c r="FZ45" s="139"/>
      <c r="GA45" s="139"/>
      <c r="GB45" s="139"/>
      <c r="GC45" s="139"/>
      <c r="GD45" s="139"/>
      <c r="GE45" s="139"/>
      <c r="GF45" s="139"/>
      <c r="GG45" s="139"/>
      <c r="GH45" s="139"/>
      <c r="GI45" s="139"/>
      <c r="GJ45" s="139"/>
      <c r="GK45" s="139"/>
      <c r="GL45" s="139"/>
      <c r="GM45" s="139"/>
      <c r="GN45" s="139"/>
      <c r="GO45" s="139"/>
      <c r="GP45" s="139"/>
      <c r="GQ45" s="139"/>
      <c r="GR45" s="139"/>
      <c r="GS45" s="139"/>
      <c r="GT45" s="139"/>
      <c r="GU45" s="139"/>
      <c r="GV45" s="139"/>
      <c r="GW45" s="139"/>
      <c r="GX45" s="139"/>
      <c r="GY45" s="139"/>
      <c r="GZ45" s="139"/>
      <c r="HA45" s="139"/>
      <c r="HB45" s="139"/>
      <c r="HC45" s="85"/>
      <c r="HD45" s="85"/>
      <c r="HE45" s="139"/>
      <c r="HF45" s="139"/>
      <c r="HG45" s="85"/>
      <c r="HH45" s="85"/>
      <c r="HI45" s="139"/>
      <c r="HJ45" s="139"/>
      <c r="HK45" s="85"/>
      <c r="HL45" s="85"/>
      <c r="HM45" s="85"/>
      <c r="HN45" s="85"/>
      <c r="HO45" s="85"/>
      <c r="HP45" s="85"/>
      <c r="HQ45" s="85"/>
      <c r="HR45" s="85"/>
      <c r="HS45" s="85"/>
      <c r="HT45" s="85"/>
      <c r="HU45" s="85"/>
      <c r="HV45" s="85"/>
      <c r="HW45" s="85"/>
      <c r="HX45" s="85"/>
      <c r="HY45" s="85"/>
      <c r="HZ45" s="85"/>
      <c r="IA45" s="85"/>
      <c r="IB45" s="85"/>
      <c r="IC45" s="85"/>
      <c r="ID45" s="85"/>
      <c r="IE45" s="85"/>
      <c r="IF45" s="85"/>
      <c r="IG45" s="85"/>
      <c r="IH45" s="85"/>
      <c r="II45" s="85"/>
      <c r="IJ45" s="85"/>
      <c r="IK45" s="85"/>
      <c r="IL45" s="85"/>
      <c r="IM45" s="139"/>
      <c r="IN45" s="139"/>
      <c r="IO45" s="139"/>
      <c r="IP45" s="139"/>
      <c r="IQ45" s="139"/>
      <c r="IR45" s="139"/>
      <c r="IS45" s="139"/>
      <c r="IT45" s="139"/>
      <c r="IU45" s="139"/>
      <c r="IV45" s="139"/>
      <c r="IW45" s="139"/>
      <c r="IX45" s="139"/>
      <c r="IY45" s="139"/>
      <c r="IZ45" s="139"/>
      <c r="JA45" s="139"/>
      <c r="JB45" s="139"/>
      <c r="JC45" s="139"/>
      <c r="JD45" s="139"/>
      <c r="JE45" s="139"/>
      <c r="JF45" s="139"/>
      <c r="JG45" s="139"/>
      <c r="JH45" s="139"/>
      <c r="JI45" s="139"/>
      <c r="JJ45" s="139"/>
      <c r="JK45" s="139"/>
      <c r="JL45" s="139"/>
      <c r="JM45" s="85"/>
      <c r="JN45" s="85"/>
      <c r="JO45" s="85"/>
      <c r="JP45" s="85"/>
      <c r="JQ45" s="139"/>
      <c r="JR45" s="139"/>
      <c r="JS45" s="139"/>
      <c r="JT45" s="139"/>
      <c r="JU45" s="85"/>
      <c r="JV45" s="85"/>
      <c r="JW45" s="139"/>
      <c r="JX45" s="139"/>
      <c r="JY45" s="139"/>
      <c r="JZ45" s="139"/>
      <c r="KA45" s="139"/>
      <c r="KB45" s="139"/>
      <c r="KC45" s="139"/>
      <c r="KD45" s="139"/>
      <c r="KE45" s="139"/>
      <c r="KF45" s="139"/>
      <c r="KG45" s="119"/>
      <c r="KH45" s="119"/>
      <c r="KI45" s="139"/>
      <c r="KJ45" s="139"/>
      <c r="KK45" s="139"/>
      <c r="KL45" s="139"/>
      <c r="KM45" s="139"/>
      <c r="KN45" s="139"/>
      <c r="KO45" s="139"/>
      <c r="KP45" s="139"/>
      <c r="KQ45" s="139"/>
      <c r="KR45" s="139"/>
      <c r="KS45" s="139"/>
      <c r="KT45" s="139"/>
      <c r="KU45" s="139"/>
      <c r="KV45" s="139"/>
      <c r="KW45" s="170"/>
      <c r="KX45" s="170"/>
      <c r="KY45" s="139"/>
      <c r="KZ45" s="139"/>
      <c r="LA45" s="139"/>
      <c r="LB45" s="139"/>
      <c r="LD45" s="221"/>
      <c r="LE45" s="221"/>
      <c r="LF45" s="221"/>
      <c r="LG45" s="64"/>
      <c r="LH45" s="64"/>
      <c r="LI45" s="64"/>
      <c r="LJ45" s="64"/>
      <c r="LK45" s="64"/>
      <c r="LL45" s="64"/>
      <c r="LM45" s="64"/>
      <c r="LN45" s="64"/>
      <c r="LO45" s="64"/>
      <c r="LP45" s="64"/>
      <c r="LQ45" s="64"/>
      <c r="LR45" s="64"/>
      <c r="LS45" s="64"/>
      <c r="LT45" s="64"/>
      <c r="LU45" s="64"/>
      <c r="LV45" s="64"/>
      <c r="LW45" s="64"/>
      <c r="LX45" s="64"/>
      <c r="LY45" s="64"/>
      <c r="LZ45" s="64"/>
      <c r="MA45" s="64"/>
      <c r="MB45" s="64"/>
      <c r="MC45" s="64"/>
      <c r="MD45" s="64"/>
      <c r="ME45" s="64"/>
      <c r="MF45" s="64"/>
      <c r="MG45" s="64"/>
      <c r="MH45" s="64"/>
      <c r="MI45" s="64"/>
      <c r="MJ45" s="64"/>
    </row>
    <row r="46" spans="1:348" s="13" customFormat="1" ht="24.9" customHeight="1">
      <c r="A46" s="1"/>
      <c r="B46" s="85"/>
      <c r="C46" s="5"/>
      <c r="D46" s="85"/>
      <c r="E46" s="85"/>
      <c r="F46" s="85"/>
      <c r="G46" s="85"/>
      <c r="H46" s="85"/>
      <c r="I46" s="85"/>
      <c r="J46" s="85"/>
      <c r="K46" s="85"/>
      <c r="L46" s="85"/>
      <c r="M46" s="85"/>
      <c r="N46" s="85"/>
      <c r="O46" s="85"/>
      <c r="P46" s="85"/>
      <c r="Q46" s="85"/>
      <c r="R46" s="85"/>
      <c r="S46" s="85"/>
      <c r="T46" s="85"/>
      <c r="U46" s="85"/>
      <c r="V46" s="85"/>
      <c r="W46" s="85"/>
      <c r="X46" s="85"/>
      <c r="Y46" s="85"/>
      <c r="Z46" s="85"/>
      <c r="AA46" s="85"/>
      <c r="AB46" s="85"/>
      <c r="AC46" s="85"/>
      <c r="AD46" s="85"/>
      <c r="AE46" s="85"/>
      <c r="AF46" s="85"/>
      <c r="AG46" s="85"/>
      <c r="AH46" s="85"/>
      <c r="AI46" s="139"/>
      <c r="AJ46" s="139"/>
      <c r="AK46" s="139"/>
      <c r="AL46" s="139"/>
      <c r="AM46" s="139"/>
      <c r="AN46" s="139"/>
      <c r="AO46" s="139"/>
      <c r="AP46" s="139"/>
      <c r="AQ46" s="139"/>
      <c r="AR46" s="139"/>
      <c r="AS46" s="85"/>
      <c r="AT46" s="85"/>
      <c r="AU46" s="139"/>
      <c r="AV46" s="139"/>
      <c r="AW46" s="139"/>
      <c r="AX46" s="139"/>
      <c r="AY46" s="139"/>
      <c r="AZ46" s="139"/>
      <c r="BA46" s="139"/>
      <c r="BB46" s="139"/>
      <c r="BC46" s="85"/>
      <c r="BD46" s="85"/>
      <c r="BE46" s="139"/>
      <c r="BF46" s="139"/>
      <c r="BG46" s="139"/>
      <c r="BH46" s="139"/>
      <c r="BI46" s="139"/>
      <c r="BJ46" s="139"/>
      <c r="BK46" s="139"/>
      <c r="BL46" s="139"/>
      <c r="BM46" s="139"/>
      <c r="BN46" s="139"/>
      <c r="BO46" s="139"/>
      <c r="BP46" s="139"/>
      <c r="BQ46" s="85"/>
      <c r="BR46" s="139"/>
      <c r="BS46" s="139"/>
      <c r="BT46" s="139"/>
      <c r="BU46" s="139"/>
      <c r="BV46" s="139"/>
      <c r="BW46" s="139"/>
      <c r="BX46" s="85"/>
      <c r="BY46" s="85"/>
      <c r="BZ46" s="139"/>
      <c r="CA46" s="139"/>
      <c r="CB46" s="139"/>
      <c r="CC46" s="139"/>
      <c r="CD46" s="139"/>
      <c r="CE46" s="139"/>
      <c r="CF46" s="139"/>
      <c r="CG46" s="139"/>
      <c r="CH46" s="139"/>
      <c r="CI46" s="139"/>
      <c r="CJ46" s="139"/>
      <c r="CK46" s="139"/>
      <c r="CL46" s="139"/>
      <c r="CM46" s="139"/>
      <c r="CN46" s="85"/>
      <c r="CO46" s="85"/>
      <c r="CP46" s="85"/>
      <c r="CQ46" s="85"/>
      <c r="CR46" s="85"/>
      <c r="CS46" s="85"/>
      <c r="CT46" s="85"/>
      <c r="CU46" s="85"/>
      <c r="CV46" s="85"/>
      <c r="CW46" s="85"/>
      <c r="CX46" s="139"/>
      <c r="CY46" s="139"/>
      <c r="CZ46" s="139"/>
      <c r="DA46" s="139"/>
      <c r="DB46" s="139"/>
      <c r="DC46" s="139"/>
      <c r="DD46" s="139"/>
      <c r="DE46" s="139"/>
      <c r="DF46" s="139"/>
      <c r="DG46" s="139"/>
      <c r="DH46" s="139"/>
      <c r="DI46" s="139"/>
      <c r="DJ46" s="139"/>
      <c r="DK46" s="139"/>
      <c r="DL46" s="139"/>
      <c r="DM46" s="139"/>
      <c r="DN46" s="139"/>
      <c r="DO46" s="139"/>
      <c r="DP46" s="139"/>
      <c r="DQ46" s="139"/>
      <c r="DR46" s="139"/>
      <c r="DS46" s="139"/>
      <c r="DT46" s="139"/>
      <c r="DU46" s="139"/>
      <c r="DV46" s="139"/>
      <c r="DW46" s="139"/>
      <c r="DX46" s="139"/>
      <c r="DY46" s="139"/>
      <c r="DZ46" s="139"/>
      <c r="EA46" s="139"/>
      <c r="EB46" s="139"/>
      <c r="EC46" s="139"/>
      <c r="ED46" s="139"/>
      <c r="EE46" s="139"/>
      <c r="EF46" s="139"/>
      <c r="EG46" s="139"/>
      <c r="EH46" s="139"/>
      <c r="EI46" s="139"/>
      <c r="EJ46" s="139"/>
      <c r="EK46" s="139"/>
      <c r="EL46" s="139"/>
      <c r="EM46" s="85"/>
      <c r="EN46" s="85"/>
      <c r="EO46" s="85"/>
      <c r="EP46" s="85"/>
      <c r="EQ46" s="85"/>
      <c r="ER46" s="85"/>
      <c r="ES46" s="85"/>
      <c r="ET46" s="85"/>
      <c r="EU46" s="85"/>
      <c r="EV46" s="85"/>
      <c r="EW46" s="85"/>
      <c r="EX46" s="85"/>
      <c r="EY46" s="85"/>
      <c r="EZ46" s="85"/>
      <c r="FA46" s="85"/>
      <c r="FB46" s="85"/>
      <c r="FC46" s="139"/>
      <c r="FD46" s="139"/>
      <c r="FE46" s="139"/>
      <c r="FF46" s="139"/>
      <c r="FG46" s="139"/>
      <c r="FH46" s="139"/>
      <c r="FI46" s="139"/>
      <c r="FJ46" s="139"/>
      <c r="FK46" s="139"/>
      <c r="FL46" s="139"/>
      <c r="FM46" s="139"/>
      <c r="FN46" s="139"/>
      <c r="FO46" s="139"/>
      <c r="FP46" s="139"/>
      <c r="FQ46" s="139"/>
      <c r="FR46" s="139"/>
      <c r="FS46" s="85"/>
      <c r="FT46" s="85"/>
      <c r="FU46" s="85"/>
      <c r="FV46" s="85"/>
      <c r="FW46" s="139"/>
      <c r="FX46" s="139"/>
      <c r="FY46" s="139"/>
      <c r="FZ46" s="139"/>
      <c r="GA46" s="139"/>
      <c r="GB46" s="139"/>
      <c r="GC46" s="139"/>
      <c r="GD46" s="139"/>
      <c r="GE46" s="139"/>
      <c r="GF46" s="139"/>
      <c r="GG46" s="139"/>
      <c r="GH46" s="139"/>
      <c r="GI46" s="139"/>
      <c r="GJ46" s="139"/>
      <c r="GK46" s="139"/>
      <c r="GL46" s="139"/>
      <c r="GM46" s="139"/>
      <c r="GN46" s="139"/>
      <c r="GO46" s="139"/>
      <c r="GP46" s="139"/>
      <c r="GQ46" s="139"/>
      <c r="GR46" s="139"/>
      <c r="GS46" s="139"/>
      <c r="GT46" s="139"/>
      <c r="GU46" s="139"/>
      <c r="GV46" s="139"/>
      <c r="GW46" s="139"/>
      <c r="GX46" s="139"/>
      <c r="GY46" s="139"/>
      <c r="GZ46" s="139"/>
      <c r="HA46" s="139"/>
      <c r="HB46" s="139"/>
      <c r="HC46" s="85"/>
      <c r="HD46" s="85"/>
      <c r="HE46" s="139"/>
      <c r="HF46" s="139"/>
      <c r="HG46" s="85"/>
      <c r="HH46" s="85"/>
      <c r="HI46" s="139"/>
      <c r="HJ46" s="139"/>
      <c r="HK46" s="85"/>
      <c r="HL46" s="85"/>
      <c r="HM46" s="85"/>
      <c r="HN46" s="85"/>
      <c r="HO46" s="85"/>
      <c r="HP46" s="85"/>
      <c r="HQ46" s="85"/>
      <c r="HR46" s="85"/>
      <c r="HS46" s="85"/>
      <c r="HT46" s="85"/>
      <c r="HU46" s="85"/>
      <c r="HV46" s="85"/>
      <c r="HW46" s="85"/>
      <c r="HX46" s="85"/>
      <c r="HY46" s="85"/>
      <c r="HZ46" s="85"/>
      <c r="IA46" s="85"/>
      <c r="IB46" s="85"/>
      <c r="IC46" s="85"/>
      <c r="ID46" s="85"/>
      <c r="IE46" s="85"/>
      <c r="IF46" s="85"/>
      <c r="IG46" s="85"/>
      <c r="IH46" s="85"/>
      <c r="II46" s="85"/>
      <c r="IJ46" s="85"/>
      <c r="IK46" s="85"/>
      <c r="IL46" s="85"/>
      <c r="IM46" s="139"/>
      <c r="IN46" s="139"/>
      <c r="IO46" s="139"/>
      <c r="IP46" s="139"/>
      <c r="IQ46" s="139"/>
      <c r="IR46" s="139"/>
      <c r="IS46" s="139"/>
      <c r="IT46" s="139"/>
      <c r="IU46" s="139"/>
      <c r="IV46" s="139"/>
      <c r="IW46" s="139"/>
      <c r="IX46" s="139"/>
      <c r="IY46" s="139"/>
      <c r="IZ46" s="139"/>
      <c r="JA46" s="139"/>
      <c r="JB46" s="139"/>
      <c r="JC46" s="139"/>
      <c r="JD46" s="139"/>
      <c r="JE46" s="139"/>
      <c r="JF46" s="139"/>
      <c r="JG46" s="139"/>
      <c r="JH46" s="139"/>
      <c r="JI46" s="139"/>
      <c r="JJ46" s="139"/>
      <c r="JK46" s="139"/>
      <c r="JL46" s="139"/>
      <c r="JM46" s="85"/>
      <c r="JN46" s="85"/>
      <c r="JO46" s="85"/>
      <c r="JP46" s="85"/>
      <c r="JQ46" s="139"/>
      <c r="JR46" s="139"/>
      <c r="JS46" s="139"/>
      <c r="JT46" s="139"/>
      <c r="JU46" s="85"/>
      <c r="JV46" s="85"/>
      <c r="JW46" s="139"/>
      <c r="JX46" s="139"/>
      <c r="JY46" s="139"/>
      <c r="JZ46" s="139"/>
      <c r="KA46" s="139"/>
      <c r="KB46" s="139"/>
      <c r="KC46" s="139"/>
      <c r="KD46" s="139"/>
      <c r="KE46" s="139"/>
      <c r="KF46" s="139"/>
      <c r="KG46" s="119"/>
      <c r="KH46" s="119"/>
      <c r="KI46" s="139"/>
      <c r="KJ46" s="139"/>
      <c r="KK46" s="139"/>
      <c r="KL46" s="139"/>
      <c r="KM46" s="139"/>
      <c r="KN46" s="139"/>
      <c r="KO46" s="139"/>
      <c r="KP46" s="139"/>
      <c r="KQ46" s="139"/>
      <c r="KR46" s="139"/>
      <c r="KS46" s="139"/>
      <c r="KT46" s="139"/>
      <c r="KU46" s="139"/>
      <c r="KV46" s="139"/>
      <c r="KW46" s="170"/>
      <c r="KX46" s="170"/>
      <c r="KY46" s="139"/>
      <c r="KZ46" s="139"/>
      <c r="LA46" s="139"/>
      <c r="LB46" s="139"/>
      <c r="LD46" s="221"/>
      <c r="LE46" s="221"/>
      <c r="LF46" s="221"/>
      <c r="LG46" s="64"/>
      <c r="LH46" s="64"/>
      <c r="LI46" s="64"/>
      <c r="LJ46" s="64"/>
      <c r="LK46" s="64"/>
      <c r="LL46" s="64"/>
      <c r="LM46" s="64"/>
      <c r="LN46" s="64"/>
      <c r="LO46" s="64"/>
      <c r="LP46" s="64"/>
      <c r="LQ46" s="64"/>
      <c r="LR46" s="64"/>
      <c r="LS46" s="64"/>
      <c r="LT46" s="64"/>
      <c r="LU46" s="64"/>
      <c r="LV46" s="64"/>
      <c r="LW46" s="64"/>
      <c r="LX46" s="64"/>
      <c r="LY46" s="64"/>
      <c r="LZ46" s="64"/>
      <c r="MA46" s="64"/>
      <c r="MB46" s="64"/>
      <c r="MC46" s="64"/>
      <c r="MD46" s="64"/>
      <c r="ME46" s="64"/>
      <c r="MF46" s="64"/>
      <c r="MG46" s="64"/>
      <c r="MH46" s="64"/>
      <c r="MI46" s="64"/>
      <c r="MJ46" s="64"/>
    </row>
    <row r="47" spans="1:348" s="13" customFormat="1" ht="24.9" customHeight="1">
      <c r="A47" s="1"/>
      <c r="B47" s="85"/>
      <c r="C47" s="5"/>
      <c r="D47" s="85"/>
      <c r="E47" s="85"/>
      <c r="F47" s="85"/>
      <c r="G47" s="85"/>
      <c r="H47" s="85"/>
      <c r="I47" s="85"/>
      <c r="J47" s="85"/>
      <c r="K47" s="85"/>
      <c r="L47" s="85"/>
      <c r="M47" s="85"/>
      <c r="N47" s="85"/>
      <c r="O47" s="85"/>
      <c r="P47" s="85"/>
      <c r="Q47" s="85"/>
      <c r="R47" s="85"/>
      <c r="S47" s="85"/>
      <c r="T47" s="85"/>
      <c r="U47" s="85"/>
      <c r="V47" s="85"/>
      <c r="W47" s="85"/>
      <c r="X47" s="85"/>
      <c r="Y47" s="85"/>
      <c r="Z47" s="85"/>
      <c r="AA47" s="85"/>
      <c r="AB47" s="85"/>
      <c r="AC47" s="85"/>
      <c r="AD47" s="85"/>
      <c r="AE47" s="85"/>
      <c r="AF47" s="85"/>
      <c r="AG47" s="85"/>
      <c r="AH47" s="85"/>
      <c r="AI47" s="139"/>
      <c r="AJ47" s="139"/>
      <c r="AK47" s="139"/>
      <c r="AL47" s="139"/>
      <c r="AM47" s="139"/>
      <c r="AN47" s="139"/>
      <c r="AO47" s="139"/>
      <c r="AP47" s="139"/>
      <c r="AQ47" s="139"/>
      <c r="AR47" s="139"/>
      <c r="AS47" s="85"/>
      <c r="AT47" s="85"/>
      <c r="AU47" s="139"/>
      <c r="AV47" s="139"/>
      <c r="AW47" s="139"/>
      <c r="AX47" s="139"/>
      <c r="AY47" s="139"/>
      <c r="AZ47" s="139"/>
      <c r="BA47" s="139"/>
      <c r="BB47" s="139"/>
      <c r="BC47" s="85"/>
      <c r="BD47" s="85"/>
      <c r="BE47" s="139"/>
      <c r="BF47" s="139"/>
      <c r="BG47" s="139"/>
      <c r="BH47" s="139"/>
      <c r="BI47" s="139"/>
      <c r="BJ47" s="139"/>
      <c r="BK47" s="139"/>
      <c r="BL47" s="139"/>
      <c r="BM47" s="139"/>
      <c r="BN47" s="139"/>
      <c r="BO47" s="139"/>
      <c r="BP47" s="139"/>
      <c r="BQ47" s="85"/>
      <c r="BR47" s="139"/>
      <c r="BS47" s="139"/>
      <c r="BT47" s="139"/>
      <c r="BU47" s="139"/>
      <c r="BV47" s="139"/>
      <c r="BW47" s="139"/>
      <c r="BX47" s="85"/>
      <c r="BY47" s="85"/>
      <c r="BZ47" s="139"/>
      <c r="CA47" s="139"/>
      <c r="CB47" s="139"/>
      <c r="CC47" s="139"/>
      <c r="CD47" s="139"/>
      <c r="CE47" s="139"/>
      <c r="CF47" s="139"/>
      <c r="CG47" s="139"/>
      <c r="CH47" s="139"/>
      <c r="CI47" s="139"/>
      <c r="CJ47" s="139"/>
      <c r="CK47" s="139"/>
      <c r="CL47" s="139"/>
      <c r="CM47" s="139"/>
      <c r="CN47" s="85"/>
      <c r="CO47" s="85"/>
      <c r="CP47" s="85"/>
      <c r="CQ47" s="85"/>
      <c r="CR47" s="85"/>
      <c r="CS47" s="85"/>
      <c r="CT47" s="85"/>
      <c r="CU47" s="85"/>
      <c r="CV47" s="85"/>
      <c r="CW47" s="85"/>
      <c r="CX47" s="139"/>
      <c r="CY47" s="139"/>
      <c r="CZ47" s="139"/>
      <c r="DA47" s="139"/>
      <c r="DB47" s="139"/>
      <c r="DC47" s="139"/>
      <c r="DD47" s="139"/>
      <c r="DE47" s="139"/>
      <c r="DF47" s="139"/>
      <c r="DG47" s="139"/>
      <c r="DH47" s="139"/>
      <c r="DI47" s="139"/>
      <c r="DJ47" s="139"/>
      <c r="DK47" s="139"/>
      <c r="DL47" s="139"/>
      <c r="DM47" s="139"/>
      <c r="DN47" s="139"/>
      <c r="DO47" s="139"/>
      <c r="DP47" s="139"/>
      <c r="DQ47" s="139"/>
      <c r="DR47" s="139"/>
      <c r="DS47" s="139"/>
      <c r="DT47" s="139"/>
      <c r="DU47" s="139"/>
      <c r="DV47" s="139"/>
      <c r="DW47" s="139"/>
      <c r="DX47" s="139"/>
      <c r="DY47" s="139"/>
      <c r="DZ47" s="139"/>
      <c r="EA47" s="139"/>
      <c r="EB47" s="139"/>
      <c r="EC47" s="139"/>
      <c r="ED47" s="139"/>
      <c r="EE47" s="139"/>
      <c r="EF47" s="139"/>
      <c r="EG47" s="139"/>
      <c r="EH47" s="139"/>
      <c r="EI47" s="139"/>
      <c r="EJ47" s="139"/>
      <c r="EK47" s="139"/>
      <c r="EL47" s="139"/>
      <c r="EM47" s="85"/>
      <c r="EN47" s="85"/>
      <c r="EO47" s="85"/>
      <c r="EP47" s="85"/>
      <c r="EQ47" s="85"/>
      <c r="ER47" s="85"/>
      <c r="ES47" s="85"/>
      <c r="ET47" s="85"/>
      <c r="EU47" s="85"/>
      <c r="EV47" s="85"/>
      <c r="EW47" s="85"/>
      <c r="EX47" s="85"/>
      <c r="EY47" s="85"/>
      <c r="EZ47" s="85"/>
      <c r="FA47" s="85"/>
      <c r="FB47" s="85"/>
      <c r="FC47" s="139"/>
      <c r="FD47" s="139"/>
      <c r="FE47" s="139"/>
      <c r="FF47" s="139"/>
      <c r="FG47" s="139"/>
      <c r="FH47" s="139"/>
      <c r="FI47" s="139"/>
      <c r="FJ47" s="139"/>
      <c r="FK47" s="139"/>
      <c r="FL47" s="139"/>
      <c r="FM47" s="139"/>
      <c r="FN47" s="139"/>
      <c r="FO47" s="139"/>
      <c r="FP47" s="139"/>
      <c r="FQ47" s="139"/>
      <c r="FR47" s="139"/>
      <c r="FS47" s="85"/>
      <c r="FT47" s="85"/>
      <c r="FU47" s="85"/>
      <c r="FV47" s="85"/>
      <c r="FW47" s="139"/>
      <c r="FX47" s="139"/>
      <c r="FY47" s="139"/>
      <c r="FZ47" s="139"/>
      <c r="GA47" s="139"/>
      <c r="GB47" s="139"/>
      <c r="GC47" s="139"/>
      <c r="GD47" s="139"/>
      <c r="GE47" s="139"/>
      <c r="GF47" s="139"/>
      <c r="GG47" s="139"/>
      <c r="GH47" s="139"/>
      <c r="GI47" s="139"/>
      <c r="GJ47" s="139"/>
      <c r="GK47" s="139"/>
      <c r="GL47" s="139"/>
      <c r="GM47" s="139"/>
      <c r="GN47" s="139"/>
      <c r="GO47" s="139"/>
      <c r="GP47" s="139"/>
      <c r="GQ47" s="139"/>
      <c r="GR47" s="139"/>
      <c r="GS47" s="139"/>
      <c r="GT47" s="139"/>
      <c r="GU47" s="139"/>
      <c r="GV47" s="139"/>
      <c r="GW47" s="139"/>
      <c r="GX47" s="139"/>
      <c r="GY47" s="139"/>
      <c r="GZ47" s="139"/>
      <c r="HA47" s="139"/>
      <c r="HB47" s="139"/>
      <c r="HC47" s="85"/>
      <c r="HD47" s="85"/>
      <c r="HE47" s="139"/>
      <c r="HF47" s="139"/>
      <c r="HG47" s="85"/>
      <c r="HH47" s="85"/>
      <c r="HI47" s="139"/>
      <c r="HJ47" s="139"/>
      <c r="HK47" s="85"/>
      <c r="HL47" s="85"/>
      <c r="HM47" s="85"/>
      <c r="HN47" s="85"/>
      <c r="HO47" s="85"/>
      <c r="HP47" s="85"/>
      <c r="HQ47" s="85"/>
      <c r="HR47" s="85"/>
      <c r="HS47" s="85"/>
      <c r="HT47" s="85"/>
      <c r="HU47" s="85"/>
      <c r="HV47" s="85"/>
      <c r="HW47" s="85"/>
      <c r="HX47" s="85"/>
      <c r="HY47" s="85"/>
      <c r="HZ47" s="85"/>
      <c r="IA47" s="85"/>
      <c r="IB47" s="85"/>
      <c r="IC47" s="85"/>
      <c r="ID47" s="85"/>
      <c r="IE47" s="85"/>
      <c r="IF47" s="85"/>
      <c r="IG47" s="85"/>
      <c r="IH47" s="85"/>
      <c r="II47" s="85"/>
      <c r="IJ47" s="85"/>
      <c r="IK47" s="85"/>
      <c r="IL47" s="85"/>
      <c r="IM47" s="139"/>
      <c r="IN47" s="139"/>
      <c r="IO47" s="139"/>
      <c r="IP47" s="139"/>
      <c r="IQ47" s="139"/>
      <c r="IR47" s="139"/>
      <c r="IS47" s="139"/>
      <c r="IT47" s="139"/>
      <c r="IU47" s="139"/>
      <c r="IV47" s="139"/>
      <c r="IW47" s="139"/>
      <c r="IX47" s="139"/>
      <c r="IY47" s="139"/>
      <c r="IZ47" s="139"/>
      <c r="JA47" s="139"/>
      <c r="JB47" s="139"/>
      <c r="JC47" s="139"/>
      <c r="JD47" s="139"/>
      <c r="JE47" s="139"/>
      <c r="JF47" s="139"/>
      <c r="JG47" s="139"/>
      <c r="JH47" s="139"/>
      <c r="JI47" s="139"/>
      <c r="JJ47" s="139"/>
      <c r="JK47" s="139"/>
      <c r="JL47" s="139"/>
      <c r="JM47" s="85"/>
      <c r="JN47" s="85"/>
      <c r="JO47" s="85"/>
      <c r="JP47" s="85"/>
      <c r="JQ47" s="139"/>
      <c r="JR47" s="139"/>
      <c r="JS47" s="139"/>
      <c r="JT47" s="139"/>
      <c r="JU47" s="85"/>
      <c r="JV47" s="85"/>
      <c r="JW47" s="139"/>
      <c r="JX47" s="139"/>
      <c r="JY47" s="139"/>
      <c r="JZ47" s="139"/>
      <c r="KA47" s="139"/>
      <c r="KB47" s="139"/>
      <c r="KC47" s="139"/>
      <c r="KD47" s="139"/>
      <c r="KE47" s="139"/>
      <c r="KF47" s="139"/>
      <c r="KG47" s="119"/>
      <c r="KH47" s="119"/>
      <c r="KI47" s="139"/>
      <c r="KJ47" s="139"/>
      <c r="KK47" s="139"/>
      <c r="KL47" s="139"/>
      <c r="KM47" s="139"/>
      <c r="KN47" s="139"/>
      <c r="KO47" s="139"/>
      <c r="KP47" s="139"/>
      <c r="KQ47" s="139"/>
      <c r="KR47" s="139"/>
      <c r="KS47" s="139"/>
      <c r="KT47" s="139"/>
      <c r="KU47" s="139"/>
      <c r="KV47" s="139"/>
      <c r="KW47" s="170"/>
      <c r="KX47" s="170"/>
      <c r="KY47" s="139"/>
      <c r="KZ47" s="139"/>
      <c r="LA47" s="139"/>
      <c r="LB47" s="139"/>
      <c r="LD47" s="221"/>
      <c r="LE47" s="221"/>
      <c r="LF47" s="221"/>
      <c r="LG47" s="64"/>
      <c r="LH47" s="64"/>
      <c r="LI47" s="64"/>
      <c r="LJ47" s="64"/>
      <c r="LK47" s="64"/>
      <c r="LL47" s="64"/>
      <c r="LM47" s="64"/>
      <c r="LN47" s="64"/>
      <c r="LO47" s="64"/>
      <c r="LP47" s="64"/>
      <c r="LQ47" s="64"/>
      <c r="LR47" s="64"/>
      <c r="LS47" s="64"/>
      <c r="LT47" s="64"/>
      <c r="LU47" s="64"/>
      <c r="LV47" s="64"/>
      <c r="LW47" s="64"/>
      <c r="LX47" s="64"/>
      <c r="LY47" s="64"/>
      <c r="LZ47" s="64"/>
      <c r="MA47" s="64"/>
      <c r="MB47" s="64"/>
      <c r="MC47" s="64"/>
      <c r="MD47" s="64"/>
      <c r="ME47" s="64"/>
      <c r="MF47" s="64"/>
      <c r="MG47" s="64"/>
      <c r="MH47" s="64"/>
      <c r="MI47" s="64"/>
      <c r="MJ47" s="64"/>
    </row>
    <row r="48" spans="1:348" s="13" customFormat="1" ht="24.9" customHeight="1">
      <c r="A48" s="1"/>
      <c r="B48" s="85"/>
      <c r="C48" s="5"/>
      <c r="D48" s="85"/>
      <c r="E48" s="85"/>
      <c r="F48" s="85"/>
      <c r="G48" s="85"/>
      <c r="H48" s="85"/>
      <c r="I48" s="85"/>
      <c r="J48" s="85"/>
      <c r="K48" s="85"/>
      <c r="L48" s="85"/>
      <c r="M48" s="85"/>
      <c r="N48" s="85"/>
      <c r="O48" s="85"/>
      <c r="P48" s="85"/>
      <c r="Q48" s="85"/>
      <c r="R48" s="85"/>
      <c r="S48" s="85"/>
      <c r="T48" s="85"/>
      <c r="U48" s="85"/>
      <c r="V48" s="85"/>
      <c r="W48" s="85"/>
      <c r="X48" s="85"/>
      <c r="Y48" s="85"/>
      <c r="Z48" s="85"/>
      <c r="AA48" s="85"/>
      <c r="AB48" s="85"/>
      <c r="AC48" s="85"/>
      <c r="AD48" s="85"/>
      <c r="AE48" s="85"/>
      <c r="AF48" s="85"/>
      <c r="AG48" s="85"/>
      <c r="AH48" s="85"/>
      <c r="AI48" s="139"/>
      <c r="AJ48" s="139"/>
      <c r="AK48" s="139"/>
      <c r="AL48" s="139"/>
      <c r="AM48" s="139"/>
      <c r="AN48" s="139"/>
      <c r="AO48" s="139"/>
      <c r="AP48" s="139"/>
      <c r="AQ48" s="139"/>
      <c r="AR48" s="139"/>
      <c r="AS48" s="85"/>
      <c r="AT48" s="85"/>
      <c r="AU48" s="139"/>
      <c r="AV48" s="139"/>
      <c r="AW48" s="139"/>
      <c r="AX48" s="139"/>
      <c r="AY48" s="139"/>
      <c r="AZ48" s="139"/>
      <c r="BA48" s="139"/>
      <c r="BB48" s="139"/>
      <c r="BC48" s="85"/>
      <c r="BD48" s="85"/>
      <c r="BE48" s="139"/>
      <c r="BF48" s="139"/>
      <c r="BG48" s="139"/>
      <c r="BH48" s="139"/>
      <c r="BI48" s="139"/>
      <c r="BJ48" s="139"/>
      <c r="BK48" s="139"/>
      <c r="BL48" s="139"/>
      <c r="BM48" s="139"/>
      <c r="BN48" s="139"/>
      <c r="BO48" s="139"/>
      <c r="BP48" s="139"/>
      <c r="BQ48" s="85"/>
      <c r="BR48" s="139"/>
      <c r="BS48" s="139"/>
      <c r="BT48" s="139"/>
      <c r="BU48" s="139"/>
      <c r="BV48" s="139"/>
      <c r="BW48" s="139"/>
      <c r="BX48" s="85"/>
      <c r="BY48" s="85"/>
      <c r="BZ48" s="139"/>
      <c r="CA48" s="139"/>
      <c r="CB48" s="139"/>
      <c r="CC48" s="139"/>
      <c r="CD48" s="139"/>
      <c r="CE48" s="139"/>
      <c r="CF48" s="139"/>
      <c r="CG48" s="139"/>
      <c r="CH48" s="139"/>
      <c r="CI48" s="139"/>
      <c r="CJ48" s="139"/>
      <c r="CK48" s="139"/>
      <c r="CL48" s="139"/>
      <c r="CM48" s="139"/>
      <c r="CN48" s="85"/>
      <c r="CO48" s="85"/>
      <c r="CP48" s="85"/>
      <c r="CQ48" s="85"/>
      <c r="CR48" s="85"/>
      <c r="CS48" s="85"/>
      <c r="CT48" s="85"/>
      <c r="CU48" s="85"/>
      <c r="CV48" s="85"/>
      <c r="CW48" s="85"/>
      <c r="CX48" s="139"/>
      <c r="CY48" s="139"/>
      <c r="CZ48" s="139"/>
      <c r="DA48" s="139"/>
      <c r="DB48" s="139"/>
      <c r="DC48" s="139"/>
      <c r="DD48" s="139"/>
      <c r="DE48" s="139"/>
      <c r="DF48" s="139"/>
      <c r="DG48" s="139"/>
      <c r="DH48" s="139"/>
      <c r="DI48" s="139"/>
      <c r="DJ48" s="139"/>
      <c r="DK48" s="139"/>
      <c r="DL48" s="139"/>
      <c r="DM48" s="139"/>
      <c r="DN48" s="139"/>
      <c r="DO48" s="139"/>
      <c r="DP48" s="139"/>
      <c r="DQ48" s="139"/>
      <c r="DR48" s="139"/>
      <c r="DS48" s="139"/>
      <c r="DT48" s="139"/>
      <c r="DU48" s="139"/>
      <c r="DV48" s="139"/>
      <c r="DW48" s="139"/>
      <c r="DX48" s="139"/>
      <c r="DY48" s="139"/>
      <c r="DZ48" s="139"/>
      <c r="EA48" s="139"/>
      <c r="EB48" s="139"/>
      <c r="EC48" s="139"/>
      <c r="ED48" s="139"/>
      <c r="EE48" s="139"/>
      <c r="EF48" s="139"/>
      <c r="EG48" s="139"/>
      <c r="EH48" s="139"/>
      <c r="EI48" s="139"/>
      <c r="EJ48" s="139"/>
      <c r="EK48" s="139"/>
      <c r="EL48" s="139"/>
      <c r="EM48" s="85"/>
      <c r="EN48" s="85"/>
      <c r="EO48" s="85"/>
      <c r="EP48" s="85"/>
      <c r="EQ48" s="85"/>
      <c r="ER48" s="85"/>
      <c r="ES48" s="85"/>
      <c r="ET48" s="85"/>
      <c r="EU48" s="85"/>
      <c r="EV48" s="85"/>
      <c r="EW48" s="85"/>
      <c r="EX48" s="85"/>
      <c r="EY48" s="85"/>
      <c r="EZ48" s="85"/>
      <c r="FA48" s="85"/>
      <c r="FB48" s="85"/>
      <c r="FC48" s="139"/>
      <c r="FD48" s="139"/>
      <c r="FE48" s="139"/>
      <c r="FF48" s="139"/>
      <c r="FG48" s="139"/>
      <c r="FH48" s="139"/>
      <c r="FI48" s="139"/>
      <c r="FJ48" s="139"/>
      <c r="FK48" s="139"/>
      <c r="FL48" s="139"/>
      <c r="FM48" s="139"/>
      <c r="FN48" s="139"/>
      <c r="FO48" s="139"/>
      <c r="FP48" s="139"/>
      <c r="FQ48" s="139"/>
      <c r="FR48" s="139"/>
      <c r="FS48" s="85"/>
      <c r="FT48" s="85"/>
      <c r="FU48" s="85"/>
      <c r="FV48" s="85"/>
      <c r="FW48" s="139"/>
      <c r="FX48" s="139"/>
      <c r="FY48" s="139"/>
      <c r="FZ48" s="139"/>
      <c r="GA48" s="139"/>
      <c r="GB48" s="139"/>
      <c r="GC48" s="139"/>
      <c r="GD48" s="139"/>
      <c r="GE48" s="139"/>
      <c r="GF48" s="139"/>
      <c r="GG48" s="139"/>
      <c r="GH48" s="139"/>
      <c r="GI48" s="139"/>
      <c r="GJ48" s="139"/>
      <c r="GK48" s="139"/>
      <c r="GL48" s="139"/>
      <c r="GM48" s="139"/>
      <c r="GN48" s="139"/>
      <c r="GO48" s="139"/>
      <c r="GP48" s="139"/>
      <c r="GQ48" s="139"/>
      <c r="GR48" s="139"/>
      <c r="GS48" s="139"/>
      <c r="GT48" s="139"/>
      <c r="GU48" s="139"/>
      <c r="GV48" s="139"/>
      <c r="GW48" s="139"/>
      <c r="GX48" s="139"/>
      <c r="GY48" s="139"/>
      <c r="GZ48" s="139"/>
      <c r="HA48" s="139"/>
      <c r="HB48" s="139"/>
      <c r="HC48" s="85"/>
      <c r="HD48" s="85"/>
      <c r="HE48" s="139"/>
      <c r="HF48" s="139"/>
      <c r="HG48" s="85"/>
      <c r="HH48" s="85"/>
      <c r="HI48" s="139"/>
      <c r="HJ48" s="139"/>
      <c r="HK48" s="85"/>
      <c r="HL48" s="85"/>
      <c r="HM48" s="85"/>
      <c r="HN48" s="85"/>
      <c r="HO48" s="85"/>
      <c r="HP48" s="85"/>
      <c r="HQ48" s="85"/>
      <c r="HR48" s="85"/>
      <c r="HS48" s="85"/>
      <c r="HT48" s="85"/>
      <c r="HU48" s="85"/>
      <c r="HV48" s="85"/>
      <c r="HW48" s="85"/>
      <c r="HX48" s="85"/>
      <c r="HY48" s="85"/>
      <c r="HZ48" s="85"/>
      <c r="IA48" s="85"/>
      <c r="IB48" s="85"/>
      <c r="IC48" s="85"/>
      <c r="ID48" s="85"/>
      <c r="IE48" s="85"/>
      <c r="IF48" s="85"/>
      <c r="IG48" s="85"/>
      <c r="IH48" s="85"/>
      <c r="II48" s="85"/>
      <c r="IJ48" s="85"/>
      <c r="IK48" s="85"/>
      <c r="IL48" s="85"/>
      <c r="IM48" s="139"/>
      <c r="IN48" s="139"/>
      <c r="IO48" s="139"/>
      <c r="IP48" s="139"/>
      <c r="IQ48" s="139"/>
      <c r="IR48" s="139"/>
      <c r="IS48" s="139"/>
      <c r="IT48" s="139"/>
      <c r="IU48" s="139"/>
      <c r="IV48" s="139"/>
      <c r="IW48" s="139"/>
      <c r="IX48" s="139"/>
      <c r="IY48" s="139"/>
      <c r="IZ48" s="139"/>
      <c r="JA48" s="139"/>
      <c r="JB48" s="139"/>
      <c r="JC48" s="139"/>
      <c r="JD48" s="139"/>
      <c r="JE48" s="139"/>
      <c r="JF48" s="139"/>
      <c r="JG48" s="139"/>
      <c r="JH48" s="139"/>
      <c r="JI48" s="139"/>
      <c r="JJ48" s="139"/>
      <c r="JK48" s="139"/>
      <c r="JL48" s="139"/>
      <c r="JM48" s="85"/>
      <c r="JN48" s="85"/>
      <c r="JO48" s="85"/>
      <c r="JP48" s="85"/>
      <c r="JQ48" s="139"/>
      <c r="JR48" s="139"/>
      <c r="JS48" s="139"/>
      <c r="JT48" s="139"/>
      <c r="JU48" s="85"/>
      <c r="JV48" s="85"/>
      <c r="JW48" s="139"/>
      <c r="JX48" s="139"/>
      <c r="JY48" s="139"/>
      <c r="JZ48" s="139"/>
      <c r="KA48" s="139"/>
      <c r="KB48" s="139"/>
      <c r="KC48" s="139"/>
      <c r="KD48" s="139"/>
      <c r="KE48" s="139"/>
      <c r="KF48" s="139"/>
      <c r="KG48" s="119"/>
      <c r="KH48" s="119"/>
      <c r="KI48" s="139"/>
      <c r="KJ48" s="139"/>
      <c r="KK48" s="139"/>
      <c r="KL48" s="139"/>
      <c r="KM48" s="139"/>
      <c r="KN48" s="139"/>
      <c r="KO48" s="139"/>
      <c r="KP48" s="139"/>
      <c r="KQ48" s="139"/>
      <c r="KR48" s="139"/>
      <c r="KS48" s="139"/>
      <c r="KT48" s="139"/>
      <c r="KU48" s="139"/>
      <c r="KV48" s="139"/>
      <c r="KW48" s="170"/>
      <c r="KX48" s="170"/>
      <c r="KY48" s="139"/>
      <c r="KZ48" s="139"/>
      <c r="LA48" s="139"/>
      <c r="LB48" s="139"/>
      <c r="LD48" s="221"/>
      <c r="LE48" s="221"/>
      <c r="LF48" s="221"/>
      <c r="LG48" s="64"/>
      <c r="LH48" s="64"/>
      <c r="LI48" s="64"/>
      <c r="LJ48" s="64"/>
      <c r="LK48" s="64"/>
      <c r="LL48" s="64"/>
      <c r="LM48" s="64"/>
      <c r="LN48" s="64"/>
      <c r="LO48" s="64"/>
      <c r="LP48" s="64"/>
      <c r="LQ48" s="64"/>
      <c r="LR48" s="64"/>
      <c r="LS48" s="64"/>
      <c r="LT48" s="64"/>
      <c r="LU48" s="64"/>
      <c r="LV48" s="64"/>
      <c r="LW48" s="64"/>
      <c r="LX48" s="64"/>
      <c r="LY48" s="64"/>
      <c r="LZ48" s="64"/>
      <c r="MA48" s="64"/>
      <c r="MB48" s="64"/>
      <c r="MC48" s="64"/>
      <c r="MD48" s="64"/>
      <c r="ME48" s="64"/>
      <c r="MF48" s="64"/>
      <c r="MG48" s="64"/>
      <c r="MH48" s="64"/>
      <c r="MI48" s="64"/>
      <c r="MJ48" s="64"/>
    </row>
    <row r="49" spans="1:348" s="13" customFormat="1" ht="24.9" customHeight="1">
      <c r="A49" s="1"/>
      <c r="B49" s="85"/>
      <c r="C49" s="5"/>
      <c r="D49" s="85"/>
      <c r="E49" s="85"/>
      <c r="F49" s="85"/>
      <c r="G49" s="85"/>
      <c r="H49" s="85"/>
      <c r="I49" s="85"/>
      <c r="J49" s="85"/>
      <c r="K49" s="85"/>
      <c r="L49" s="85"/>
      <c r="M49" s="85"/>
      <c r="N49" s="85"/>
      <c r="O49" s="85"/>
      <c r="P49" s="85"/>
      <c r="Q49" s="85"/>
      <c r="R49" s="85"/>
      <c r="S49" s="85"/>
      <c r="T49" s="85"/>
      <c r="U49" s="85"/>
      <c r="V49" s="85"/>
      <c r="W49" s="85"/>
      <c r="X49" s="85"/>
      <c r="Y49" s="85"/>
      <c r="Z49" s="85"/>
      <c r="AA49" s="85"/>
      <c r="AB49" s="85"/>
      <c r="AC49" s="85"/>
      <c r="AD49" s="85"/>
      <c r="AE49" s="85"/>
      <c r="AF49" s="85"/>
      <c r="AG49" s="85"/>
      <c r="AH49" s="85"/>
      <c r="AI49" s="139"/>
      <c r="AJ49" s="139"/>
      <c r="AK49" s="139"/>
      <c r="AL49" s="139"/>
      <c r="AM49" s="139"/>
      <c r="AN49" s="139"/>
      <c r="AO49" s="139"/>
      <c r="AP49" s="139"/>
      <c r="AQ49" s="139"/>
      <c r="AR49" s="139"/>
      <c r="AS49" s="85"/>
      <c r="AT49" s="85"/>
      <c r="AU49" s="139"/>
      <c r="AV49" s="139"/>
      <c r="AW49" s="139"/>
      <c r="AX49" s="139"/>
      <c r="AY49" s="139"/>
      <c r="AZ49" s="139"/>
      <c r="BA49" s="139"/>
      <c r="BB49" s="139"/>
      <c r="BC49" s="85"/>
      <c r="BD49" s="85"/>
      <c r="BE49" s="139"/>
      <c r="BF49" s="139"/>
      <c r="BG49" s="139"/>
      <c r="BH49" s="139"/>
      <c r="BI49" s="139"/>
      <c r="BJ49" s="139"/>
      <c r="BK49" s="139"/>
      <c r="BL49" s="139"/>
      <c r="BM49" s="139"/>
      <c r="BN49" s="139"/>
      <c r="BO49" s="139"/>
      <c r="BP49" s="139"/>
      <c r="BQ49" s="85"/>
      <c r="BR49" s="139"/>
      <c r="BS49" s="139"/>
      <c r="BT49" s="139"/>
      <c r="BU49" s="139"/>
      <c r="BV49" s="139"/>
      <c r="BW49" s="139"/>
      <c r="BX49" s="85"/>
      <c r="BY49" s="85"/>
      <c r="BZ49" s="139"/>
      <c r="CA49" s="139"/>
      <c r="CB49" s="139"/>
      <c r="CC49" s="139"/>
      <c r="CD49" s="139"/>
      <c r="CE49" s="139"/>
      <c r="CF49" s="139"/>
      <c r="CG49" s="139"/>
      <c r="CH49" s="139"/>
      <c r="CI49" s="139"/>
      <c r="CJ49" s="139"/>
      <c r="CK49" s="139"/>
      <c r="CL49" s="139"/>
      <c r="CM49" s="139"/>
      <c r="CN49" s="85"/>
      <c r="CO49" s="85"/>
      <c r="CP49" s="85"/>
      <c r="CQ49" s="85"/>
      <c r="CR49" s="85"/>
      <c r="CS49" s="85"/>
      <c r="CT49" s="85"/>
      <c r="CU49" s="85"/>
      <c r="CV49" s="85"/>
      <c r="CW49" s="85"/>
      <c r="CX49" s="139"/>
      <c r="CY49" s="139"/>
      <c r="CZ49" s="139"/>
      <c r="DA49" s="139"/>
      <c r="DB49" s="139"/>
      <c r="DC49" s="139"/>
      <c r="DD49" s="139"/>
      <c r="DE49" s="139"/>
      <c r="DF49" s="139"/>
      <c r="DG49" s="139"/>
      <c r="DH49" s="139"/>
      <c r="DI49" s="139"/>
      <c r="DJ49" s="139"/>
      <c r="DK49" s="139"/>
      <c r="DL49" s="139"/>
      <c r="DM49" s="139"/>
      <c r="DN49" s="139"/>
      <c r="DO49" s="139"/>
      <c r="DP49" s="139"/>
      <c r="DQ49" s="139"/>
      <c r="DR49" s="139"/>
      <c r="DS49" s="139"/>
      <c r="DT49" s="139"/>
      <c r="DU49" s="139"/>
      <c r="DV49" s="139"/>
      <c r="DW49" s="139"/>
      <c r="DX49" s="139"/>
      <c r="DY49" s="139"/>
      <c r="DZ49" s="139"/>
      <c r="EA49" s="139"/>
      <c r="EB49" s="139"/>
      <c r="EC49" s="139"/>
      <c r="ED49" s="139"/>
      <c r="EE49" s="139"/>
      <c r="EF49" s="139"/>
      <c r="EG49" s="139"/>
      <c r="EH49" s="139"/>
      <c r="EI49" s="139"/>
      <c r="EJ49" s="139"/>
      <c r="EK49" s="139"/>
      <c r="EL49" s="139"/>
      <c r="EM49" s="85"/>
      <c r="EN49" s="85"/>
      <c r="EO49" s="85"/>
      <c r="EP49" s="85"/>
      <c r="EQ49" s="85"/>
      <c r="ER49" s="85"/>
      <c r="ES49" s="85"/>
      <c r="ET49" s="85"/>
      <c r="EU49" s="85"/>
      <c r="EV49" s="85"/>
      <c r="EW49" s="85"/>
      <c r="EX49" s="85"/>
      <c r="EY49" s="85"/>
      <c r="EZ49" s="85"/>
      <c r="FA49" s="85"/>
      <c r="FB49" s="85"/>
      <c r="FC49" s="139"/>
      <c r="FD49" s="139"/>
      <c r="FE49" s="139"/>
      <c r="FF49" s="139"/>
      <c r="FG49" s="139"/>
      <c r="FH49" s="139"/>
      <c r="FI49" s="139"/>
      <c r="FJ49" s="139"/>
      <c r="FK49" s="139"/>
      <c r="FL49" s="139"/>
      <c r="FM49" s="139"/>
      <c r="FN49" s="139"/>
      <c r="FO49" s="139"/>
      <c r="FP49" s="139"/>
      <c r="FQ49" s="139"/>
      <c r="FR49" s="139"/>
      <c r="FS49" s="85"/>
      <c r="FT49" s="85"/>
      <c r="FU49" s="85"/>
      <c r="FV49" s="85"/>
      <c r="FW49" s="139"/>
      <c r="FX49" s="139"/>
      <c r="FY49" s="139"/>
      <c r="FZ49" s="139"/>
      <c r="GA49" s="139"/>
      <c r="GB49" s="139"/>
      <c r="GC49" s="139"/>
      <c r="GD49" s="139"/>
      <c r="GE49" s="139"/>
      <c r="GF49" s="139"/>
      <c r="GG49" s="139"/>
      <c r="GH49" s="139"/>
      <c r="GI49" s="139"/>
      <c r="GJ49" s="139"/>
      <c r="GK49" s="139"/>
      <c r="GL49" s="139"/>
      <c r="GM49" s="139"/>
      <c r="GN49" s="139"/>
      <c r="GO49" s="139"/>
      <c r="GP49" s="139"/>
      <c r="GQ49" s="139"/>
      <c r="GR49" s="139"/>
      <c r="GS49" s="139"/>
      <c r="GT49" s="139"/>
      <c r="GU49" s="139"/>
      <c r="GV49" s="139"/>
      <c r="GW49" s="139"/>
      <c r="GX49" s="139"/>
      <c r="GY49" s="139"/>
      <c r="GZ49" s="139"/>
      <c r="HA49" s="139"/>
      <c r="HB49" s="139"/>
      <c r="HC49" s="85"/>
      <c r="HD49" s="85"/>
      <c r="HE49" s="139"/>
      <c r="HF49" s="139"/>
      <c r="HG49" s="85"/>
      <c r="HH49" s="85"/>
      <c r="HI49" s="139"/>
      <c r="HJ49" s="139"/>
      <c r="HK49" s="85"/>
      <c r="HL49" s="85"/>
      <c r="HM49" s="85"/>
      <c r="HN49" s="85"/>
      <c r="HO49" s="85"/>
      <c r="HP49" s="85"/>
      <c r="HQ49" s="85"/>
      <c r="HR49" s="85"/>
      <c r="HS49" s="85"/>
      <c r="HT49" s="85"/>
      <c r="HU49" s="85"/>
      <c r="HV49" s="85"/>
      <c r="HW49" s="85"/>
      <c r="HX49" s="85"/>
      <c r="HY49" s="85"/>
      <c r="HZ49" s="85"/>
      <c r="IA49" s="85"/>
      <c r="IB49" s="85"/>
      <c r="IC49" s="85"/>
      <c r="ID49" s="85"/>
      <c r="IE49" s="85"/>
      <c r="IF49" s="85"/>
      <c r="IG49" s="85"/>
      <c r="IH49" s="85"/>
      <c r="II49" s="85"/>
      <c r="IJ49" s="85"/>
      <c r="IK49" s="85"/>
      <c r="IL49" s="85"/>
      <c r="IM49" s="139"/>
      <c r="IN49" s="139"/>
      <c r="IO49" s="139"/>
      <c r="IP49" s="139"/>
      <c r="IQ49" s="139"/>
      <c r="IR49" s="139"/>
      <c r="IS49" s="139"/>
      <c r="IT49" s="139"/>
      <c r="IU49" s="139"/>
      <c r="IV49" s="139"/>
      <c r="IW49" s="139"/>
      <c r="IX49" s="139"/>
      <c r="IY49" s="139"/>
      <c r="IZ49" s="139"/>
      <c r="JA49" s="139"/>
      <c r="JB49" s="139"/>
      <c r="JC49" s="139"/>
      <c r="JD49" s="139"/>
      <c r="JE49" s="139"/>
      <c r="JF49" s="139"/>
      <c r="JG49" s="139"/>
      <c r="JH49" s="139"/>
      <c r="JI49" s="139"/>
      <c r="JJ49" s="139"/>
      <c r="JK49" s="139"/>
      <c r="JL49" s="139"/>
      <c r="JM49" s="85"/>
      <c r="JN49" s="85"/>
      <c r="JO49" s="85"/>
      <c r="JP49" s="85"/>
      <c r="JQ49" s="139"/>
      <c r="JR49" s="139"/>
      <c r="JS49" s="139"/>
      <c r="JT49" s="139"/>
      <c r="JU49" s="85"/>
      <c r="JV49" s="85"/>
      <c r="JW49" s="139"/>
      <c r="JX49" s="139"/>
      <c r="JY49" s="139"/>
      <c r="JZ49" s="139"/>
      <c r="KA49" s="139"/>
      <c r="KB49" s="139"/>
      <c r="KC49" s="139"/>
      <c r="KD49" s="139"/>
      <c r="KE49" s="139"/>
      <c r="KF49" s="139"/>
      <c r="KG49" s="119"/>
      <c r="KH49" s="119"/>
      <c r="KI49" s="139"/>
      <c r="KJ49" s="139"/>
      <c r="KK49" s="139"/>
      <c r="KL49" s="139"/>
      <c r="KM49" s="139"/>
      <c r="KN49" s="139"/>
      <c r="KO49" s="139"/>
      <c r="KP49" s="139"/>
      <c r="KQ49" s="139"/>
      <c r="KR49" s="139"/>
      <c r="KS49" s="139"/>
      <c r="KT49" s="139"/>
      <c r="KU49" s="139"/>
      <c r="KV49" s="139"/>
      <c r="KW49" s="170"/>
      <c r="KX49" s="170"/>
      <c r="KY49" s="139"/>
      <c r="KZ49" s="139"/>
      <c r="LA49" s="139"/>
      <c r="LB49" s="139"/>
      <c r="LD49" s="221"/>
      <c r="LE49" s="221"/>
      <c r="LF49" s="221"/>
      <c r="LG49" s="64"/>
      <c r="LH49" s="64"/>
      <c r="LI49" s="64"/>
      <c r="LJ49" s="64"/>
      <c r="LK49" s="64"/>
      <c r="LL49" s="64"/>
      <c r="LM49" s="64"/>
      <c r="LN49" s="64"/>
      <c r="LO49" s="64"/>
      <c r="LP49" s="64"/>
      <c r="LQ49" s="64"/>
      <c r="LR49" s="64"/>
      <c r="LS49" s="64"/>
      <c r="LT49" s="64"/>
      <c r="LU49" s="64"/>
      <c r="LV49" s="64"/>
      <c r="LW49" s="64"/>
      <c r="LX49" s="64"/>
      <c r="LY49" s="64"/>
      <c r="LZ49" s="64"/>
      <c r="MA49" s="64"/>
      <c r="MB49" s="64"/>
      <c r="MC49" s="64"/>
      <c r="MD49" s="64"/>
      <c r="ME49" s="64"/>
      <c r="MF49" s="64"/>
      <c r="MG49" s="64"/>
      <c r="MH49" s="64"/>
      <c r="MI49" s="64"/>
      <c r="MJ49" s="64"/>
    </row>
    <row r="50" spans="1:348" s="13" customFormat="1" ht="24.9" customHeight="1">
      <c r="A50" s="1"/>
      <c r="B50" s="85"/>
      <c r="C50" s="5"/>
      <c r="D50" s="85"/>
      <c r="E50" s="85"/>
      <c r="F50" s="85"/>
      <c r="G50" s="85"/>
      <c r="H50" s="85"/>
      <c r="I50" s="85"/>
      <c r="J50" s="85"/>
      <c r="K50" s="85"/>
      <c r="L50" s="85"/>
      <c r="M50" s="85"/>
      <c r="N50" s="85"/>
      <c r="O50" s="85"/>
      <c r="P50" s="85"/>
      <c r="Q50" s="85"/>
      <c r="R50" s="85"/>
      <c r="S50" s="85"/>
      <c r="T50" s="85"/>
      <c r="U50" s="85"/>
      <c r="V50" s="85"/>
      <c r="W50" s="85"/>
      <c r="X50" s="85"/>
      <c r="Y50" s="85"/>
      <c r="Z50" s="85"/>
      <c r="AA50" s="85"/>
      <c r="AB50" s="85"/>
      <c r="AC50" s="85"/>
      <c r="AD50" s="85"/>
      <c r="AE50" s="85"/>
      <c r="AF50" s="85"/>
      <c r="AG50" s="85"/>
      <c r="AH50" s="85"/>
      <c r="AI50" s="139"/>
      <c r="AJ50" s="139"/>
      <c r="AK50" s="139"/>
      <c r="AL50" s="139"/>
      <c r="AM50" s="139"/>
      <c r="AN50" s="139"/>
      <c r="AO50" s="139"/>
      <c r="AP50" s="139"/>
      <c r="AQ50" s="139"/>
      <c r="AR50" s="139"/>
      <c r="AS50" s="85"/>
      <c r="AT50" s="85"/>
      <c r="AU50" s="139"/>
      <c r="AV50" s="139"/>
      <c r="AW50" s="139"/>
      <c r="AX50" s="139"/>
      <c r="AY50" s="139"/>
      <c r="AZ50" s="139"/>
      <c r="BA50" s="139"/>
      <c r="BB50" s="139"/>
      <c r="BC50" s="85"/>
      <c r="BD50" s="85"/>
      <c r="BE50" s="139"/>
      <c r="BF50" s="139"/>
      <c r="BG50" s="139"/>
      <c r="BH50" s="139"/>
      <c r="BI50" s="139"/>
      <c r="BJ50" s="139"/>
      <c r="BK50" s="139"/>
      <c r="BL50" s="139"/>
      <c r="BM50" s="139"/>
      <c r="BN50" s="139"/>
      <c r="BO50" s="139"/>
      <c r="BP50" s="139"/>
      <c r="BQ50" s="85"/>
      <c r="BR50" s="139"/>
      <c r="BS50" s="139"/>
      <c r="BT50" s="139"/>
      <c r="BU50" s="139"/>
      <c r="BV50" s="139"/>
      <c r="BW50" s="139"/>
      <c r="BX50" s="85"/>
      <c r="BY50" s="85"/>
      <c r="BZ50" s="139"/>
      <c r="CA50" s="139"/>
      <c r="CB50" s="139"/>
      <c r="CC50" s="139"/>
      <c r="CD50" s="139"/>
      <c r="CE50" s="139"/>
      <c r="CF50" s="139"/>
      <c r="CG50" s="139"/>
      <c r="CH50" s="139"/>
      <c r="CI50" s="139"/>
      <c r="CJ50" s="139"/>
      <c r="CK50" s="139"/>
      <c r="CL50" s="139"/>
      <c r="CM50" s="139"/>
      <c r="CN50" s="85"/>
      <c r="CO50" s="85"/>
      <c r="CP50" s="85"/>
      <c r="CQ50" s="85"/>
      <c r="CR50" s="85"/>
      <c r="CS50" s="85"/>
      <c r="CT50" s="85"/>
      <c r="CU50" s="85"/>
      <c r="CV50" s="85"/>
      <c r="CW50" s="85"/>
      <c r="CX50" s="139"/>
      <c r="CY50" s="139"/>
      <c r="CZ50" s="139"/>
      <c r="DA50" s="139"/>
      <c r="DB50" s="139"/>
      <c r="DC50" s="139"/>
      <c r="DD50" s="139"/>
      <c r="DE50" s="139"/>
      <c r="DF50" s="139"/>
      <c r="DG50" s="139"/>
      <c r="DH50" s="139"/>
      <c r="DI50" s="139"/>
      <c r="DJ50" s="139"/>
      <c r="DK50" s="139"/>
      <c r="DL50" s="139"/>
      <c r="DM50" s="139"/>
      <c r="DN50" s="139"/>
      <c r="DO50" s="139"/>
      <c r="DP50" s="139"/>
      <c r="DQ50" s="139"/>
      <c r="DR50" s="139"/>
      <c r="DS50" s="139"/>
      <c r="DT50" s="139"/>
      <c r="DU50" s="139"/>
      <c r="DV50" s="139"/>
      <c r="DW50" s="139"/>
      <c r="DX50" s="139"/>
      <c r="DY50" s="139"/>
      <c r="DZ50" s="139"/>
      <c r="EA50" s="139"/>
      <c r="EB50" s="139"/>
      <c r="EC50" s="139"/>
      <c r="ED50" s="139"/>
      <c r="EE50" s="139"/>
      <c r="EF50" s="139"/>
      <c r="EG50" s="139"/>
      <c r="EH50" s="139"/>
      <c r="EI50" s="139"/>
      <c r="EJ50" s="139"/>
      <c r="EK50" s="139"/>
      <c r="EL50" s="139"/>
      <c r="EM50" s="85"/>
      <c r="EN50" s="85"/>
      <c r="EO50" s="85"/>
      <c r="EP50" s="85"/>
      <c r="EQ50" s="85"/>
      <c r="ER50" s="85"/>
      <c r="ES50" s="85"/>
      <c r="ET50" s="85"/>
      <c r="EU50" s="85"/>
      <c r="EV50" s="85"/>
      <c r="EW50" s="85"/>
      <c r="EX50" s="85"/>
      <c r="EY50" s="85"/>
      <c r="EZ50" s="85"/>
      <c r="FA50" s="85"/>
      <c r="FB50" s="85"/>
      <c r="FC50" s="139"/>
      <c r="FD50" s="139"/>
      <c r="FE50" s="139"/>
      <c r="FF50" s="139"/>
      <c r="FG50" s="139"/>
      <c r="FH50" s="139"/>
      <c r="FI50" s="139"/>
      <c r="FJ50" s="139"/>
      <c r="FK50" s="139"/>
      <c r="FL50" s="139"/>
      <c r="FM50" s="139"/>
      <c r="FN50" s="139"/>
      <c r="FO50" s="139"/>
      <c r="FP50" s="139"/>
      <c r="FQ50" s="139"/>
      <c r="FR50" s="139"/>
      <c r="FS50" s="85"/>
      <c r="FT50" s="85"/>
      <c r="FU50" s="85"/>
      <c r="FV50" s="85"/>
      <c r="FW50" s="139"/>
      <c r="FX50" s="139"/>
      <c r="FY50" s="139"/>
      <c r="FZ50" s="139"/>
      <c r="GA50" s="139"/>
      <c r="GB50" s="139"/>
      <c r="GC50" s="139"/>
      <c r="GD50" s="139"/>
      <c r="GE50" s="139"/>
      <c r="GF50" s="139"/>
      <c r="GG50" s="139"/>
      <c r="GH50" s="139"/>
      <c r="GI50" s="139"/>
      <c r="GJ50" s="139"/>
      <c r="GK50" s="139"/>
      <c r="GL50" s="139"/>
      <c r="GM50" s="139"/>
      <c r="GN50" s="139"/>
      <c r="GO50" s="139"/>
      <c r="GP50" s="139"/>
      <c r="GQ50" s="139"/>
      <c r="GR50" s="139"/>
      <c r="GS50" s="139"/>
      <c r="GT50" s="139"/>
      <c r="GU50" s="139"/>
      <c r="GV50" s="139"/>
      <c r="GW50" s="139"/>
      <c r="GX50" s="139"/>
      <c r="GY50" s="139"/>
      <c r="GZ50" s="139"/>
      <c r="HA50" s="139"/>
      <c r="HB50" s="139"/>
      <c r="HC50" s="85"/>
      <c r="HD50" s="85"/>
      <c r="HE50" s="139"/>
      <c r="HF50" s="139"/>
      <c r="HG50" s="85"/>
      <c r="HH50" s="85"/>
      <c r="HI50" s="139"/>
      <c r="HJ50" s="139"/>
      <c r="HK50" s="85"/>
      <c r="HL50" s="85"/>
      <c r="HM50" s="85"/>
      <c r="HN50" s="85"/>
      <c r="HO50" s="85"/>
      <c r="HP50" s="85"/>
      <c r="HQ50" s="85"/>
      <c r="HR50" s="85"/>
      <c r="HS50" s="85"/>
      <c r="HT50" s="85"/>
      <c r="HU50" s="85"/>
      <c r="HV50" s="85"/>
      <c r="HW50" s="85"/>
      <c r="HX50" s="85"/>
      <c r="HY50" s="85"/>
      <c r="HZ50" s="85"/>
      <c r="IA50" s="85"/>
      <c r="IB50" s="85"/>
      <c r="IC50" s="85"/>
      <c r="ID50" s="85"/>
      <c r="IE50" s="85"/>
      <c r="IF50" s="85"/>
      <c r="IG50" s="85"/>
      <c r="IH50" s="85"/>
      <c r="II50" s="85"/>
      <c r="IJ50" s="85"/>
      <c r="IK50" s="85"/>
      <c r="IL50" s="85"/>
      <c r="IM50" s="139"/>
      <c r="IN50" s="139"/>
      <c r="IO50" s="139"/>
      <c r="IP50" s="139"/>
      <c r="IQ50" s="139"/>
      <c r="IR50" s="139"/>
      <c r="IS50" s="139"/>
      <c r="IT50" s="139"/>
      <c r="IU50" s="139"/>
      <c r="IV50" s="139"/>
      <c r="IW50" s="139"/>
      <c r="IX50" s="139"/>
      <c r="IY50" s="139"/>
      <c r="IZ50" s="139"/>
      <c r="JA50" s="139"/>
      <c r="JB50" s="139"/>
      <c r="JC50" s="139"/>
      <c r="JD50" s="139"/>
      <c r="JE50" s="139"/>
      <c r="JF50" s="139"/>
      <c r="JG50" s="139"/>
      <c r="JH50" s="139"/>
      <c r="JI50" s="139"/>
      <c r="JJ50" s="139"/>
      <c r="JK50" s="139"/>
      <c r="JL50" s="139"/>
      <c r="JM50" s="85"/>
      <c r="JN50" s="85"/>
      <c r="JO50" s="85"/>
      <c r="JP50" s="85"/>
      <c r="JQ50" s="139"/>
      <c r="JR50" s="139"/>
      <c r="JS50" s="139"/>
      <c r="JT50" s="139"/>
      <c r="JU50" s="85"/>
      <c r="JV50" s="85"/>
      <c r="JW50" s="139"/>
      <c r="JX50" s="139"/>
      <c r="JY50" s="139"/>
      <c r="JZ50" s="139"/>
      <c r="KA50" s="139"/>
      <c r="KB50" s="139"/>
      <c r="KC50" s="139"/>
      <c r="KD50" s="139"/>
      <c r="KE50" s="139"/>
      <c r="KF50" s="139"/>
      <c r="KG50" s="119"/>
      <c r="KH50" s="119"/>
      <c r="KI50" s="139"/>
      <c r="KJ50" s="139"/>
      <c r="KK50" s="139"/>
      <c r="KL50" s="139"/>
      <c r="KM50" s="139"/>
      <c r="KN50" s="139"/>
      <c r="KO50" s="139"/>
      <c r="KP50" s="139"/>
      <c r="KQ50" s="139"/>
      <c r="KR50" s="139"/>
      <c r="KS50" s="139"/>
      <c r="KT50" s="139"/>
      <c r="KU50" s="139"/>
      <c r="KV50" s="139"/>
      <c r="KW50" s="170"/>
      <c r="KX50" s="170"/>
      <c r="KY50" s="139"/>
      <c r="KZ50" s="139"/>
      <c r="LA50" s="139"/>
      <c r="LB50" s="139"/>
      <c r="LD50" s="221"/>
      <c r="LE50" s="221"/>
      <c r="LF50" s="221"/>
      <c r="LG50" s="64"/>
      <c r="LH50" s="64"/>
      <c r="LI50" s="64"/>
      <c r="LJ50" s="64"/>
      <c r="LK50" s="64"/>
      <c r="LL50" s="64"/>
      <c r="LM50" s="64"/>
      <c r="LN50" s="64"/>
      <c r="LO50" s="64"/>
      <c r="LP50" s="64"/>
      <c r="LQ50" s="64"/>
      <c r="LR50" s="64"/>
      <c r="LS50" s="64"/>
      <c r="LT50" s="64"/>
      <c r="LU50" s="64"/>
      <c r="LV50" s="64"/>
      <c r="LW50" s="64"/>
      <c r="LX50" s="64"/>
      <c r="LY50" s="64"/>
      <c r="LZ50" s="64"/>
      <c r="MA50" s="64"/>
      <c r="MB50" s="64"/>
      <c r="MC50" s="64"/>
      <c r="MD50" s="64"/>
      <c r="ME50" s="64"/>
      <c r="MF50" s="64"/>
      <c r="MG50" s="64"/>
      <c r="MH50" s="64"/>
      <c r="MI50" s="64"/>
      <c r="MJ50" s="64"/>
    </row>
    <row r="51" spans="1:348" s="13" customFormat="1" ht="24.9" customHeight="1">
      <c r="A51" s="1"/>
      <c r="B51" s="85"/>
      <c r="C51" s="5"/>
      <c r="D51" s="85"/>
      <c r="E51" s="85"/>
      <c r="F51" s="85"/>
      <c r="G51" s="85"/>
      <c r="H51" s="85"/>
      <c r="I51" s="85"/>
      <c r="J51" s="85"/>
      <c r="K51" s="85"/>
      <c r="L51" s="85"/>
      <c r="M51" s="85"/>
      <c r="N51" s="85"/>
      <c r="O51" s="85"/>
      <c r="P51" s="85"/>
      <c r="Q51" s="85"/>
      <c r="R51" s="85"/>
      <c r="S51" s="85"/>
      <c r="T51" s="85"/>
      <c r="U51" s="85"/>
      <c r="V51" s="85"/>
      <c r="W51" s="85"/>
      <c r="X51" s="85"/>
      <c r="Y51" s="85"/>
      <c r="Z51" s="85"/>
      <c r="AA51" s="85"/>
      <c r="AB51" s="85"/>
      <c r="AC51" s="85"/>
      <c r="AD51" s="85"/>
      <c r="AE51" s="85"/>
      <c r="AF51" s="85"/>
      <c r="AG51" s="85"/>
      <c r="AH51" s="85"/>
      <c r="AI51" s="139"/>
      <c r="AJ51" s="139"/>
      <c r="AK51" s="139"/>
      <c r="AL51" s="139"/>
      <c r="AM51" s="139"/>
      <c r="AN51" s="139"/>
      <c r="AO51" s="139"/>
      <c r="AP51" s="139"/>
      <c r="AQ51" s="139"/>
      <c r="AR51" s="139"/>
      <c r="AS51" s="85"/>
      <c r="AT51" s="85"/>
      <c r="AU51" s="139"/>
      <c r="AV51" s="139"/>
      <c r="AW51" s="139"/>
      <c r="AX51" s="139"/>
      <c r="AY51" s="139"/>
      <c r="AZ51" s="139"/>
      <c r="BA51" s="139"/>
      <c r="BB51" s="139"/>
      <c r="BC51" s="85"/>
      <c r="BD51" s="85"/>
      <c r="BE51" s="139"/>
      <c r="BF51" s="139"/>
      <c r="BG51" s="139"/>
      <c r="BH51" s="139"/>
      <c r="BI51" s="139"/>
      <c r="BJ51" s="139"/>
      <c r="BK51" s="139"/>
      <c r="BL51" s="139"/>
      <c r="BM51" s="139"/>
      <c r="BN51" s="139"/>
      <c r="BO51" s="139"/>
      <c r="BP51" s="139"/>
      <c r="BQ51" s="85"/>
      <c r="BR51" s="139"/>
      <c r="BS51" s="139"/>
      <c r="BT51" s="139"/>
      <c r="BU51" s="139"/>
      <c r="BV51" s="139"/>
      <c r="BW51" s="139"/>
      <c r="BX51" s="85"/>
      <c r="BY51" s="85"/>
      <c r="BZ51" s="139"/>
      <c r="CA51" s="139"/>
      <c r="CB51" s="139"/>
      <c r="CC51" s="139"/>
      <c r="CD51" s="139"/>
      <c r="CE51" s="139"/>
      <c r="CF51" s="139"/>
      <c r="CG51" s="139"/>
      <c r="CH51" s="139"/>
      <c r="CI51" s="139"/>
      <c r="CJ51" s="139"/>
      <c r="CK51" s="139"/>
      <c r="CL51" s="139"/>
      <c r="CM51" s="139"/>
      <c r="CN51" s="85"/>
      <c r="CO51" s="85"/>
      <c r="CP51" s="85"/>
      <c r="CQ51" s="85"/>
      <c r="CR51" s="85"/>
      <c r="CS51" s="85"/>
      <c r="CT51" s="85"/>
      <c r="CU51" s="85"/>
      <c r="CV51" s="85"/>
      <c r="CW51" s="85"/>
      <c r="CX51" s="139"/>
      <c r="CY51" s="139"/>
      <c r="CZ51" s="139"/>
      <c r="DA51" s="139"/>
      <c r="DB51" s="139"/>
      <c r="DC51" s="139"/>
      <c r="DD51" s="139"/>
      <c r="DE51" s="139"/>
      <c r="DF51" s="139"/>
      <c r="DG51" s="139"/>
      <c r="DH51" s="139"/>
      <c r="DI51" s="139"/>
      <c r="DJ51" s="139"/>
      <c r="DK51" s="139"/>
      <c r="DL51" s="139"/>
      <c r="DM51" s="139"/>
      <c r="DN51" s="139"/>
      <c r="DO51" s="139"/>
      <c r="DP51" s="139"/>
      <c r="DQ51" s="139"/>
      <c r="DR51" s="139"/>
      <c r="DS51" s="139"/>
      <c r="DT51" s="139"/>
      <c r="DU51" s="139"/>
      <c r="DV51" s="139"/>
      <c r="DW51" s="139"/>
      <c r="DX51" s="139"/>
      <c r="DY51" s="139"/>
      <c r="DZ51" s="139"/>
      <c r="EA51" s="139"/>
      <c r="EB51" s="139"/>
      <c r="EC51" s="139"/>
      <c r="ED51" s="139"/>
      <c r="EE51" s="139"/>
      <c r="EF51" s="139"/>
      <c r="EG51" s="139"/>
      <c r="EH51" s="139"/>
      <c r="EI51" s="139"/>
      <c r="EJ51" s="139"/>
      <c r="EK51" s="139"/>
      <c r="EL51" s="139"/>
      <c r="EM51" s="85"/>
      <c r="EN51" s="85"/>
      <c r="EO51" s="85"/>
      <c r="EP51" s="85"/>
      <c r="EQ51" s="85"/>
      <c r="ER51" s="85"/>
      <c r="ES51" s="85"/>
      <c r="ET51" s="85"/>
      <c r="EU51" s="85"/>
      <c r="EV51" s="85"/>
      <c r="EW51" s="85"/>
      <c r="EX51" s="85"/>
      <c r="EY51" s="85"/>
      <c r="EZ51" s="85"/>
      <c r="FA51" s="85"/>
      <c r="FB51" s="85"/>
      <c r="FC51" s="139"/>
      <c r="FD51" s="139"/>
      <c r="FE51" s="139"/>
      <c r="FF51" s="139"/>
      <c r="FG51" s="139"/>
      <c r="FH51" s="139"/>
      <c r="FI51" s="139"/>
      <c r="FJ51" s="139"/>
      <c r="FK51" s="139"/>
      <c r="FL51" s="139"/>
      <c r="FM51" s="139"/>
      <c r="FN51" s="139"/>
      <c r="FO51" s="139"/>
      <c r="FP51" s="139"/>
      <c r="FQ51" s="139"/>
      <c r="FR51" s="139"/>
      <c r="FS51" s="85"/>
      <c r="FT51" s="85"/>
      <c r="FU51" s="85"/>
      <c r="FV51" s="85"/>
      <c r="FW51" s="139"/>
      <c r="FX51" s="139"/>
      <c r="FY51" s="139"/>
      <c r="FZ51" s="139"/>
      <c r="GA51" s="139"/>
      <c r="GB51" s="139"/>
      <c r="GC51" s="139"/>
      <c r="GD51" s="139"/>
      <c r="GE51" s="139"/>
      <c r="GF51" s="139"/>
      <c r="GG51" s="139"/>
      <c r="GH51" s="139"/>
      <c r="GI51" s="139"/>
      <c r="GJ51" s="139"/>
      <c r="GK51" s="139"/>
      <c r="GL51" s="139"/>
      <c r="GM51" s="139"/>
      <c r="GN51" s="139"/>
      <c r="GO51" s="139"/>
      <c r="GP51" s="139"/>
      <c r="GQ51" s="139"/>
      <c r="GR51" s="139"/>
      <c r="GS51" s="139"/>
      <c r="GT51" s="139"/>
      <c r="GU51" s="139"/>
      <c r="GV51" s="139"/>
      <c r="GW51" s="139"/>
      <c r="GX51" s="139"/>
      <c r="GY51" s="139"/>
      <c r="GZ51" s="139"/>
      <c r="HA51" s="139"/>
      <c r="HB51" s="139"/>
      <c r="HC51" s="85"/>
      <c r="HD51" s="85"/>
      <c r="HE51" s="139"/>
      <c r="HF51" s="139"/>
      <c r="HG51" s="85"/>
      <c r="HH51" s="85"/>
      <c r="HI51" s="139"/>
      <c r="HJ51" s="139"/>
      <c r="HK51" s="85"/>
      <c r="HL51" s="85"/>
      <c r="HM51" s="85"/>
      <c r="HN51" s="85"/>
      <c r="HO51" s="85"/>
      <c r="HP51" s="85"/>
      <c r="HQ51" s="85"/>
      <c r="HR51" s="85"/>
      <c r="HS51" s="85"/>
      <c r="HT51" s="85"/>
      <c r="HU51" s="85"/>
      <c r="HV51" s="85"/>
      <c r="HW51" s="85"/>
      <c r="HX51" s="85"/>
      <c r="HY51" s="85"/>
      <c r="HZ51" s="85"/>
      <c r="IA51" s="85"/>
      <c r="IB51" s="85"/>
      <c r="IC51" s="85"/>
      <c r="ID51" s="85"/>
      <c r="IE51" s="85"/>
      <c r="IF51" s="85"/>
      <c r="IG51" s="85"/>
      <c r="IH51" s="85"/>
      <c r="II51" s="85"/>
      <c r="IJ51" s="85"/>
      <c r="IK51" s="85"/>
      <c r="IL51" s="85"/>
      <c r="IM51" s="139"/>
      <c r="IN51" s="139"/>
      <c r="IO51" s="139"/>
      <c r="IP51" s="139"/>
      <c r="IQ51" s="139"/>
      <c r="IR51" s="139"/>
      <c r="IS51" s="139"/>
      <c r="IT51" s="139"/>
      <c r="IU51" s="139"/>
      <c r="IV51" s="139"/>
      <c r="IW51" s="139"/>
      <c r="IX51" s="139"/>
      <c r="IY51" s="139"/>
      <c r="IZ51" s="139"/>
      <c r="JA51" s="139"/>
      <c r="JB51" s="139"/>
      <c r="JC51" s="139"/>
      <c r="JD51" s="139"/>
      <c r="JE51" s="139"/>
      <c r="JF51" s="139"/>
      <c r="JG51" s="139"/>
      <c r="JH51" s="139"/>
      <c r="JI51" s="139"/>
      <c r="JJ51" s="139"/>
      <c r="JK51" s="139"/>
      <c r="JL51" s="139"/>
      <c r="JM51" s="85"/>
      <c r="JN51" s="85"/>
      <c r="JO51" s="85"/>
      <c r="JP51" s="85"/>
      <c r="JQ51" s="139"/>
      <c r="JR51" s="139"/>
      <c r="JS51" s="139"/>
      <c r="JT51" s="139"/>
      <c r="JU51" s="85"/>
      <c r="JV51" s="85"/>
      <c r="JW51" s="139"/>
      <c r="JX51" s="139"/>
      <c r="JY51" s="139"/>
      <c r="JZ51" s="139"/>
      <c r="KA51" s="139"/>
      <c r="KB51" s="139"/>
      <c r="KC51" s="139"/>
      <c r="KD51" s="139"/>
      <c r="KE51" s="139"/>
      <c r="KF51" s="139"/>
      <c r="KG51" s="119"/>
      <c r="KH51" s="119"/>
      <c r="KI51" s="139"/>
      <c r="KJ51" s="139"/>
      <c r="KK51" s="139"/>
      <c r="KL51" s="139"/>
      <c r="KM51" s="139"/>
      <c r="KN51" s="139"/>
      <c r="KO51" s="139"/>
      <c r="KP51" s="139"/>
      <c r="KQ51" s="139"/>
      <c r="KR51" s="139"/>
      <c r="KS51" s="139"/>
      <c r="KT51" s="139"/>
      <c r="KU51" s="139"/>
      <c r="KV51" s="139"/>
      <c r="KW51" s="170"/>
      <c r="KX51" s="170"/>
      <c r="KY51" s="139"/>
      <c r="KZ51" s="139"/>
      <c r="LA51" s="139"/>
      <c r="LB51" s="139"/>
      <c r="LD51" s="221"/>
      <c r="LE51" s="221"/>
      <c r="LF51" s="221"/>
      <c r="LG51" s="64"/>
      <c r="LH51" s="64"/>
      <c r="LI51" s="64"/>
      <c r="LJ51" s="64"/>
      <c r="LK51" s="64"/>
      <c r="LL51" s="64"/>
      <c r="LM51" s="64"/>
      <c r="LN51" s="64"/>
      <c r="LO51" s="64"/>
      <c r="LP51" s="64"/>
      <c r="LQ51" s="64"/>
      <c r="LR51" s="64"/>
      <c r="LS51" s="64"/>
      <c r="LT51" s="64"/>
      <c r="LU51" s="64"/>
      <c r="LV51" s="64"/>
      <c r="LW51" s="64"/>
      <c r="LX51" s="64"/>
      <c r="LY51" s="64"/>
      <c r="LZ51" s="64"/>
      <c r="MA51" s="64"/>
      <c r="MB51" s="64"/>
      <c r="MC51" s="64"/>
      <c r="MD51" s="64"/>
      <c r="ME51" s="64"/>
      <c r="MF51" s="64"/>
      <c r="MG51" s="64"/>
      <c r="MH51" s="64"/>
      <c r="MI51" s="64"/>
      <c r="MJ51" s="64"/>
    </row>
    <row r="52" spans="1:348" s="13" customFormat="1" ht="24.9" customHeight="1">
      <c r="A52" s="1"/>
      <c r="B52" s="85"/>
      <c r="C52" s="5"/>
      <c r="D52" s="85"/>
      <c r="E52" s="85"/>
      <c r="F52" s="85"/>
      <c r="G52" s="85"/>
      <c r="H52" s="85"/>
      <c r="I52" s="85"/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85"/>
      <c r="U52" s="85"/>
      <c r="V52" s="85"/>
      <c r="W52" s="85"/>
      <c r="X52" s="85"/>
      <c r="Y52" s="85"/>
      <c r="Z52" s="85"/>
      <c r="AA52" s="85"/>
      <c r="AB52" s="85"/>
      <c r="AC52" s="85"/>
      <c r="AD52" s="85"/>
      <c r="AE52" s="85"/>
      <c r="AF52" s="85"/>
      <c r="AG52" s="85"/>
      <c r="AH52" s="85"/>
      <c r="AI52" s="139"/>
      <c r="AJ52" s="139"/>
      <c r="AK52" s="139"/>
      <c r="AL52" s="139"/>
      <c r="AM52" s="139"/>
      <c r="AN52" s="139"/>
      <c r="AO52" s="139"/>
      <c r="AP52" s="139"/>
      <c r="AQ52" s="139"/>
      <c r="AR52" s="139"/>
      <c r="AS52" s="85"/>
      <c r="AT52" s="85"/>
      <c r="AU52" s="139"/>
      <c r="AV52" s="139"/>
      <c r="AW52" s="139"/>
      <c r="AX52" s="139"/>
      <c r="AY52" s="139"/>
      <c r="AZ52" s="139"/>
      <c r="BA52" s="139"/>
      <c r="BB52" s="139"/>
      <c r="BC52" s="85"/>
      <c r="BD52" s="85"/>
      <c r="BE52" s="139"/>
      <c r="BF52" s="139"/>
      <c r="BG52" s="139"/>
      <c r="BH52" s="139"/>
      <c r="BI52" s="139"/>
      <c r="BJ52" s="139"/>
      <c r="BK52" s="139"/>
      <c r="BL52" s="139"/>
      <c r="BM52" s="139"/>
      <c r="BN52" s="139"/>
      <c r="BO52" s="139"/>
      <c r="BP52" s="139"/>
      <c r="BQ52" s="85"/>
      <c r="BR52" s="139"/>
      <c r="BS52" s="139"/>
      <c r="BT52" s="139"/>
      <c r="BU52" s="139"/>
      <c r="BV52" s="139"/>
      <c r="BW52" s="139"/>
      <c r="BX52" s="85"/>
      <c r="BY52" s="85"/>
      <c r="BZ52" s="139"/>
      <c r="CA52" s="139"/>
      <c r="CB52" s="139"/>
      <c r="CC52" s="139"/>
      <c r="CD52" s="139"/>
      <c r="CE52" s="139"/>
      <c r="CF52" s="139"/>
      <c r="CG52" s="139"/>
      <c r="CH52" s="139"/>
      <c r="CI52" s="139"/>
      <c r="CJ52" s="139"/>
      <c r="CK52" s="139"/>
      <c r="CL52" s="139"/>
      <c r="CM52" s="139"/>
      <c r="CN52" s="85"/>
      <c r="CO52" s="85"/>
      <c r="CP52" s="85"/>
      <c r="CQ52" s="85"/>
      <c r="CR52" s="85"/>
      <c r="CS52" s="85"/>
      <c r="CT52" s="85"/>
      <c r="CU52" s="85"/>
      <c r="CV52" s="85"/>
      <c r="CW52" s="85"/>
      <c r="CX52" s="139"/>
      <c r="CY52" s="139"/>
      <c r="CZ52" s="139"/>
      <c r="DA52" s="139"/>
      <c r="DB52" s="139"/>
      <c r="DC52" s="139"/>
      <c r="DD52" s="139"/>
      <c r="DE52" s="139"/>
      <c r="DF52" s="139"/>
      <c r="DG52" s="139"/>
      <c r="DH52" s="139"/>
      <c r="DI52" s="139"/>
      <c r="DJ52" s="139"/>
      <c r="DK52" s="139"/>
      <c r="DL52" s="139"/>
      <c r="DM52" s="139"/>
      <c r="DN52" s="139"/>
      <c r="DO52" s="139"/>
      <c r="DP52" s="139"/>
      <c r="DQ52" s="139"/>
      <c r="DR52" s="139"/>
      <c r="DS52" s="139"/>
      <c r="DT52" s="139"/>
      <c r="DU52" s="139"/>
      <c r="DV52" s="139"/>
      <c r="DW52" s="139"/>
      <c r="DX52" s="139"/>
      <c r="DY52" s="139"/>
      <c r="DZ52" s="139"/>
      <c r="EA52" s="139"/>
      <c r="EB52" s="139"/>
      <c r="EC52" s="139"/>
      <c r="ED52" s="139"/>
      <c r="EE52" s="139"/>
      <c r="EF52" s="139"/>
      <c r="EG52" s="139"/>
      <c r="EH52" s="139"/>
      <c r="EI52" s="139"/>
      <c r="EJ52" s="139"/>
      <c r="EK52" s="139"/>
      <c r="EL52" s="139"/>
      <c r="EM52" s="85"/>
      <c r="EN52" s="85"/>
      <c r="EO52" s="85"/>
      <c r="EP52" s="85"/>
      <c r="EQ52" s="85"/>
      <c r="ER52" s="85"/>
      <c r="ES52" s="85"/>
      <c r="ET52" s="85"/>
      <c r="EU52" s="85"/>
      <c r="EV52" s="85"/>
      <c r="EW52" s="85"/>
      <c r="EX52" s="85"/>
      <c r="EY52" s="85"/>
      <c r="EZ52" s="85"/>
      <c r="FA52" s="85"/>
      <c r="FB52" s="85"/>
      <c r="FC52" s="139"/>
      <c r="FD52" s="139"/>
      <c r="FE52" s="139"/>
      <c r="FF52" s="139"/>
      <c r="FG52" s="139"/>
      <c r="FH52" s="139"/>
      <c r="FI52" s="139"/>
      <c r="FJ52" s="139"/>
      <c r="FK52" s="139"/>
      <c r="FL52" s="139"/>
      <c r="FM52" s="139"/>
      <c r="FN52" s="139"/>
      <c r="FO52" s="139"/>
      <c r="FP52" s="139"/>
      <c r="FQ52" s="139"/>
      <c r="FR52" s="139"/>
      <c r="FS52" s="85"/>
      <c r="FT52" s="85"/>
      <c r="FU52" s="85"/>
      <c r="FV52" s="85"/>
      <c r="FW52" s="139"/>
      <c r="FX52" s="139"/>
      <c r="FY52" s="139"/>
      <c r="FZ52" s="139"/>
      <c r="GA52" s="139"/>
      <c r="GB52" s="139"/>
      <c r="GC52" s="139"/>
      <c r="GD52" s="139"/>
      <c r="GE52" s="139"/>
      <c r="GF52" s="139"/>
      <c r="GG52" s="139"/>
      <c r="GH52" s="139"/>
      <c r="GI52" s="139"/>
      <c r="GJ52" s="139"/>
      <c r="GK52" s="139"/>
      <c r="GL52" s="139"/>
      <c r="GM52" s="139"/>
      <c r="GN52" s="139"/>
      <c r="GO52" s="139"/>
      <c r="GP52" s="139"/>
      <c r="GQ52" s="139"/>
      <c r="GR52" s="139"/>
      <c r="GS52" s="139"/>
      <c r="GT52" s="139"/>
      <c r="GU52" s="139"/>
      <c r="GV52" s="139"/>
      <c r="GW52" s="139"/>
      <c r="GX52" s="139"/>
      <c r="GY52" s="139"/>
      <c r="GZ52" s="139"/>
      <c r="HA52" s="139"/>
      <c r="HB52" s="139"/>
      <c r="HC52" s="85"/>
      <c r="HD52" s="85"/>
      <c r="HE52" s="139"/>
      <c r="HF52" s="139"/>
      <c r="HG52" s="85"/>
      <c r="HH52" s="85"/>
      <c r="HI52" s="139"/>
      <c r="HJ52" s="139"/>
      <c r="HK52" s="85"/>
      <c r="HL52" s="85"/>
      <c r="HM52" s="85"/>
      <c r="HN52" s="85"/>
      <c r="HO52" s="85"/>
      <c r="HP52" s="85"/>
      <c r="HQ52" s="85"/>
      <c r="HR52" s="85"/>
      <c r="HS52" s="85"/>
      <c r="HT52" s="85"/>
      <c r="HU52" s="85"/>
      <c r="HV52" s="85"/>
      <c r="HW52" s="85"/>
      <c r="HX52" s="85"/>
      <c r="HY52" s="85"/>
      <c r="HZ52" s="85"/>
      <c r="IA52" s="85"/>
      <c r="IB52" s="85"/>
      <c r="IC52" s="85"/>
      <c r="ID52" s="85"/>
      <c r="IE52" s="85"/>
      <c r="IF52" s="85"/>
      <c r="IG52" s="85"/>
      <c r="IH52" s="85"/>
      <c r="II52" s="85"/>
      <c r="IJ52" s="85"/>
      <c r="IK52" s="85"/>
      <c r="IL52" s="85"/>
      <c r="IM52" s="139"/>
      <c r="IN52" s="139"/>
      <c r="IO52" s="139"/>
      <c r="IP52" s="139"/>
      <c r="IQ52" s="139"/>
      <c r="IR52" s="139"/>
      <c r="IS52" s="139"/>
      <c r="IT52" s="139"/>
      <c r="IU52" s="139"/>
      <c r="IV52" s="139"/>
      <c r="IW52" s="139"/>
      <c r="IX52" s="139"/>
      <c r="IY52" s="139"/>
      <c r="IZ52" s="139"/>
      <c r="JA52" s="139"/>
      <c r="JB52" s="139"/>
      <c r="JC52" s="139"/>
      <c r="JD52" s="139"/>
      <c r="JE52" s="139"/>
      <c r="JF52" s="139"/>
      <c r="JG52" s="139"/>
      <c r="JH52" s="139"/>
      <c r="JI52" s="139"/>
      <c r="JJ52" s="139"/>
      <c r="JK52" s="139"/>
      <c r="JL52" s="139"/>
      <c r="JM52" s="85"/>
      <c r="JN52" s="85"/>
      <c r="JO52" s="85"/>
      <c r="JP52" s="85"/>
      <c r="JQ52" s="139"/>
      <c r="JR52" s="139"/>
      <c r="JS52" s="139"/>
      <c r="JT52" s="139"/>
      <c r="JU52" s="85"/>
      <c r="JV52" s="85"/>
      <c r="JW52" s="139"/>
      <c r="JX52" s="139"/>
      <c r="JY52" s="139"/>
      <c r="JZ52" s="139"/>
      <c r="KA52" s="139"/>
      <c r="KB52" s="139"/>
      <c r="KC52" s="139"/>
      <c r="KD52" s="139"/>
      <c r="KE52" s="139"/>
      <c r="KF52" s="139"/>
      <c r="KG52" s="119"/>
      <c r="KH52" s="119"/>
      <c r="KI52" s="139"/>
      <c r="KJ52" s="139"/>
      <c r="KK52" s="139"/>
      <c r="KL52" s="139"/>
      <c r="KM52" s="139"/>
      <c r="KN52" s="139"/>
      <c r="KO52" s="139"/>
      <c r="KP52" s="139"/>
      <c r="KQ52" s="139"/>
      <c r="KR52" s="139"/>
      <c r="KS52" s="139"/>
      <c r="KT52" s="139"/>
      <c r="KU52" s="139"/>
      <c r="KV52" s="139"/>
      <c r="KW52" s="170"/>
      <c r="KX52" s="170"/>
      <c r="KY52" s="139"/>
      <c r="KZ52" s="139"/>
      <c r="LA52" s="139"/>
      <c r="LB52" s="139"/>
      <c r="LD52" s="221"/>
      <c r="LE52" s="221"/>
      <c r="LF52" s="221"/>
      <c r="LG52" s="64"/>
      <c r="LH52" s="64"/>
      <c r="LI52" s="64"/>
      <c r="LJ52" s="64"/>
      <c r="LK52" s="64"/>
      <c r="LL52" s="64"/>
      <c r="LM52" s="64"/>
      <c r="LN52" s="64"/>
      <c r="LO52" s="64"/>
      <c r="LP52" s="64"/>
      <c r="LQ52" s="64"/>
      <c r="LR52" s="64"/>
      <c r="LS52" s="64"/>
      <c r="LT52" s="64"/>
      <c r="LU52" s="64"/>
      <c r="LV52" s="64"/>
      <c r="LW52" s="64"/>
      <c r="LX52" s="64"/>
      <c r="LY52" s="64"/>
      <c r="LZ52" s="64"/>
      <c r="MA52" s="64"/>
      <c r="MB52" s="64"/>
      <c r="MC52" s="64"/>
      <c r="MD52" s="64"/>
      <c r="ME52" s="64"/>
      <c r="MF52" s="64"/>
      <c r="MG52" s="64"/>
      <c r="MH52" s="64"/>
      <c r="MI52" s="64"/>
      <c r="MJ52" s="64"/>
    </row>
    <row r="53" spans="1:348" s="13" customFormat="1" ht="24.9" customHeight="1">
      <c r="A53" s="1"/>
      <c r="B53" s="85"/>
      <c r="C53" s="5"/>
      <c r="D53" s="85"/>
      <c r="E53" s="85"/>
      <c r="F53" s="85"/>
      <c r="G53" s="85"/>
      <c r="H53" s="85"/>
      <c r="I53" s="85"/>
      <c r="J53" s="85"/>
      <c r="K53" s="85"/>
      <c r="L53" s="85"/>
      <c r="M53" s="85"/>
      <c r="N53" s="85"/>
      <c r="O53" s="85"/>
      <c r="P53" s="85"/>
      <c r="Q53" s="85"/>
      <c r="R53" s="85"/>
      <c r="S53" s="85"/>
      <c r="T53" s="85"/>
      <c r="U53" s="85"/>
      <c r="V53" s="85"/>
      <c r="W53" s="85"/>
      <c r="X53" s="85"/>
      <c r="Y53" s="85"/>
      <c r="Z53" s="85"/>
      <c r="AA53" s="85"/>
      <c r="AB53" s="85"/>
      <c r="AC53" s="85"/>
      <c r="AD53" s="85"/>
      <c r="AE53" s="85"/>
      <c r="AF53" s="85"/>
      <c r="AG53" s="85"/>
      <c r="AH53" s="85"/>
      <c r="AI53" s="139"/>
      <c r="AJ53" s="139"/>
      <c r="AK53" s="139"/>
      <c r="AL53" s="139"/>
      <c r="AM53" s="139"/>
      <c r="AN53" s="139"/>
      <c r="AO53" s="139"/>
      <c r="AP53" s="139"/>
      <c r="AQ53" s="139"/>
      <c r="AR53" s="139"/>
      <c r="AS53" s="85"/>
      <c r="AT53" s="85"/>
      <c r="AU53" s="139"/>
      <c r="AV53" s="139"/>
      <c r="AW53" s="139"/>
      <c r="AX53" s="139"/>
      <c r="AY53" s="139"/>
      <c r="AZ53" s="139"/>
      <c r="BA53" s="139"/>
      <c r="BB53" s="139"/>
      <c r="BC53" s="85"/>
      <c r="BD53" s="85"/>
      <c r="BE53" s="139"/>
      <c r="BF53" s="139"/>
      <c r="BG53" s="139"/>
      <c r="BH53" s="139"/>
      <c r="BI53" s="139"/>
      <c r="BJ53" s="139"/>
      <c r="BK53" s="139"/>
      <c r="BL53" s="139"/>
      <c r="BM53" s="139"/>
      <c r="BN53" s="139"/>
      <c r="BO53" s="139"/>
      <c r="BP53" s="139"/>
      <c r="BQ53" s="85"/>
      <c r="BR53" s="139"/>
      <c r="BS53" s="139"/>
      <c r="BT53" s="139"/>
      <c r="BU53" s="139"/>
      <c r="BV53" s="139"/>
      <c r="BW53" s="139"/>
      <c r="BX53" s="85"/>
      <c r="BY53" s="85"/>
      <c r="BZ53" s="139"/>
      <c r="CA53" s="139"/>
      <c r="CB53" s="139"/>
      <c r="CC53" s="139"/>
      <c r="CD53" s="139"/>
      <c r="CE53" s="139"/>
      <c r="CF53" s="139"/>
      <c r="CG53" s="139"/>
      <c r="CH53" s="139"/>
      <c r="CI53" s="139"/>
      <c r="CJ53" s="139"/>
      <c r="CK53" s="139"/>
      <c r="CL53" s="139"/>
      <c r="CM53" s="139"/>
      <c r="CN53" s="85"/>
      <c r="CO53" s="85"/>
      <c r="CP53" s="85"/>
      <c r="CQ53" s="85"/>
      <c r="CR53" s="85"/>
      <c r="CS53" s="85"/>
      <c r="CT53" s="85"/>
      <c r="CU53" s="85"/>
      <c r="CV53" s="85"/>
      <c r="CW53" s="85"/>
      <c r="CX53" s="139"/>
      <c r="CY53" s="139"/>
      <c r="CZ53" s="139"/>
      <c r="DA53" s="139"/>
      <c r="DB53" s="139"/>
      <c r="DC53" s="139"/>
      <c r="DD53" s="139"/>
      <c r="DE53" s="139"/>
      <c r="DF53" s="139"/>
      <c r="DG53" s="139"/>
      <c r="DH53" s="139"/>
      <c r="DI53" s="139"/>
      <c r="DJ53" s="139"/>
      <c r="DK53" s="139"/>
      <c r="DL53" s="139"/>
      <c r="DM53" s="139"/>
      <c r="DN53" s="139"/>
      <c r="DO53" s="139"/>
      <c r="DP53" s="139"/>
      <c r="DQ53" s="139"/>
      <c r="DR53" s="139"/>
      <c r="DS53" s="139"/>
      <c r="DT53" s="139"/>
      <c r="DU53" s="139"/>
      <c r="DV53" s="139"/>
      <c r="DW53" s="139"/>
      <c r="DX53" s="139"/>
      <c r="DY53" s="139"/>
      <c r="DZ53" s="139"/>
      <c r="EA53" s="139"/>
      <c r="EB53" s="139"/>
      <c r="EC53" s="139"/>
      <c r="ED53" s="139"/>
      <c r="EE53" s="139"/>
      <c r="EF53" s="139"/>
      <c r="EG53" s="139"/>
      <c r="EH53" s="139"/>
      <c r="EI53" s="139"/>
      <c r="EJ53" s="139"/>
      <c r="EK53" s="139"/>
      <c r="EL53" s="139"/>
      <c r="EM53" s="85"/>
      <c r="EN53" s="85"/>
      <c r="EO53" s="85"/>
      <c r="EP53" s="85"/>
      <c r="EQ53" s="85"/>
      <c r="ER53" s="85"/>
      <c r="ES53" s="85"/>
      <c r="ET53" s="85"/>
      <c r="EU53" s="85"/>
      <c r="EV53" s="85"/>
      <c r="EW53" s="85"/>
      <c r="EX53" s="85"/>
      <c r="EY53" s="85"/>
      <c r="EZ53" s="85"/>
      <c r="FA53" s="85"/>
      <c r="FB53" s="85"/>
      <c r="FC53" s="139"/>
      <c r="FD53" s="139"/>
      <c r="FE53" s="139"/>
      <c r="FF53" s="139"/>
      <c r="FG53" s="139"/>
      <c r="FH53" s="139"/>
      <c r="FI53" s="139"/>
      <c r="FJ53" s="139"/>
      <c r="FK53" s="139"/>
      <c r="FL53" s="139"/>
      <c r="FM53" s="139"/>
      <c r="FN53" s="139"/>
      <c r="FO53" s="139"/>
      <c r="FP53" s="139"/>
      <c r="FQ53" s="139"/>
      <c r="FR53" s="139"/>
      <c r="FS53" s="85"/>
      <c r="FT53" s="85"/>
      <c r="FU53" s="85"/>
      <c r="FV53" s="85"/>
      <c r="FW53" s="139"/>
      <c r="FX53" s="139"/>
      <c r="FY53" s="139"/>
      <c r="FZ53" s="139"/>
      <c r="GA53" s="139"/>
      <c r="GB53" s="139"/>
      <c r="GC53" s="139"/>
      <c r="GD53" s="139"/>
      <c r="GE53" s="139"/>
      <c r="GF53" s="139"/>
      <c r="GG53" s="139"/>
      <c r="GH53" s="139"/>
      <c r="GI53" s="139"/>
      <c r="GJ53" s="139"/>
      <c r="GK53" s="139"/>
      <c r="GL53" s="139"/>
      <c r="GM53" s="139"/>
      <c r="GN53" s="139"/>
      <c r="GO53" s="139"/>
      <c r="GP53" s="139"/>
      <c r="GQ53" s="139"/>
      <c r="GR53" s="139"/>
      <c r="GS53" s="139"/>
      <c r="GT53" s="139"/>
      <c r="GU53" s="139"/>
      <c r="GV53" s="139"/>
      <c r="GW53" s="139"/>
      <c r="GX53" s="139"/>
      <c r="GY53" s="139"/>
      <c r="GZ53" s="139"/>
      <c r="HA53" s="139"/>
      <c r="HB53" s="139"/>
      <c r="HC53" s="85"/>
      <c r="HD53" s="85"/>
      <c r="HE53" s="139"/>
      <c r="HF53" s="139"/>
      <c r="HG53" s="85"/>
      <c r="HH53" s="85"/>
      <c r="HI53" s="139"/>
      <c r="HJ53" s="139"/>
      <c r="HK53" s="85"/>
      <c r="HL53" s="85"/>
      <c r="HM53" s="85"/>
      <c r="HN53" s="85"/>
      <c r="HO53" s="85"/>
      <c r="HP53" s="85"/>
      <c r="HQ53" s="85"/>
      <c r="HR53" s="85"/>
      <c r="HS53" s="85"/>
      <c r="HT53" s="85"/>
      <c r="HU53" s="85"/>
      <c r="HV53" s="85"/>
      <c r="HW53" s="85"/>
      <c r="HX53" s="85"/>
      <c r="HY53" s="85"/>
      <c r="HZ53" s="85"/>
      <c r="IA53" s="85"/>
      <c r="IB53" s="85"/>
      <c r="IC53" s="85"/>
      <c r="ID53" s="85"/>
      <c r="IE53" s="85"/>
      <c r="IF53" s="85"/>
      <c r="IG53" s="85"/>
      <c r="IH53" s="85"/>
      <c r="II53" s="85"/>
      <c r="IJ53" s="85"/>
      <c r="IK53" s="85"/>
      <c r="IL53" s="85"/>
      <c r="IM53" s="139"/>
      <c r="IN53" s="139"/>
      <c r="IO53" s="139"/>
      <c r="IP53" s="139"/>
      <c r="IQ53" s="139"/>
      <c r="IR53" s="139"/>
      <c r="IS53" s="139"/>
      <c r="IT53" s="139"/>
      <c r="IU53" s="139"/>
      <c r="IV53" s="139"/>
      <c r="IW53" s="139"/>
      <c r="IX53" s="139"/>
      <c r="IY53" s="139"/>
      <c r="IZ53" s="139"/>
      <c r="JA53" s="139"/>
      <c r="JB53" s="139"/>
      <c r="JC53" s="139"/>
      <c r="JD53" s="139"/>
      <c r="JE53" s="139"/>
      <c r="JF53" s="139"/>
      <c r="JG53" s="139"/>
      <c r="JH53" s="139"/>
      <c r="JI53" s="139"/>
      <c r="JJ53" s="139"/>
      <c r="JK53" s="139"/>
      <c r="JL53" s="139"/>
      <c r="JM53" s="85"/>
      <c r="JN53" s="85"/>
      <c r="JO53" s="85"/>
      <c r="JP53" s="85"/>
      <c r="JQ53" s="139"/>
      <c r="JR53" s="139"/>
      <c r="JS53" s="139"/>
      <c r="JT53" s="139"/>
      <c r="JU53" s="85"/>
      <c r="JV53" s="85"/>
      <c r="JW53" s="139"/>
      <c r="JX53" s="139"/>
      <c r="JY53" s="139"/>
      <c r="JZ53" s="139"/>
      <c r="KA53" s="139"/>
      <c r="KB53" s="139"/>
      <c r="KC53" s="139"/>
      <c r="KD53" s="139"/>
      <c r="KE53" s="139"/>
      <c r="KF53" s="139"/>
      <c r="KG53" s="119"/>
      <c r="KH53" s="119"/>
      <c r="KI53" s="139"/>
      <c r="KJ53" s="139"/>
      <c r="KK53" s="139"/>
      <c r="KL53" s="139"/>
      <c r="KM53" s="139"/>
      <c r="KN53" s="139"/>
      <c r="KO53" s="139"/>
      <c r="KP53" s="139"/>
      <c r="KQ53" s="139"/>
      <c r="KR53" s="139"/>
      <c r="KS53" s="139"/>
      <c r="KT53" s="139"/>
      <c r="KU53" s="139"/>
      <c r="KV53" s="139"/>
      <c r="KW53" s="170"/>
      <c r="KX53" s="170"/>
      <c r="KY53" s="139"/>
      <c r="KZ53" s="139"/>
      <c r="LA53" s="139"/>
      <c r="LB53" s="139"/>
      <c r="LD53" s="221"/>
      <c r="LE53" s="221"/>
      <c r="LF53" s="221"/>
      <c r="LG53" s="64"/>
      <c r="LH53" s="64"/>
      <c r="LI53" s="64"/>
      <c r="LJ53" s="64"/>
      <c r="LK53" s="64"/>
      <c r="LL53" s="64"/>
      <c r="LM53" s="64"/>
      <c r="LN53" s="64"/>
      <c r="LO53" s="64"/>
      <c r="LP53" s="64"/>
      <c r="LQ53" s="64"/>
      <c r="LR53" s="64"/>
      <c r="LS53" s="64"/>
      <c r="LT53" s="64"/>
      <c r="LU53" s="64"/>
      <c r="LV53" s="64"/>
      <c r="LW53" s="64"/>
      <c r="LX53" s="64"/>
      <c r="LY53" s="64"/>
      <c r="LZ53" s="64"/>
      <c r="MA53" s="64"/>
      <c r="MB53" s="64"/>
      <c r="MC53" s="64"/>
      <c r="MD53" s="64"/>
      <c r="ME53" s="64"/>
      <c r="MF53" s="64"/>
      <c r="MG53" s="64"/>
      <c r="MH53" s="64"/>
      <c r="MI53" s="64"/>
      <c r="MJ53" s="64"/>
    </row>
    <row r="54" spans="1:348" s="13" customFormat="1" ht="24.9" customHeight="1">
      <c r="A54" s="1"/>
      <c r="B54" s="85"/>
      <c r="C54" s="5"/>
      <c r="D54" s="85"/>
      <c r="E54" s="85"/>
      <c r="F54" s="85"/>
      <c r="G54" s="85"/>
      <c r="H54" s="85"/>
      <c r="I54" s="85"/>
      <c r="J54" s="85"/>
      <c r="K54" s="85"/>
      <c r="L54" s="85"/>
      <c r="M54" s="85"/>
      <c r="N54" s="85"/>
      <c r="O54" s="85"/>
      <c r="P54" s="85"/>
      <c r="Q54" s="85"/>
      <c r="R54" s="85"/>
      <c r="S54" s="85"/>
      <c r="T54" s="85"/>
      <c r="U54" s="85"/>
      <c r="V54" s="85"/>
      <c r="W54" s="85"/>
      <c r="X54" s="85"/>
      <c r="Y54" s="85"/>
      <c r="Z54" s="85"/>
      <c r="AA54" s="85"/>
      <c r="AB54" s="85"/>
      <c r="AC54" s="85"/>
      <c r="AD54" s="85"/>
      <c r="AE54" s="85"/>
      <c r="AF54" s="85"/>
      <c r="AG54" s="85"/>
      <c r="AH54" s="85"/>
      <c r="AI54" s="139"/>
      <c r="AJ54" s="139"/>
      <c r="AK54" s="139"/>
      <c r="AL54" s="139"/>
      <c r="AM54" s="139"/>
      <c r="AN54" s="139"/>
      <c r="AO54" s="139"/>
      <c r="AP54" s="139"/>
      <c r="AQ54" s="139"/>
      <c r="AR54" s="139"/>
      <c r="AS54" s="85"/>
      <c r="AT54" s="85"/>
      <c r="AU54" s="139"/>
      <c r="AV54" s="139"/>
      <c r="AW54" s="139"/>
      <c r="AX54" s="139"/>
      <c r="AY54" s="139"/>
      <c r="AZ54" s="139"/>
      <c r="BA54" s="139"/>
      <c r="BB54" s="139"/>
      <c r="BC54" s="85"/>
      <c r="BD54" s="85"/>
      <c r="BE54" s="139"/>
      <c r="BF54" s="139"/>
      <c r="BG54" s="139"/>
      <c r="BH54" s="139"/>
      <c r="BI54" s="139"/>
      <c r="BJ54" s="139"/>
      <c r="BK54" s="139"/>
      <c r="BL54" s="139"/>
      <c r="BM54" s="139"/>
      <c r="BN54" s="139"/>
      <c r="BO54" s="139"/>
      <c r="BP54" s="139"/>
      <c r="BQ54" s="85"/>
      <c r="BR54" s="139"/>
      <c r="BS54" s="139"/>
      <c r="BT54" s="139"/>
      <c r="BU54" s="139"/>
      <c r="BV54" s="139"/>
      <c r="BW54" s="139"/>
      <c r="BX54" s="85"/>
      <c r="BY54" s="85"/>
      <c r="BZ54" s="139"/>
      <c r="CA54" s="139"/>
      <c r="CB54" s="139"/>
      <c r="CC54" s="139"/>
      <c r="CD54" s="139"/>
      <c r="CE54" s="139"/>
      <c r="CF54" s="139"/>
      <c r="CG54" s="139"/>
      <c r="CH54" s="139"/>
      <c r="CI54" s="139"/>
      <c r="CJ54" s="139"/>
      <c r="CK54" s="139"/>
      <c r="CL54" s="139"/>
      <c r="CM54" s="139"/>
      <c r="CN54" s="85"/>
      <c r="CO54" s="85"/>
      <c r="CP54" s="85"/>
      <c r="CQ54" s="85"/>
      <c r="CR54" s="85"/>
      <c r="CS54" s="85"/>
      <c r="CT54" s="85"/>
      <c r="CU54" s="85"/>
      <c r="CV54" s="85"/>
      <c r="CW54" s="85"/>
      <c r="CX54" s="139"/>
      <c r="CY54" s="139"/>
      <c r="CZ54" s="139"/>
      <c r="DA54" s="139"/>
      <c r="DB54" s="139"/>
      <c r="DC54" s="139"/>
      <c r="DD54" s="139"/>
      <c r="DE54" s="139"/>
      <c r="DF54" s="139"/>
      <c r="DG54" s="139"/>
      <c r="DH54" s="139"/>
      <c r="DI54" s="139"/>
      <c r="DJ54" s="139"/>
      <c r="DK54" s="139"/>
      <c r="DL54" s="139"/>
      <c r="DM54" s="139"/>
      <c r="DN54" s="139"/>
      <c r="DO54" s="139"/>
      <c r="DP54" s="139"/>
      <c r="DQ54" s="139"/>
      <c r="DR54" s="139"/>
      <c r="DS54" s="139"/>
      <c r="DT54" s="139"/>
      <c r="DU54" s="139"/>
      <c r="DV54" s="139"/>
      <c r="DW54" s="139"/>
      <c r="DX54" s="139"/>
      <c r="DY54" s="139"/>
      <c r="DZ54" s="139"/>
      <c r="EA54" s="139"/>
      <c r="EB54" s="139"/>
      <c r="EC54" s="139"/>
      <c r="ED54" s="139"/>
      <c r="EE54" s="139"/>
      <c r="EF54" s="139"/>
      <c r="EG54" s="139"/>
      <c r="EH54" s="139"/>
      <c r="EI54" s="139"/>
      <c r="EJ54" s="139"/>
      <c r="EK54" s="139"/>
      <c r="EL54" s="139"/>
      <c r="EM54" s="85"/>
      <c r="EN54" s="85"/>
      <c r="EO54" s="85"/>
      <c r="EP54" s="85"/>
      <c r="EQ54" s="85"/>
      <c r="ER54" s="85"/>
      <c r="ES54" s="85"/>
      <c r="ET54" s="85"/>
      <c r="EU54" s="85"/>
      <c r="EV54" s="85"/>
      <c r="EW54" s="85"/>
      <c r="EX54" s="85"/>
      <c r="EY54" s="85"/>
      <c r="EZ54" s="85"/>
      <c r="FA54" s="85"/>
      <c r="FB54" s="85"/>
      <c r="FC54" s="139"/>
      <c r="FD54" s="139"/>
      <c r="FE54" s="139"/>
      <c r="FF54" s="139"/>
      <c r="FG54" s="139"/>
      <c r="FH54" s="139"/>
      <c r="FI54" s="139"/>
      <c r="FJ54" s="139"/>
      <c r="FK54" s="139"/>
      <c r="FL54" s="139"/>
      <c r="FM54" s="139"/>
      <c r="FN54" s="139"/>
      <c r="FO54" s="139"/>
      <c r="FP54" s="139"/>
      <c r="FQ54" s="139"/>
      <c r="FR54" s="139"/>
      <c r="FS54" s="85"/>
      <c r="FT54" s="85"/>
      <c r="FU54" s="85"/>
      <c r="FV54" s="85"/>
      <c r="FW54" s="139"/>
      <c r="FX54" s="139"/>
      <c r="FY54" s="139"/>
      <c r="FZ54" s="139"/>
      <c r="GA54" s="139"/>
      <c r="GB54" s="139"/>
      <c r="GC54" s="139"/>
      <c r="GD54" s="139"/>
      <c r="GE54" s="139"/>
      <c r="GF54" s="139"/>
      <c r="GG54" s="139"/>
      <c r="GH54" s="139"/>
      <c r="GI54" s="139"/>
      <c r="GJ54" s="139"/>
      <c r="GK54" s="139"/>
      <c r="GL54" s="139"/>
      <c r="GM54" s="139"/>
      <c r="GN54" s="139"/>
      <c r="GO54" s="139"/>
      <c r="GP54" s="139"/>
      <c r="GQ54" s="139"/>
      <c r="GR54" s="139"/>
      <c r="GS54" s="139"/>
      <c r="GT54" s="139"/>
      <c r="GU54" s="139"/>
      <c r="GV54" s="139"/>
      <c r="GW54" s="139"/>
      <c r="GX54" s="139"/>
      <c r="GY54" s="139"/>
      <c r="GZ54" s="139"/>
      <c r="HA54" s="139"/>
      <c r="HB54" s="139"/>
      <c r="HC54" s="85"/>
      <c r="HD54" s="85"/>
      <c r="HE54" s="139"/>
      <c r="HF54" s="139"/>
      <c r="HG54" s="85"/>
      <c r="HH54" s="85"/>
      <c r="HI54" s="139"/>
      <c r="HJ54" s="139"/>
      <c r="HK54" s="85"/>
      <c r="HL54" s="85"/>
      <c r="HM54" s="85"/>
      <c r="HN54" s="85"/>
      <c r="HO54" s="85"/>
      <c r="HP54" s="85"/>
      <c r="HQ54" s="85"/>
      <c r="HR54" s="85"/>
      <c r="HS54" s="85"/>
      <c r="HT54" s="85"/>
      <c r="HU54" s="85"/>
      <c r="HV54" s="85"/>
      <c r="HW54" s="85"/>
      <c r="HX54" s="85"/>
      <c r="HY54" s="85"/>
      <c r="HZ54" s="85"/>
      <c r="IA54" s="85"/>
      <c r="IB54" s="85"/>
      <c r="IC54" s="85"/>
      <c r="ID54" s="85"/>
      <c r="IE54" s="85"/>
      <c r="IF54" s="85"/>
      <c r="IG54" s="85"/>
      <c r="IH54" s="85"/>
      <c r="II54" s="85"/>
      <c r="IJ54" s="85"/>
      <c r="IK54" s="85"/>
      <c r="IL54" s="85"/>
      <c r="IM54" s="139"/>
      <c r="IN54" s="139"/>
      <c r="IO54" s="139"/>
      <c r="IP54" s="139"/>
      <c r="IQ54" s="139"/>
      <c r="IR54" s="139"/>
      <c r="IS54" s="139"/>
      <c r="IT54" s="139"/>
      <c r="IU54" s="139"/>
      <c r="IV54" s="139"/>
      <c r="IW54" s="139"/>
      <c r="IX54" s="139"/>
      <c r="IY54" s="139"/>
      <c r="IZ54" s="139"/>
      <c r="JA54" s="139"/>
      <c r="JB54" s="139"/>
      <c r="JC54" s="139"/>
      <c r="JD54" s="139"/>
      <c r="JE54" s="139"/>
      <c r="JF54" s="139"/>
      <c r="JG54" s="139"/>
      <c r="JH54" s="139"/>
      <c r="JI54" s="139"/>
      <c r="JJ54" s="139"/>
      <c r="JK54" s="139"/>
      <c r="JL54" s="139"/>
      <c r="JM54" s="85"/>
      <c r="JN54" s="85"/>
      <c r="JO54" s="85"/>
      <c r="JP54" s="85"/>
      <c r="JQ54" s="139"/>
      <c r="JR54" s="139"/>
      <c r="JS54" s="139"/>
      <c r="JT54" s="139"/>
      <c r="JU54" s="85"/>
      <c r="JV54" s="85"/>
      <c r="JW54" s="139"/>
      <c r="JX54" s="139"/>
      <c r="JY54" s="139"/>
      <c r="JZ54" s="139"/>
      <c r="KA54" s="139"/>
      <c r="KB54" s="139"/>
      <c r="KC54" s="139"/>
      <c r="KD54" s="139"/>
      <c r="KE54" s="139"/>
      <c r="KF54" s="139"/>
      <c r="KG54" s="119"/>
      <c r="KH54" s="119"/>
      <c r="KI54" s="139"/>
      <c r="KJ54" s="139"/>
      <c r="KK54" s="139"/>
      <c r="KL54" s="139"/>
      <c r="KM54" s="139"/>
      <c r="KN54" s="139"/>
      <c r="KO54" s="139"/>
      <c r="KP54" s="139"/>
      <c r="KQ54" s="139"/>
      <c r="KR54" s="139"/>
      <c r="KS54" s="139"/>
      <c r="KT54" s="139"/>
      <c r="KU54" s="139"/>
      <c r="KV54" s="139"/>
      <c r="KW54" s="170"/>
      <c r="KX54" s="170"/>
      <c r="KY54" s="139"/>
      <c r="KZ54" s="139"/>
      <c r="LA54" s="139"/>
      <c r="LB54" s="139"/>
      <c r="LD54" s="221"/>
      <c r="LE54" s="221"/>
      <c r="LF54" s="221"/>
      <c r="LG54" s="64"/>
      <c r="LH54" s="64"/>
      <c r="LI54" s="64"/>
      <c r="LJ54" s="64"/>
      <c r="LK54" s="64"/>
      <c r="LL54" s="64"/>
      <c r="LM54" s="64"/>
      <c r="LN54" s="64"/>
      <c r="LO54" s="64"/>
      <c r="LP54" s="64"/>
      <c r="LQ54" s="64"/>
      <c r="LR54" s="64"/>
      <c r="LS54" s="64"/>
      <c r="LT54" s="64"/>
      <c r="LU54" s="64"/>
      <c r="LV54" s="64"/>
      <c r="LW54" s="64"/>
      <c r="LX54" s="64"/>
      <c r="LY54" s="64"/>
      <c r="LZ54" s="64"/>
      <c r="MA54" s="64"/>
      <c r="MB54" s="64"/>
      <c r="MC54" s="64"/>
      <c r="MD54" s="64"/>
      <c r="ME54" s="64"/>
      <c r="MF54" s="64"/>
      <c r="MG54" s="64"/>
      <c r="MH54" s="64"/>
      <c r="MI54" s="64"/>
      <c r="MJ54" s="64"/>
    </row>
    <row r="55" spans="1:348" s="13" customFormat="1" ht="24.9" customHeight="1">
      <c r="A55" s="1"/>
      <c r="B55" s="85"/>
      <c r="C55" s="5"/>
      <c r="D55" s="85"/>
      <c r="E55" s="85"/>
      <c r="F55" s="85"/>
      <c r="G55" s="85"/>
      <c r="H55" s="85"/>
      <c r="I55" s="85"/>
      <c r="J55" s="85"/>
      <c r="K55" s="85"/>
      <c r="L55" s="85"/>
      <c r="M55" s="85"/>
      <c r="N55" s="85"/>
      <c r="O55" s="85"/>
      <c r="P55" s="85"/>
      <c r="Q55" s="85"/>
      <c r="R55" s="85"/>
      <c r="S55" s="85"/>
      <c r="T55" s="85"/>
      <c r="U55" s="85"/>
      <c r="V55" s="85"/>
      <c r="W55" s="85"/>
      <c r="X55" s="85"/>
      <c r="Y55" s="85"/>
      <c r="Z55" s="85"/>
      <c r="AA55" s="85"/>
      <c r="AB55" s="85"/>
      <c r="AC55" s="85"/>
      <c r="AD55" s="85"/>
      <c r="AE55" s="85"/>
      <c r="AF55" s="85"/>
      <c r="AG55" s="85"/>
      <c r="AH55" s="85"/>
      <c r="AI55" s="139"/>
      <c r="AJ55" s="139"/>
      <c r="AK55" s="139"/>
      <c r="AL55" s="139"/>
      <c r="AM55" s="139"/>
      <c r="AN55" s="139"/>
      <c r="AO55" s="139"/>
      <c r="AP55" s="139"/>
      <c r="AQ55" s="139"/>
      <c r="AR55" s="139"/>
      <c r="AS55" s="85"/>
      <c r="AT55" s="85"/>
      <c r="AU55" s="139"/>
      <c r="AV55" s="139"/>
      <c r="AW55" s="139"/>
      <c r="AX55" s="139"/>
      <c r="AY55" s="139"/>
      <c r="AZ55" s="139"/>
      <c r="BA55" s="139"/>
      <c r="BB55" s="139"/>
      <c r="BC55" s="85"/>
      <c r="BD55" s="85"/>
      <c r="BE55" s="139"/>
      <c r="BF55" s="139"/>
      <c r="BG55" s="139"/>
      <c r="BH55" s="139"/>
      <c r="BI55" s="139"/>
      <c r="BJ55" s="139"/>
      <c r="BK55" s="139"/>
      <c r="BL55" s="139"/>
      <c r="BM55" s="139"/>
      <c r="BN55" s="139"/>
      <c r="BO55" s="139"/>
      <c r="BP55" s="139"/>
      <c r="BQ55" s="85"/>
      <c r="BR55" s="139"/>
      <c r="BS55" s="139"/>
      <c r="BT55" s="139"/>
      <c r="BU55" s="139"/>
      <c r="BV55" s="139"/>
      <c r="BW55" s="139"/>
      <c r="BX55" s="85"/>
      <c r="BY55" s="85"/>
      <c r="BZ55" s="139"/>
      <c r="CA55" s="139"/>
      <c r="CB55" s="139"/>
      <c r="CC55" s="139"/>
      <c r="CD55" s="139"/>
      <c r="CE55" s="139"/>
      <c r="CF55" s="139"/>
      <c r="CG55" s="139"/>
      <c r="CH55" s="139"/>
      <c r="CI55" s="139"/>
      <c r="CJ55" s="139"/>
      <c r="CK55" s="139"/>
      <c r="CL55" s="139"/>
      <c r="CM55" s="139"/>
      <c r="CN55" s="85"/>
      <c r="CO55" s="85"/>
      <c r="CP55" s="85"/>
      <c r="CQ55" s="85"/>
      <c r="CR55" s="85"/>
      <c r="CS55" s="85"/>
      <c r="CT55" s="85"/>
      <c r="CU55" s="85"/>
      <c r="CV55" s="85"/>
      <c r="CW55" s="85"/>
      <c r="CX55" s="139"/>
      <c r="CY55" s="139"/>
      <c r="CZ55" s="139"/>
      <c r="DA55" s="139"/>
      <c r="DB55" s="139"/>
      <c r="DC55" s="139"/>
      <c r="DD55" s="139"/>
      <c r="DE55" s="139"/>
      <c r="DF55" s="139"/>
      <c r="DG55" s="139"/>
      <c r="DH55" s="139"/>
      <c r="DI55" s="139"/>
      <c r="DJ55" s="139"/>
      <c r="DK55" s="139"/>
      <c r="DL55" s="139"/>
      <c r="DM55" s="139"/>
      <c r="DN55" s="139"/>
      <c r="DO55" s="139"/>
      <c r="DP55" s="139"/>
      <c r="DQ55" s="139"/>
      <c r="DR55" s="139"/>
      <c r="DS55" s="139"/>
      <c r="DT55" s="139"/>
      <c r="DU55" s="139"/>
      <c r="DV55" s="139"/>
      <c r="DW55" s="139"/>
      <c r="DX55" s="139"/>
      <c r="DY55" s="139"/>
      <c r="DZ55" s="139"/>
      <c r="EA55" s="139"/>
      <c r="EB55" s="139"/>
      <c r="EC55" s="139"/>
      <c r="ED55" s="139"/>
      <c r="EE55" s="139"/>
      <c r="EF55" s="139"/>
      <c r="EG55" s="139"/>
      <c r="EH55" s="139"/>
      <c r="EI55" s="139"/>
      <c r="EJ55" s="139"/>
      <c r="EK55" s="139"/>
      <c r="EL55" s="139"/>
      <c r="EM55" s="85"/>
      <c r="EN55" s="85"/>
      <c r="EO55" s="85"/>
      <c r="EP55" s="85"/>
      <c r="EQ55" s="85"/>
      <c r="ER55" s="85"/>
      <c r="ES55" s="85"/>
      <c r="ET55" s="85"/>
      <c r="EU55" s="85"/>
      <c r="EV55" s="85"/>
      <c r="EW55" s="85"/>
      <c r="EX55" s="85"/>
      <c r="EY55" s="85"/>
      <c r="EZ55" s="85"/>
      <c r="FA55" s="85"/>
      <c r="FB55" s="85"/>
      <c r="FC55" s="139"/>
      <c r="FD55" s="139"/>
      <c r="FE55" s="139"/>
      <c r="FF55" s="139"/>
      <c r="FG55" s="139"/>
      <c r="FH55" s="139"/>
      <c r="FI55" s="139"/>
      <c r="FJ55" s="139"/>
      <c r="FK55" s="139"/>
      <c r="FL55" s="139"/>
      <c r="FM55" s="139"/>
      <c r="FN55" s="139"/>
      <c r="FO55" s="139"/>
      <c r="FP55" s="139"/>
      <c r="FQ55" s="139"/>
      <c r="FR55" s="139"/>
      <c r="FS55" s="85"/>
      <c r="FT55" s="85"/>
      <c r="FU55" s="85"/>
      <c r="FV55" s="85"/>
      <c r="FW55" s="139"/>
      <c r="FX55" s="139"/>
      <c r="FY55" s="139"/>
      <c r="FZ55" s="139"/>
      <c r="GA55" s="139"/>
      <c r="GB55" s="139"/>
      <c r="GC55" s="139"/>
      <c r="GD55" s="139"/>
      <c r="GE55" s="139"/>
      <c r="GF55" s="139"/>
      <c r="GG55" s="139"/>
      <c r="GH55" s="139"/>
      <c r="GI55" s="139"/>
      <c r="GJ55" s="139"/>
      <c r="GK55" s="139"/>
      <c r="GL55" s="139"/>
      <c r="GM55" s="139"/>
      <c r="GN55" s="139"/>
      <c r="GO55" s="139"/>
      <c r="GP55" s="139"/>
      <c r="GQ55" s="139"/>
      <c r="GR55" s="139"/>
      <c r="GS55" s="139"/>
      <c r="GT55" s="139"/>
      <c r="GU55" s="139"/>
      <c r="GV55" s="139"/>
      <c r="GW55" s="139"/>
      <c r="GX55" s="139"/>
      <c r="GY55" s="139"/>
      <c r="GZ55" s="139"/>
      <c r="HA55" s="139"/>
      <c r="HB55" s="139"/>
      <c r="HC55" s="85"/>
      <c r="HD55" s="85"/>
      <c r="HE55" s="139"/>
      <c r="HF55" s="139"/>
      <c r="HG55" s="85"/>
      <c r="HH55" s="85"/>
      <c r="HI55" s="139"/>
      <c r="HJ55" s="139"/>
      <c r="HK55" s="85"/>
      <c r="HL55" s="85"/>
      <c r="HM55" s="85"/>
      <c r="HN55" s="85"/>
      <c r="HO55" s="85"/>
      <c r="HP55" s="85"/>
      <c r="HQ55" s="85"/>
      <c r="HR55" s="85"/>
      <c r="HS55" s="85"/>
      <c r="HT55" s="85"/>
      <c r="HU55" s="85"/>
      <c r="HV55" s="85"/>
      <c r="HW55" s="85"/>
      <c r="HX55" s="85"/>
      <c r="HY55" s="85"/>
      <c r="HZ55" s="85"/>
      <c r="IA55" s="85"/>
      <c r="IB55" s="85"/>
      <c r="IC55" s="85"/>
      <c r="ID55" s="85"/>
      <c r="IE55" s="85"/>
      <c r="IF55" s="85"/>
      <c r="IG55" s="85"/>
      <c r="IH55" s="85"/>
      <c r="II55" s="85"/>
      <c r="IJ55" s="85"/>
      <c r="IK55" s="85"/>
      <c r="IL55" s="85"/>
      <c r="IM55" s="139"/>
      <c r="IN55" s="139"/>
      <c r="IO55" s="139"/>
      <c r="IP55" s="139"/>
      <c r="IQ55" s="139"/>
      <c r="IR55" s="139"/>
      <c r="IS55" s="139"/>
      <c r="IT55" s="139"/>
      <c r="IU55" s="139"/>
      <c r="IV55" s="139"/>
      <c r="IW55" s="139"/>
      <c r="IX55" s="139"/>
      <c r="IY55" s="139"/>
      <c r="IZ55" s="139"/>
      <c r="JA55" s="139"/>
      <c r="JB55" s="139"/>
      <c r="JC55" s="139"/>
      <c r="JD55" s="139"/>
      <c r="JE55" s="139"/>
      <c r="JF55" s="139"/>
      <c r="JG55" s="139"/>
      <c r="JH55" s="139"/>
      <c r="JI55" s="139"/>
      <c r="JJ55" s="139"/>
      <c r="JK55" s="139"/>
      <c r="JL55" s="139"/>
      <c r="JM55" s="85"/>
      <c r="JN55" s="85"/>
      <c r="JO55" s="85"/>
      <c r="JP55" s="85"/>
      <c r="JQ55" s="139"/>
      <c r="JR55" s="139"/>
      <c r="JS55" s="139"/>
      <c r="JT55" s="139"/>
      <c r="JU55" s="85"/>
      <c r="JV55" s="85"/>
      <c r="JW55" s="139"/>
      <c r="JX55" s="139"/>
      <c r="JY55" s="139"/>
      <c r="JZ55" s="139"/>
      <c r="KA55" s="139"/>
      <c r="KB55" s="139"/>
      <c r="KC55" s="139"/>
      <c r="KD55" s="139"/>
      <c r="KE55" s="139"/>
      <c r="KF55" s="139"/>
      <c r="KG55" s="119"/>
      <c r="KH55" s="119"/>
      <c r="KI55" s="139"/>
      <c r="KJ55" s="139"/>
      <c r="KK55" s="139"/>
      <c r="KL55" s="139"/>
      <c r="KM55" s="139"/>
      <c r="KN55" s="139"/>
      <c r="KO55" s="139"/>
      <c r="KP55" s="139"/>
      <c r="KQ55" s="139"/>
      <c r="KR55" s="139"/>
      <c r="KS55" s="139"/>
      <c r="KT55" s="139"/>
      <c r="KU55" s="139"/>
      <c r="KV55" s="139"/>
      <c r="KW55" s="170"/>
      <c r="KX55" s="170"/>
      <c r="KY55" s="139"/>
      <c r="KZ55" s="139"/>
      <c r="LA55" s="139"/>
      <c r="LB55" s="139"/>
      <c r="LD55" s="221"/>
      <c r="LE55" s="221"/>
      <c r="LF55" s="221"/>
      <c r="LG55" s="64"/>
      <c r="LH55" s="64"/>
      <c r="LI55" s="64"/>
      <c r="LJ55" s="64"/>
      <c r="LK55" s="64"/>
      <c r="LL55" s="64"/>
      <c r="LM55" s="64"/>
      <c r="LN55" s="64"/>
      <c r="LO55" s="64"/>
      <c r="LP55" s="64"/>
      <c r="LQ55" s="64"/>
      <c r="LR55" s="64"/>
      <c r="LS55" s="64"/>
      <c r="LT55" s="64"/>
      <c r="LU55" s="64"/>
      <c r="LV55" s="64"/>
      <c r="LW55" s="64"/>
      <c r="LX55" s="64"/>
      <c r="LY55" s="64"/>
      <c r="LZ55" s="64"/>
      <c r="MA55" s="64"/>
      <c r="MB55" s="64"/>
      <c r="MC55" s="64"/>
      <c r="MD55" s="64"/>
      <c r="ME55" s="64"/>
      <c r="MF55" s="64"/>
      <c r="MG55" s="64"/>
      <c r="MH55" s="64"/>
      <c r="MI55" s="64"/>
      <c r="MJ55" s="64"/>
    </row>
    <row r="56" spans="1:348" s="13" customFormat="1" ht="18" customHeight="1">
      <c r="A56" s="1"/>
      <c r="B56" s="85"/>
      <c r="C56" s="5"/>
      <c r="D56" s="85"/>
      <c r="E56" s="85"/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  <c r="AA56" s="85"/>
      <c r="AB56" s="85"/>
      <c r="AC56" s="85"/>
      <c r="AD56" s="85"/>
      <c r="AE56" s="85"/>
      <c r="AF56" s="85"/>
      <c r="AG56" s="85"/>
      <c r="AH56" s="85"/>
      <c r="AI56" s="139"/>
      <c r="AJ56" s="139"/>
      <c r="AK56" s="139"/>
      <c r="AL56" s="139"/>
      <c r="AM56" s="139"/>
      <c r="AN56" s="139"/>
      <c r="AO56" s="139"/>
      <c r="AP56" s="139"/>
      <c r="AQ56" s="139"/>
      <c r="AR56" s="139"/>
      <c r="AS56" s="85"/>
      <c r="AT56" s="85"/>
      <c r="AU56" s="139"/>
      <c r="AV56" s="139"/>
      <c r="AW56" s="139"/>
      <c r="AX56" s="139"/>
      <c r="AY56" s="139"/>
      <c r="AZ56" s="139"/>
      <c r="BA56" s="139"/>
      <c r="BB56" s="139"/>
      <c r="BC56" s="85"/>
      <c r="BD56" s="85"/>
      <c r="BE56" s="139"/>
      <c r="BF56" s="139"/>
      <c r="BG56" s="139"/>
      <c r="BH56" s="139"/>
      <c r="BI56" s="139"/>
      <c r="BJ56" s="139"/>
      <c r="BK56" s="139"/>
      <c r="BL56" s="139"/>
      <c r="BM56" s="139"/>
      <c r="BN56" s="139"/>
      <c r="BO56" s="139"/>
      <c r="BP56" s="139"/>
      <c r="BQ56" s="85"/>
      <c r="BR56" s="139"/>
      <c r="BS56" s="139"/>
      <c r="BT56" s="139"/>
      <c r="BU56" s="139"/>
      <c r="BV56" s="139"/>
      <c r="BW56" s="139"/>
      <c r="BX56" s="85"/>
      <c r="BY56" s="85"/>
      <c r="BZ56" s="139"/>
      <c r="CA56" s="139"/>
      <c r="CB56" s="139"/>
      <c r="CC56" s="139"/>
      <c r="CD56" s="139"/>
      <c r="CE56" s="139"/>
      <c r="CF56" s="139"/>
      <c r="CG56" s="139"/>
      <c r="CH56" s="139"/>
      <c r="CI56" s="139"/>
      <c r="CJ56" s="139"/>
      <c r="CK56" s="139"/>
      <c r="CL56" s="139"/>
      <c r="CM56" s="139"/>
      <c r="CN56" s="85"/>
      <c r="CO56" s="85"/>
      <c r="CP56" s="85"/>
      <c r="CQ56" s="85"/>
      <c r="CR56" s="85"/>
      <c r="CS56" s="85"/>
      <c r="CT56" s="85"/>
      <c r="CU56" s="85"/>
      <c r="CV56" s="85"/>
      <c r="CW56" s="85"/>
      <c r="CX56" s="139"/>
      <c r="CY56" s="139"/>
      <c r="CZ56" s="139"/>
      <c r="DA56" s="139"/>
      <c r="DB56" s="139"/>
      <c r="DC56" s="139"/>
      <c r="DD56" s="139"/>
      <c r="DE56" s="139"/>
      <c r="DF56" s="139"/>
      <c r="DG56" s="139"/>
      <c r="DH56" s="139"/>
      <c r="DI56" s="139"/>
      <c r="DJ56" s="139"/>
      <c r="DK56" s="139"/>
      <c r="DL56" s="139"/>
      <c r="DM56" s="139"/>
      <c r="DN56" s="139"/>
      <c r="DO56" s="139"/>
      <c r="DP56" s="139"/>
      <c r="DQ56" s="139"/>
      <c r="DR56" s="139"/>
      <c r="DS56" s="139"/>
      <c r="DT56" s="139"/>
      <c r="DU56" s="139"/>
      <c r="DV56" s="139"/>
      <c r="DW56" s="139"/>
      <c r="DX56" s="139"/>
      <c r="DY56" s="139"/>
      <c r="DZ56" s="139"/>
      <c r="EA56" s="139"/>
      <c r="EB56" s="139"/>
      <c r="EC56" s="139"/>
      <c r="ED56" s="139"/>
      <c r="EE56" s="139"/>
      <c r="EF56" s="139"/>
      <c r="EG56" s="139"/>
      <c r="EH56" s="139"/>
      <c r="EI56" s="139"/>
      <c r="EJ56" s="139"/>
      <c r="EK56" s="139"/>
      <c r="EL56" s="139"/>
      <c r="EM56" s="85"/>
      <c r="EN56" s="85"/>
      <c r="EO56" s="85"/>
      <c r="EP56" s="85"/>
      <c r="EQ56" s="85"/>
      <c r="ER56" s="85"/>
      <c r="ES56" s="85"/>
      <c r="ET56" s="85"/>
      <c r="EU56" s="85"/>
      <c r="EV56" s="85"/>
      <c r="EW56" s="85"/>
      <c r="EX56" s="85"/>
      <c r="EY56" s="85"/>
      <c r="EZ56" s="85"/>
      <c r="FA56" s="85"/>
      <c r="FB56" s="85"/>
      <c r="FC56" s="139"/>
      <c r="FD56" s="139"/>
      <c r="FE56" s="139"/>
      <c r="FF56" s="139"/>
      <c r="FG56" s="139"/>
      <c r="FH56" s="139"/>
      <c r="FI56" s="139"/>
      <c r="FJ56" s="139"/>
      <c r="FK56" s="139"/>
      <c r="FL56" s="139"/>
      <c r="FM56" s="139"/>
      <c r="FN56" s="139"/>
      <c r="FO56" s="139"/>
      <c r="FP56" s="139"/>
      <c r="FQ56" s="139"/>
      <c r="FR56" s="139"/>
      <c r="FS56" s="85"/>
      <c r="FT56" s="85"/>
      <c r="FU56" s="85"/>
      <c r="FV56" s="85"/>
      <c r="FW56" s="139"/>
      <c r="FX56" s="139"/>
      <c r="FY56" s="139"/>
      <c r="FZ56" s="139"/>
      <c r="GA56" s="139"/>
      <c r="GB56" s="139"/>
      <c r="GC56" s="139"/>
      <c r="GD56" s="139"/>
      <c r="GE56" s="139"/>
      <c r="GF56" s="139"/>
      <c r="GG56" s="139"/>
      <c r="GH56" s="139"/>
      <c r="GI56" s="139"/>
      <c r="GJ56" s="139"/>
      <c r="GK56" s="139"/>
      <c r="GL56" s="139"/>
      <c r="GM56" s="139"/>
      <c r="GN56" s="139"/>
      <c r="GO56" s="139"/>
      <c r="GP56" s="139"/>
      <c r="GQ56" s="139"/>
      <c r="GR56" s="139"/>
      <c r="GS56" s="139"/>
      <c r="GT56" s="139"/>
      <c r="GU56" s="139"/>
      <c r="GV56" s="139"/>
      <c r="GW56" s="139"/>
      <c r="GX56" s="139"/>
      <c r="GY56" s="139"/>
      <c r="GZ56" s="139"/>
      <c r="HA56" s="139"/>
      <c r="HB56" s="139"/>
      <c r="HC56" s="85"/>
      <c r="HD56" s="85"/>
      <c r="HE56" s="139"/>
      <c r="HF56" s="139"/>
      <c r="HG56" s="85"/>
      <c r="HH56" s="85"/>
      <c r="HI56" s="139"/>
      <c r="HJ56" s="139"/>
      <c r="HK56" s="85"/>
      <c r="HL56" s="85"/>
      <c r="HM56" s="85"/>
      <c r="HN56" s="85"/>
      <c r="HO56" s="85"/>
      <c r="HP56" s="85"/>
      <c r="HQ56" s="85"/>
      <c r="HR56" s="85"/>
      <c r="HS56" s="85"/>
      <c r="HT56" s="85"/>
      <c r="HU56" s="85"/>
      <c r="HV56" s="85"/>
      <c r="HW56" s="85"/>
      <c r="HX56" s="85"/>
      <c r="HY56" s="85"/>
      <c r="HZ56" s="85"/>
      <c r="IA56" s="85"/>
      <c r="IB56" s="85"/>
      <c r="IC56" s="85"/>
      <c r="ID56" s="85"/>
      <c r="IE56" s="85"/>
      <c r="IF56" s="85"/>
      <c r="IG56" s="85"/>
      <c r="IH56" s="85"/>
      <c r="II56" s="85"/>
      <c r="IJ56" s="85"/>
      <c r="IK56" s="85"/>
      <c r="IL56" s="85"/>
      <c r="IM56" s="139"/>
      <c r="IN56" s="139"/>
      <c r="IO56" s="139"/>
      <c r="IP56" s="139"/>
      <c r="IQ56" s="139"/>
      <c r="IR56" s="139"/>
      <c r="IS56" s="139"/>
      <c r="IT56" s="139"/>
      <c r="IU56" s="139"/>
      <c r="IV56" s="139"/>
      <c r="IW56" s="139"/>
      <c r="IX56" s="139"/>
      <c r="IY56" s="139"/>
      <c r="IZ56" s="139"/>
      <c r="JA56" s="139"/>
      <c r="JB56" s="139"/>
      <c r="JC56" s="139"/>
      <c r="JD56" s="139"/>
      <c r="JE56" s="139"/>
      <c r="JF56" s="139"/>
      <c r="JG56" s="139"/>
      <c r="JH56" s="139"/>
      <c r="JI56" s="139"/>
      <c r="JJ56" s="139"/>
      <c r="JK56" s="139"/>
      <c r="JL56" s="139"/>
      <c r="JM56" s="85"/>
      <c r="JN56" s="85"/>
      <c r="JO56" s="85"/>
      <c r="JP56" s="85"/>
      <c r="JQ56" s="139"/>
      <c r="JR56" s="139"/>
      <c r="JS56" s="139"/>
      <c r="JT56" s="139"/>
      <c r="JU56" s="85"/>
      <c r="JV56" s="85"/>
      <c r="JW56" s="139"/>
      <c r="JX56" s="139"/>
      <c r="JY56" s="139"/>
      <c r="JZ56" s="139"/>
      <c r="KA56" s="139"/>
      <c r="KB56" s="139"/>
      <c r="KC56" s="139"/>
      <c r="KD56" s="139"/>
      <c r="KE56" s="139"/>
      <c r="KF56" s="139"/>
      <c r="KG56" s="119"/>
      <c r="KH56" s="119"/>
      <c r="KI56" s="139"/>
      <c r="KJ56" s="139"/>
      <c r="KK56" s="139"/>
      <c r="KL56" s="139"/>
      <c r="KM56" s="139"/>
      <c r="KN56" s="139"/>
      <c r="KO56" s="139"/>
      <c r="KP56" s="139"/>
      <c r="KQ56" s="139"/>
      <c r="KR56" s="139"/>
      <c r="KS56" s="139"/>
      <c r="KT56" s="139"/>
      <c r="KU56" s="139"/>
      <c r="KV56" s="139"/>
      <c r="KW56" s="170"/>
      <c r="KX56" s="170"/>
      <c r="KY56" s="139"/>
      <c r="KZ56" s="139"/>
      <c r="LA56" s="139"/>
      <c r="LB56" s="139"/>
      <c r="LD56" s="221"/>
      <c r="LE56" s="221"/>
      <c r="LF56" s="221"/>
      <c r="LG56" s="64"/>
      <c r="LH56" s="64"/>
      <c r="LI56" s="64"/>
      <c r="LJ56" s="64"/>
      <c r="LK56" s="64"/>
      <c r="LL56" s="64"/>
      <c r="LM56" s="64"/>
      <c r="LN56" s="64"/>
      <c r="LO56" s="64"/>
      <c r="LP56" s="64"/>
      <c r="LQ56" s="64"/>
      <c r="LR56" s="64"/>
      <c r="LS56" s="64"/>
      <c r="LT56" s="64"/>
      <c r="LU56" s="64"/>
      <c r="LV56" s="64"/>
      <c r="LW56" s="64"/>
      <c r="LX56" s="64"/>
      <c r="LY56" s="64"/>
      <c r="LZ56" s="64"/>
      <c r="MA56" s="64"/>
      <c r="MB56" s="64"/>
      <c r="MC56" s="64"/>
      <c r="MD56" s="64"/>
      <c r="ME56" s="64"/>
      <c r="MF56" s="64"/>
      <c r="MG56" s="64"/>
      <c r="MH56" s="64"/>
      <c r="MI56" s="64"/>
      <c r="MJ56" s="64"/>
    </row>
  </sheetData>
  <mergeCells count="52">
    <mergeCell ref="CX5:DC5"/>
    <mergeCell ref="DV5:EE5"/>
    <mergeCell ref="DD5:DI5"/>
    <mergeCell ref="DJ5:DO5"/>
    <mergeCell ref="DP5:DU5"/>
    <mergeCell ref="BQ4:BW4"/>
    <mergeCell ref="BC4:BH4"/>
    <mergeCell ref="B5:F5"/>
    <mergeCell ref="G5:K5"/>
    <mergeCell ref="L5:N5"/>
    <mergeCell ref="BC5:BD5"/>
    <mergeCell ref="BI5:BP5"/>
    <mergeCell ref="BE5:BH5"/>
    <mergeCell ref="O5:X5"/>
    <mergeCell ref="Y5:AH5"/>
    <mergeCell ref="AI5:AR5"/>
    <mergeCell ref="AU5:BA5"/>
    <mergeCell ref="AS5:AT5"/>
    <mergeCell ref="CJ5:CM5"/>
    <mergeCell ref="GM5:GT5"/>
    <mergeCell ref="GU5:HB5"/>
    <mergeCell ref="FM5:FR5"/>
    <mergeCell ref="BR5:BS5"/>
    <mergeCell ref="BT5:BW5"/>
    <mergeCell ref="EM5:ET5"/>
    <mergeCell ref="EU5:FB5"/>
    <mergeCell ref="FC5:FJ5"/>
    <mergeCell ref="FK5:FL5"/>
    <mergeCell ref="FW5:GD5"/>
    <mergeCell ref="GE5:GL5"/>
    <mergeCell ref="CN5:CW5"/>
    <mergeCell ref="BX5:BY5"/>
    <mergeCell ref="BZ5:CI5"/>
    <mergeCell ref="EF5:EL5"/>
    <mergeCell ref="GM4:GT4"/>
    <mergeCell ref="GU4:HB4"/>
    <mergeCell ref="HC5:HJ5"/>
    <mergeCell ref="JA5:JL5"/>
    <mergeCell ref="HK5:HX5"/>
    <mergeCell ref="HY5:IL5"/>
    <mergeCell ref="IM5:IZ5"/>
    <mergeCell ref="LS5:MD5"/>
    <mergeCell ref="ME5:MJ5"/>
    <mergeCell ref="LD5:LF5"/>
    <mergeCell ref="FS5:FV5"/>
    <mergeCell ref="JQ5:JZ5"/>
    <mergeCell ref="JM5:JP5"/>
    <mergeCell ref="KU4:LB4"/>
    <mergeCell ref="KU5:LB5"/>
    <mergeCell ref="KA5:KL5"/>
    <mergeCell ref="KM5:KT5"/>
    <mergeCell ref="LG5:LR5"/>
  </mergeCells>
  <pageMargins left="0.25" right="0.25" top="0.75" bottom="0.75" header="0.3" footer="0.3"/>
  <pageSetup paperSize="9" orientation="landscape" horizontalDpi="4294967292" verticalDpi="4294967292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5">
    <pageSetUpPr autoPageBreaks="0"/>
  </sheetPr>
  <dimension ref="B1:DO51"/>
  <sheetViews>
    <sheetView topLeftCell="BR4" zoomScale="55" zoomScaleNormal="55" zoomScalePageLayoutView="70" workbookViewId="0">
      <pane ySplit="3" topLeftCell="A16" activePane="bottomLeft" state="frozenSplit"/>
      <selection activeCell="DF67" sqref="DF67"/>
      <selection pane="bottomLeft" activeCell="CF19" sqref="CF19:CG19"/>
    </sheetView>
  </sheetViews>
  <sheetFormatPr defaultColWidth="9.109375" defaultRowHeight="18"/>
  <cols>
    <col min="1" max="1" width="9.109375" style="1"/>
    <col min="2" max="2" width="26.44140625" style="273" customWidth="1"/>
    <col min="3" max="3" width="18.6640625" style="5" customWidth="1"/>
    <col min="4" max="4" width="18.44140625" style="5" customWidth="1"/>
    <col min="5" max="5" width="16.109375" style="67" customWidth="1"/>
    <col min="6" max="6" width="20.6640625" style="5" customWidth="1"/>
    <col min="7" max="9" width="17.6640625" style="5"/>
    <col min="10" max="10" width="17.6640625" style="67"/>
    <col min="11" max="11" width="42.44140625" style="67" bestFit="1" customWidth="1"/>
    <col min="12" max="13" width="17.6640625" style="5"/>
    <col min="14" max="14" width="43" style="5" bestFit="1" customWidth="1"/>
    <col min="15" max="15" width="19.6640625" style="5" customWidth="1"/>
    <col min="16" max="43" width="20.6640625" style="5" customWidth="1"/>
    <col min="44" max="69" width="20.6640625" style="134" customWidth="1"/>
    <col min="70" max="70" width="24.6640625" style="134" bestFit="1" customWidth="1"/>
    <col min="71" max="71" width="16.44140625" style="134" bestFit="1" customWidth="1"/>
    <col min="72" max="72" width="15" style="134" bestFit="1" customWidth="1"/>
    <col min="73" max="73" width="16.44140625" style="134" bestFit="1" customWidth="1"/>
    <col min="74" max="75" width="20.6640625" style="5" customWidth="1"/>
    <col min="76" max="77" width="20.6640625" style="8" customWidth="1"/>
    <col min="78" max="97" width="20.6640625" style="134" customWidth="1"/>
    <col min="98" max="98" width="20.88671875" style="134" customWidth="1"/>
    <col min="99" max="99" width="20.6640625" style="134" customWidth="1"/>
    <col min="100" max="100" width="24.88671875" style="134" bestFit="1" customWidth="1"/>
    <col min="101" max="105" width="20.6640625" style="134" customWidth="1"/>
    <col min="106" max="106" width="17.6640625" style="1"/>
    <col min="107" max="107" width="27.88671875" style="215" customWidth="1"/>
    <col min="108" max="109" width="17.6640625" style="215"/>
    <col min="110" max="111" width="19.33203125" style="215" bestFit="1" customWidth="1"/>
    <col min="112" max="112" width="18.109375" style="215" bestFit="1" customWidth="1"/>
    <col min="113" max="113" width="9.109375" style="215"/>
    <col min="114" max="114" width="17.44140625" style="215" bestFit="1" customWidth="1"/>
    <col min="115" max="115" width="9.109375" style="215"/>
    <col min="116" max="116" width="18" style="215" bestFit="1" customWidth="1"/>
    <col min="117" max="119" width="9.109375" style="215"/>
    <col min="120" max="16384" width="9.109375" style="1"/>
  </cols>
  <sheetData>
    <row r="1" spans="2:119">
      <c r="B1" s="275" t="s">
        <v>379</v>
      </c>
      <c r="CI1" s="161"/>
      <c r="CJ1" s="206"/>
    </row>
    <row r="2" spans="2:119">
      <c r="B2" s="276" t="s">
        <v>380</v>
      </c>
      <c r="CJ2" s="206"/>
    </row>
    <row r="3" spans="2:119">
      <c r="B3" s="277" t="s">
        <v>499</v>
      </c>
      <c r="N3" s="258" t="s">
        <v>784</v>
      </c>
      <c r="P3" s="222" t="s">
        <v>786</v>
      </c>
      <c r="BR3" s="206" t="s">
        <v>824</v>
      </c>
      <c r="BX3" s="710" t="s">
        <v>783</v>
      </c>
      <c r="BZ3" s="206" t="s">
        <v>785</v>
      </c>
      <c r="CJ3" s="207"/>
    </row>
    <row r="4" spans="2:119" ht="18.600000000000001" thickBot="1">
      <c r="K4" s="102"/>
      <c r="DC4" s="257"/>
      <c r="DD4" s="257"/>
      <c r="DE4" s="257"/>
    </row>
    <row r="5" spans="2:119" s="123" customFormat="1" ht="19.8" thickBot="1">
      <c r="B5" s="745" t="s">
        <v>444</v>
      </c>
      <c r="C5" s="746"/>
      <c r="D5" s="746"/>
      <c r="E5" s="746"/>
      <c r="F5" s="747"/>
      <c r="G5" s="745" t="s">
        <v>323</v>
      </c>
      <c r="H5" s="746"/>
      <c r="I5" s="746"/>
      <c r="J5" s="746"/>
      <c r="K5" s="747"/>
      <c r="L5" s="745" t="s">
        <v>325</v>
      </c>
      <c r="M5" s="746"/>
      <c r="N5" s="746"/>
      <c r="O5" s="747"/>
      <c r="P5" s="745" t="s">
        <v>445</v>
      </c>
      <c r="Q5" s="746"/>
      <c r="R5" s="746"/>
      <c r="S5" s="746"/>
      <c r="T5" s="746"/>
      <c r="U5" s="746"/>
      <c r="V5" s="746"/>
      <c r="W5" s="746"/>
      <c r="X5" s="746"/>
      <c r="Y5" s="746"/>
      <c r="Z5" s="746"/>
      <c r="AA5" s="746"/>
      <c r="AB5" s="746"/>
      <c r="AC5" s="747"/>
      <c r="AD5" s="745" t="s">
        <v>446</v>
      </c>
      <c r="AE5" s="746"/>
      <c r="AF5" s="746"/>
      <c r="AG5" s="746"/>
      <c r="AH5" s="746"/>
      <c r="AI5" s="746"/>
      <c r="AJ5" s="746"/>
      <c r="AK5" s="746"/>
      <c r="AL5" s="746"/>
      <c r="AM5" s="746"/>
      <c r="AN5" s="746"/>
      <c r="AO5" s="746"/>
      <c r="AP5" s="746"/>
      <c r="AQ5" s="747"/>
      <c r="AR5" s="742" t="s">
        <v>447</v>
      </c>
      <c r="AS5" s="743"/>
      <c r="AT5" s="743"/>
      <c r="AU5" s="743"/>
      <c r="AV5" s="743"/>
      <c r="AW5" s="743"/>
      <c r="AX5" s="743"/>
      <c r="AY5" s="743"/>
      <c r="AZ5" s="743"/>
      <c r="BA5" s="743"/>
      <c r="BB5" s="743"/>
      <c r="BC5" s="743"/>
      <c r="BD5" s="743"/>
      <c r="BE5" s="744"/>
      <c r="BF5" s="742" t="s">
        <v>600</v>
      </c>
      <c r="BG5" s="743"/>
      <c r="BH5" s="743"/>
      <c r="BI5" s="743"/>
      <c r="BJ5" s="743"/>
      <c r="BK5" s="743"/>
      <c r="BL5" s="743"/>
      <c r="BM5" s="743"/>
      <c r="BN5" s="743"/>
      <c r="BO5" s="743"/>
      <c r="BP5" s="743"/>
      <c r="BQ5" s="744"/>
      <c r="BR5" s="745" t="s">
        <v>822</v>
      </c>
      <c r="BS5" s="746"/>
      <c r="BT5" s="746"/>
      <c r="BU5" s="747"/>
      <c r="BV5" s="745" t="s">
        <v>451</v>
      </c>
      <c r="BW5" s="747"/>
      <c r="BX5" s="783" t="s">
        <v>452</v>
      </c>
      <c r="BY5" s="784"/>
      <c r="BZ5" s="779" t="s">
        <v>606</v>
      </c>
      <c r="CA5" s="762"/>
      <c r="CB5" s="762"/>
      <c r="CC5" s="762"/>
      <c r="CD5" s="762"/>
      <c r="CE5" s="762"/>
      <c r="CF5" s="762"/>
      <c r="CG5" s="763"/>
      <c r="CH5" s="742" t="s">
        <v>453</v>
      </c>
      <c r="CI5" s="744"/>
      <c r="CJ5" s="742" t="s">
        <v>607</v>
      </c>
      <c r="CK5" s="743"/>
      <c r="CL5" s="743"/>
      <c r="CM5" s="743"/>
      <c r="CN5" s="743"/>
      <c r="CO5" s="744"/>
      <c r="CP5" s="743" t="s">
        <v>608</v>
      </c>
      <c r="CQ5" s="743"/>
      <c r="CR5" s="743"/>
      <c r="CS5" s="743"/>
      <c r="CT5" s="743"/>
      <c r="CU5" s="743"/>
      <c r="CV5" s="742" t="s">
        <v>609</v>
      </c>
      <c r="CW5" s="743"/>
      <c r="CX5" s="743"/>
      <c r="CY5" s="743"/>
      <c r="CZ5" s="743"/>
      <c r="DA5" s="744"/>
      <c r="DC5" s="764" t="s">
        <v>444</v>
      </c>
      <c r="DD5" s="765"/>
      <c r="DE5" s="766"/>
      <c r="DF5" s="764" t="s">
        <v>448</v>
      </c>
      <c r="DG5" s="765"/>
      <c r="DH5" s="765"/>
      <c r="DI5" s="765"/>
      <c r="DJ5" s="765"/>
      <c r="DK5" s="765"/>
      <c r="DL5" s="765"/>
      <c r="DM5" s="765"/>
      <c r="DN5" s="765"/>
      <c r="DO5" s="766"/>
    </row>
    <row r="6" spans="2:119" s="122" customFormat="1" ht="22.2" thickBot="1">
      <c r="B6" s="235" t="s">
        <v>339</v>
      </c>
      <c r="C6" s="92" t="s">
        <v>449</v>
      </c>
      <c r="D6" s="92" t="s">
        <v>450</v>
      </c>
      <c r="E6" s="99" t="s">
        <v>109</v>
      </c>
      <c r="F6" s="100" t="s">
        <v>113</v>
      </c>
      <c r="G6" s="82" t="s">
        <v>29</v>
      </c>
      <c r="H6" s="82" t="s">
        <v>0</v>
      </c>
      <c r="I6" s="82" t="s">
        <v>110</v>
      </c>
      <c r="J6" s="94" t="s">
        <v>321</v>
      </c>
      <c r="K6" s="94" t="s">
        <v>329</v>
      </c>
      <c r="L6" s="82" t="s">
        <v>111</v>
      </c>
      <c r="M6" s="82" t="s">
        <v>324</v>
      </c>
      <c r="N6" s="82" t="s">
        <v>782</v>
      </c>
      <c r="O6" s="95" t="s">
        <v>112</v>
      </c>
      <c r="P6" s="112" t="s">
        <v>416</v>
      </c>
      <c r="Q6" s="113" t="s">
        <v>417</v>
      </c>
      <c r="R6" s="114" t="s">
        <v>418</v>
      </c>
      <c r="S6" s="113" t="s">
        <v>419</v>
      </c>
      <c r="T6" s="114" t="s">
        <v>420</v>
      </c>
      <c r="U6" s="113" t="s">
        <v>421</v>
      </c>
      <c r="V6" s="114" t="s">
        <v>422</v>
      </c>
      <c r="W6" s="113" t="s">
        <v>423</v>
      </c>
      <c r="X6" s="114" t="s">
        <v>424</v>
      </c>
      <c r="Y6" s="113" t="s">
        <v>425</v>
      </c>
      <c r="Z6" s="114" t="s">
        <v>426</v>
      </c>
      <c r="AA6" s="115" t="s">
        <v>427</v>
      </c>
      <c r="AB6" s="114" t="s">
        <v>428</v>
      </c>
      <c r="AC6" s="116" t="s">
        <v>429</v>
      </c>
      <c r="AD6" s="112" t="s">
        <v>416</v>
      </c>
      <c r="AE6" s="113" t="s">
        <v>417</v>
      </c>
      <c r="AF6" s="114" t="s">
        <v>418</v>
      </c>
      <c r="AG6" s="113" t="s">
        <v>419</v>
      </c>
      <c r="AH6" s="114" t="s">
        <v>420</v>
      </c>
      <c r="AI6" s="113" t="s">
        <v>421</v>
      </c>
      <c r="AJ6" s="114" t="s">
        <v>422</v>
      </c>
      <c r="AK6" s="113" t="s">
        <v>423</v>
      </c>
      <c r="AL6" s="114" t="s">
        <v>424</v>
      </c>
      <c r="AM6" s="113" t="s">
        <v>425</v>
      </c>
      <c r="AN6" s="114" t="s">
        <v>426</v>
      </c>
      <c r="AO6" s="115" t="s">
        <v>427</v>
      </c>
      <c r="AP6" s="114" t="s">
        <v>428</v>
      </c>
      <c r="AQ6" s="116" t="s">
        <v>429</v>
      </c>
      <c r="AR6" s="172" t="s">
        <v>516</v>
      </c>
      <c r="AS6" s="173" t="s">
        <v>517</v>
      </c>
      <c r="AT6" s="174" t="s">
        <v>518</v>
      </c>
      <c r="AU6" s="173" t="s">
        <v>519</v>
      </c>
      <c r="AV6" s="174" t="s">
        <v>520</v>
      </c>
      <c r="AW6" s="173" t="s">
        <v>521</v>
      </c>
      <c r="AX6" s="174" t="s">
        <v>522</v>
      </c>
      <c r="AY6" s="173" t="s">
        <v>523</v>
      </c>
      <c r="AZ6" s="174" t="s">
        <v>524</v>
      </c>
      <c r="BA6" s="173" t="s">
        <v>525</v>
      </c>
      <c r="BB6" s="174" t="s">
        <v>526</v>
      </c>
      <c r="BC6" s="175" t="s">
        <v>527</v>
      </c>
      <c r="BD6" s="174" t="s">
        <v>528</v>
      </c>
      <c r="BE6" s="176" t="s">
        <v>529</v>
      </c>
      <c r="BF6" s="177" t="s">
        <v>530</v>
      </c>
      <c r="BG6" s="162" t="s">
        <v>531</v>
      </c>
      <c r="BH6" s="178" t="s">
        <v>532</v>
      </c>
      <c r="BI6" s="162" t="s">
        <v>533</v>
      </c>
      <c r="BJ6" s="178" t="s">
        <v>534</v>
      </c>
      <c r="BK6" s="162" t="s">
        <v>535</v>
      </c>
      <c r="BL6" s="178" t="s">
        <v>536</v>
      </c>
      <c r="BM6" s="162" t="s">
        <v>537</v>
      </c>
      <c r="BN6" s="178" t="s">
        <v>538</v>
      </c>
      <c r="BO6" s="162" t="s">
        <v>539</v>
      </c>
      <c r="BP6" s="178" t="s">
        <v>540</v>
      </c>
      <c r="BQ6" s="163" t="s">
        <v>541</v>
      </c>
      <c r="BR6" s="278" t="s">
        <v>825</v>
      </c>
      <c r="BS6" s="278" t="s">
        <v>826</v>
      </c>
      <c r="BT6" s="278" t="s">
        <v>827</v>
      </c>
      <c r="BU6" s="278" t="s">
        <v>828</v>
      </c>
      <c r="BV6" s="82" t="s">
        <v>392</v>
      </c>
      <c r="BW6" s="82" t="s">
        <v>393</v>
      </c>
      <c r="BX6" s="711" t="s">
        <v>601</v>
      </c>
      <c r="BY6" s="86" t="s">
        <v>610</v>
      </c>
      <c r="BZ6" s="208" t="s">
        <v>602</v>
      </c>
      <c r="CA6" s="129" t="s">
        <v>2</v>
      </c>
      <c r="CB6" s="185" t="s">
        <v>603</v>
      </c>
      <c r="CC6" s="129" t="s">
        <v>2</v>
      </c>
      <c r="CD6" s="185" t="s">
        <v>615</v>
      </c>
      <c r="CE6" s="129" t="s">
        <v>2</v>
      </c>
      <c r="CF6" s="129" t="s">
        <v>454</v>
      </c>
      <c r="CG6" s="186" t="s">
        <v>2</v>
      </c>
      <c r="CH6" s="141" t="s">
        <v>604</v>
      </c>
      <c r="CI6" s="155" t="s">
        <v>2</v>
      </c>
      <c r="CJ6" s="203" t="s">
        <v>613</v>
      </c>
      <c r="CK6" s="155" t="s">
        <v>2</v>
      </c>
      <c r="CL6" s="204" t="s">
        <v>614</v>
      </c>
      <c r="CM6" s="155" t="s">
        <v>2</v>
      </c>
      <c r="CN6" s="136" t="s">
        <v>616</v>
      </c>
      <c r="CO6" s="156" t="s">
        <v>2</v>
      </c>
      <c r="CP6" s="203" t="s">
        <v>619</v>
      </c>
      <c r="CQ6" s="205" t="s">
        <v>2</v>
      </c>
      <c r="CR6" s="204" t="s">
        <v>618</v>
      </c>
      <c r="CS6" s="155" t="s">
        <v>2</v>
      </c>
      <c r="CT6" s="136" t="s">
        <v>617</v>
      </c>
      <c r="CU6" s="156" t="s">
        <v>2</v>
      </c>
      <c r="CV6" s="203" t="s">
        <v>612</v>
      </c>
      <c r="CW6" s="155" t="s">
        <v>2</v>
      </c>
      <c r="CX6" s="204" t="s">
        <v>611</v>
      </c>
      <c r="CY6" s="155" t="s">
        <v>2</v>
      </c>
      <c r="CZ6" s="204" t="s">
        <v>605</v>
      </c>
      <c r="DA6" s="156"/>
      <c r="DC6" s="106" t="s">
        <v>775</v>
      </c>
      <c r="DD6" s="107" t="s">
        <v>29</v>
      </c>
      <c r="DE6" s="108" t="s">
        <v>0</v>
      </c>
      <c r="DF6" s="216" t="s">
        <v>639</v>
      </c>
      <c r="DG6" s="217" t="s">
        <v>2</v>
      </c>
      <c r="DH6" s="217" t="s">
        <v>454</v>
      </c>
      <c r="DI6" s="217" t="s">
        <v>2</v>
      </c>
      <c r="DJ6" s="218" t="s">
        <v>640</v>
      </c>
      <c r="DK6" s="217" t="s">
        <v>2</v>
      </c>
      <c r="DL6" s="218" t="s">
        <v>641</v>
      </c>
      <c r="DM6" s="217" t="s">
        <v>2</v>
      </c>
      <c r="DN6" s="219" t="s">
        <v>642</v>
      </c>
      <c r="DO6" s="220"/>
    </row>
    <row r="7" spans="2:119">
      <c r="AD7" s="66"/>
      <c r="AE7" s="66"/>
      <c r="AF7" s="66"/>
      <c r="AG7" s="66"/>
      <c r="AH7" s="66"/>
      <c r="AI7" s="66"/>
      <c r="AJ7" s="66"/>
      <c r="AK7" s="66"/>
      <c r="AL7" s="66"/>
      <c r="AM7" s="66"/>
      <c r="AN7" s="66"/>
      <c r="AO7" s="66"/>
      <c r="AP7" s="66"/>
      <c r="AQ7" s="66"/>
    </row>
    <row r="8" spans="2:119">
      <c r="AD8" s="66"/>
      <c r="AE8" s="66"/>
      <c r="AF8" s="66"/>
      <c r="AG8" s="66"/>
      <c r="AH8" s="66"/>
      <c r="AI8" s="66"/>
      <c r="AJ8" s="66"/>
      <c r="AK8" s="66"/>
      <c r="AL8" s="66"/>
      <c r="AM8" s="66"/>
      <c r="AN8" s="66"/>
      <c r="AO8" s="66"/>
      <c r="AP8" s="66"/>
      <c r="AQ8" s="66"/>
    </row>
    <row r="9" spans="2:119">
      <c r="B9" s="273" t="s">
        <v>902</v>
      </c>
      <c r="C9" s="5">
        <v>2.3600000000000001E-3</v>
      </c>
      <c r="D9" s="66">
        <v>2.2599999999999999E-4</v>
      </c>
      <c r="E9" s="67">
        <v>44707</v>
      </c>
      <c r="F9" s="5" t="s">
        <v>821</v>
      </c>
      <c r="G9" s="327" t="s">
        <v>901</v>
      </c>
      <c r="H9" s="5">
        <v>1</v>
      </c>
      <c r="J9" s="327">
        <v>44644</v>
      </c>
      <c r="K9" s="5" t="s">
        <v>857</v>
      </c>
      <c r="L9" s="378">
        <v>5.0000000000000001E-3</v>
      </c>
      <c r="M9" s="5">
        <v>0.26</v>
      </c>
      <c r="N9" s="5" t="s">
        <v>322</v>
      </c>
      <c r="O9" s="5">
        <v>30</v>
      </c>
      <c r="P9" s="5">
        <v>0.29042499999999999</v>
      </c>
      <c r="Q9" s="5">
        <v>6.0879999999999997E-3</v>
      </c>
      <c r="R9" s="5">
        <v>2.4091999999999999E-2</v>
      </c>
      <c r="S9" s="5">
        <v>7.2400000000000003E-4</v>
      </c>
      <c r="T9" s="5">
        <v>2.0799999999999998E-3</v>
      </c>
      <c r="U9" s="5">
        <v>1.4100000000000001E-4</v>
      </c>
      <c r="V9" s="5">
        <v>3.7038000000000001E-2</v>
      </c>
      <c r="W9" s="5">
        <v>5.7899999999999998E-4</v>
      </c>
      <c r="X9" s="5">
        <v>2.0235E-2</v>
      </c>
      <c r="Y9" s="5">
        <v>8.2899999999999998E-4</v>
      </c>
      <c r="Z9" s="5">
        <v>3.2599999999999999E-3</v>
      </c>
      <c r="AA9" s="5">
        <v>3.6699999999999998E-4</v>
      </c>
      <c r="AB9" s="5">
        <v>8.6610000000000003E-3</v>
      </c>
      <c r="AC9" s="5">
        <v>5.2700000000000002E-4</v>
      </c>
      <c r="AD9" s="66">
        <v>2.0709999999999999E-3</v>
      </c>
      <c r="AE9" s="66">
        <v>4.6900000000000002E-4</v>
      </c>
      <c r="AF9" s="66">
        <v>7.5199999999999996E-4</v>
      </c>
      <c r="AG9" s="66">
        <v>1.5699999999999999E-4</v>
      </c>
      <c r="AH9" s="66">
        <v>2.5300000000000002E-4</v>
      </c>
      <c r="AI9" s="66">
        <v>1.7699999999999999E-4</v>
      </c>
      <c r="AJ9" s="66">
        <v>3.8400000000000001E-4</v>
      </c>
      <c r="AK9" s="66">
        <v>2.2599999999999999E-4</v>
      </c>
      <c r="AL9" s="66">
        <v>3.3500000000000001E-4</v>
      </c>
      <c r="AM9" s="66">
        <v>1.9000000000000001E-4</v>
      </c>
      <c r="AN9" s="66">
        <v>6.0999999999999997E-4</v>
      </c>
      <c r="AO9" s="66">
        <v>1.6200000000000001E-4</v>
      </c>
      <c r="AP9" s="66">
        <v>1.66E-4</v>
      </c>
      <c r="AQ9" s="66">
        <v>1.2999999999999999E-4</v>
      </c>
      <c r="AR9" s="279">
        <f>Xe128Raw-Xe128Blank</f>
        <v>0.288354</v>
      </c>
      <c r="AS9" s="279">
        <f t="shared" ref="AS9:AS51" si="0">SQRT(Xe128Rawerr^2+Xe128Blankerr^2)</f>
        <v>6.1060384047269137E-3</v>
      </c>
      <c r="AT9" s="279">
        <f t="shared" ref="AT9:AT51" si="1">Xe129Raw-Xe129Blank</f>
        <v>2.334E-2</v>
      </c>
      <c r="AU9" s="279">
        <f t="shared" ref="AU9:AU51" si="2">SQRT(Xe129Rawerr^2+Xe129Blankerr^2)</f>
        <v>7.4082724031990081E-4</v>
      </c>
      <c r="AV9" s="279">
        <f t="shared" ref="AV9:AV51" si="3">Xe130Raw-Xe130Blank</f>
        <v>1.8269999999999998E-3</v>
      </c>
      <c r="AW9" s="279">
        <f t="shared" ref="AW9:AW51" si="4">SQRT(Xe130Rawerr^2+Xe130Blankerr^2)</f>
        <v>2.2629626598775332E-4</v>
      </c>
      <c r="AX9" s="279">
        <f t="shared" ref="AX9:AX51" si="5">Xe131Raw-Xe131Blank</f>
        <v>3.6653999999999999E-2</v>
      </c>
      <c r="AY9" s="279">
        <f t="shared" ref="AY9:AY51" si="6">SQRT(Xe131Rawerr^2+Xe131Blankerr^2)</f>
        <v>6.2154404510058648E-4</v>
      </c>
      <c r="AZ9" s="279">
        <f t="shared" ref="AZ9:AZ51" si="7">Xe132Raw-Xe132Blank</f>
        <v>1.9900000000000001E-2</v>
      </c>
      <c r="BA9" s="279">
        <f t="shared" ref="BA9:BA51" si="8">SQRT(Xe132Rawerr^2+Xe132Blankerr^2)</f>
        <v>8.5049456200495476E-4</v>
      </c>
      <c r="BB9" s="279">
        <f t="shared" ref="BB9:BB51" si="9">Xe134Raw-Xe134Blank</f>
        <v>2.65E-3</v>
      </c>
      <c r="BC9" s="279">
        <f t="shared" ref="BC9:BC51" si="10">SQRT(Xe134Rawerr^2+Xe134Blankerr^2)</f>
        <v>4.0116455476524841E-4</v>
      </c>
      <c r="BD9" s="279">
        <f t="shared" ref="BD9:BD51" si="11">Xe136Raw-Xe136Blank</f>
        <v>8.4950000000000008E-3</v>
      </c>
      <c r="BE9" s="279">
        <f t="shared" ref="BE9:BE51" si="12">SQRT(Xe136Rawerr^2+Xe136Blankerr^2)</f>
        <v>5.4279738392884686E-4</v>
      </c>
      <c r="BR9" s="280">
        <f>AR9/AZ9</f>
        <v>14.490150753768843</v>
      </c>
      <c r="BS9" s="280">
        <f t="shared" ref="BS9:BS19" si="13">BR9*SQRT((AS9/AR9)^2+(BA9/AZ9)^2)</f>
        <v>0.6911322090580293</v>
      </c>
      <c r="BT9" s="280">
        <f>AT9/AZ9</f>
        <v>1.1728643216080401</v>
      </c>
      <c r="BU9" s="280">
        <f t="shared" ref="BU9:BU19" si="14">BT9*SQRT((AU9/AT9)^2+(BA9/AZ9)^2)</f>
        <v>6.2438285615098663E-2</v>
      </c>
    </row>
    <row r="10" spans="2:119">
      <c r="B10" s="273" t="s">
        <v>902</v>
      </c>
      <c r="C10" s="5">
        <v>2.3600000000000001E-3</v>
      </c>
      <c r="D10" s="66">
        <v>2.2599999999999999E-4</v>
      </c>
      <c r="E10" s="67">
        <v>44707</v>
      </c>
      <c r="F10" s="5" t="s">
        <v>821</v>
      </c>
      <c r="G10" s="327" t="s">
        <v>901</v>
      </c>
      <c r="H10" s="5">
        <v>1</v>
      </c>
      <c r="J10" s="327">
        <v>44644</v>
      </c>
      <c r="K10" s="5" t="s">
        <v>857</v>
      </c>
      <c r="L10" s="378">
        <v>0.01</v>
      </c>
      <c r="M10" s="5">
        <v>0.83</v>
      </c>
      <c r="N10" s="5" t="s">
        <v>322</v>
      </c>
      <c r="O10" s="5">
        <v>30</v>
      </c>
      <c r="P10" s="5">
        <v>0.17426</v>
      </c>
      <c r="Q10" s="5">
        <v>2.777E-3</v>
      </c>
      <c r="R10" s="5">
        <v>1.4741000000000001E-2</v>
      </c>
      <c r="S10" s="5">
        <v>5.6899999999999995E-4</v>
      </c>
      <c r="T10" s="5">
        <v>1.3519999999999999E-3</v>
      </c>
      <c r="U10" s="5">
        <v>2.2499999999999999E-4</v>
      </c>
      <c r="V10" s="5">
        <v>1.7129999999999999E-2</v>
      </c>
      <c r="W10" s="5">
        <v>7.9199999999999995E-4</v>
      </c>
      <c r="X10" s="5">
        <v>1.0088E-2</v>
      </c>
      <c r="Y10" s="5">
        <v>7.3800000000000005E-4</v>
      </c>
      <c r="Z10" s="5">
        <v>2.578E-3</v>
      </c>
      <c r="AA10" s="5">
        <v>3.0600000000000001E-4</v>
      </c>
      <c r="AB10" s="5">
        <v>5.4790000000000004E-3</v>
      </c>
      <c r="AC10" s="5">
        <v>5.8799999999999998E-4</v>
      </c>
      <c r="AD10" s="66">
        <v>2.0709999999999999E-3</v>
      </c>
      <c r="AE10" s="66">
        <v>4.6900000000000002E-4</v>
      </c>
      <c r="AF10" s="66">
        <v>7.5199999999999996E-4</v>
      </c>
      <c r="AG10" s="66">
        <v>1.5699999999999999E-4</v>
      </c>
      <c r="AH10" s="66">
        <v>2.5300000000000002E-4</v>
      </c>
      <c r="AI10" s="66">
        <v>1.7699999999999999E-4</v>
      </c>
      <c r="AJ10" s="66">
        <v>3.8400000000000001E-4</v>
      </c>
      <c r="AK10" s="66">
        <v>2.2599999999999999E-4</v>
      </c>
      <c r="AL10" s="66">
        <v>3.3500000000000001E-4</v>
      </c>
      <c r="AM10" s="66">
        <v>1.9000000000000001E-4</v>
      </c>
      <c r="AN10" s="66">
        <v>6.0999999999999997E-4</v>
      </c>
      <c r="AO10" s="66">
        <v>1.6200000000000001E-4</v>
      </c>
      <c r="AP10" s="66">
        <v>1.66E-4</v>
      </c>
      <c r="AQ10" s="66">
        <v>1.2999999999999999E-4</v>
      </c>
      <c r="AR10" s="279">
        <f t="shared" ref="AR10:AR51" si="15">Xe128Raw-Xe128Blank</f>
        <v>0.17218900000000001</v>
      </c>
      <c r="AS10" s="279">
        <f t="shared" si="0"/>
        <v>2.8163256203784393E-3</v>
      </c>
      <c r="AT10" s="279">
        <f t="shared" si="1"/>
        <v>1.3989000000000001E-2</v>
      </c>
      <c r="AU10" s="279">
        <f t="shared" si="2"/>
        <v>5.9026265340100922E-4</v>
      </c>
      <c r="AV10" s="279">
        <f t="shared" si="3"/>
        <v>1.0989999999999999E-3</v>
      </c>
      <c r="AW10" s="279">
        <f t="shared" si="4"/>
        <v>2.8627609051403504E-4</v>
      </c>
      <c r="AX10" s="279">
        <f t="shared" si="5"/>
        <v>1.6746E-2</v>
      </c>
      <c r="AY10" s="279">
        <f t="shared" si="6"/>
        <v>8.2361398725373769E-4</v>
      </c>
      <c r="AZ10" s="279">
        <f t="shared" si="7"/>
        <v>9.7529999999999995E-3</v>
      </c>
      <c r="BA10" s="279">
        <f t="shared" si="8"/>
        <v>7.6206561397297026E-4</v>
      </c>
      <c r="BB10" s="279">
        <f t="shared" si="9"/>
        <v>1.9680000000000001E-3</v>
      </c>
      <c r="BC10" s="279">
        <f t="shared" si="10"/>
        <v>3.4623691311008422E-4</v>
      </c>
      <c r="BD10" s="279">
        <f t="shared" si="11"/>
        <v>5.313E-3</v>
      </c>
      <c r="BE10" s="279">
        <f t="shared" si="12"/>
        <v>6.02199302556886E-4</v>
      </c>
      <c r="BR10" s="280">
        <f t="shared" ref="BR10:BR19" si="16">AR10/AZ10</f>
        <v>17.654977955500872</v>
      </c>
      <c r="BS10" s="280">
        <f t="shared" si="13"/>
        <v>1.409397795967394</v>
      </c>
      <c r="BT10" s="280">
        <f t="shared" ref="BT10:BT19" si="17">AT10/AZ10</f>
        <v>1.4343278991079671</v>
      </c>
      <c r="BU10" s="280">
        <f t="shared" si="14"/>
        <v>0.12737055147182161</v>
      </c>
    </row>
    <row r="11" spans="2:119">
      <c r="B11" s="273" t="s">
        <v>902</v>
      </c>
      <c r="C11" s="5">
        <v>2.3600000000000001E-3</v>
      </c>
      <c r="D11" s="66">
        <v>2.2599999999999999E-4</v>
      </c>
      <c r="E11" s="67">
        <v>44707</v>
      </c>
      <c r="F11" s="5" t="s">
        <v>821</v>
      </c>
      <c r="G11" s="327" t="s">
        <v>901</v>
      </c>
      <c r="H11" s="5">
        <v>1</v>
      </c>
      <c r="J11" s="327">
        <v>44644</v>
      </c>
      <c r="K11" s="5" t="s">
        <v>857</v>
      </c>
      <c r="L11" s="378">
        <v>1.4999999999999999E-2</v>
      </c>
      <c r="M11" s="5">
        <v>1.35</v>
      </c>
      <c r="N11" s="5" t="s">
        <v>322</v>
      </c>
      <c r="O11" s="5">
        <v>30</v>
      </c>
      <c r="P11" s="5">
        <v>0.143368</v>
      </c>
      <c r="Q11" s="5">
        <v>5.2430000000000003E-3</v>
      </c>
      <c r="R11" s="5">
        <v>1.5911000000000002E-2</v>
      </c>
      <c r="S11" s="5">
        <v>8.5999999999999998E-4</v>
      </c>
      <c r="T11" s="5">
        <v>1.382E-3</v>
      </c>
      <c r="U11" s="5">
        <v>3.2699999999999998E-4</v>
      </c>
      <c r="V11" s="5">
        <v>1.7336000000000001E-2</v>
      </c>
      <c r="W11" s="5">
        <v>7.5199999999999996E-4</v>
      </c>
      <c r="X11" s="5">
        <v>1.2449999999999999E-2</v>
      </c>
      <c r="Y11" s="5">
        <v>5.5599999999999996E-4</v>
      </c>
      <c r="Z11" s="5">
        <v>1.9269999999999999E-3</v>
      </c>
      <c r="AA11" s="5">
        <v>1.94E-4</v>
      </c>
      <c r="AB11" s="5">
        <v>4.4159999999999998E-3</v>
      </c>
      <c r="AC11" s="5">
        <v>4.7100000000000001E-4</v>
      </c>
      <c r="AD11" s="66">
        <v>2.0709999999999999E-3</v>
      </c>
      <c r="AE11" s="66">
        <v>4.6900000000000002E-4</v>
      </c>
      <c r="AF11" s="66">
        <v>7.5199999999999996E-4</v>
      </c>
      <c r="AG11" s="66">
        <v>1.5699999999999999E-4</v>
      </c>
      <c r="AH11" s="66">
        <v>2.5300000000000002E-4</v>
      </c>
      <c r="AI11" s="66">
        <v>1.7699999999999999E-4</v>
      </c>
      <c r="AJ11" s="66">
        <v>3.8400000000000001E-4</v>
      </c>
      <c r="AK11" s="66">
        <v>2.2599999999999999E-4</v>
      </c>
      <c r="AL11" s="66">
        <v>3.3500000000000001E-4</v>
      </c>
      <c r="AM11" s="66">
        <v>1.9000000000000001E-4</v>
      </c>
      <c r="AN11" s="66">
        <v>6.0999999999999997E-4</v>
      </c>
      <c r="AO11" s="66">
        <v>1.6200000000000001E-4</v>
      </c>
      <c r="AP11" s="66">
        <v>1.66E-4</v>
      </c>
      <c r="AQ11" s="66">
        <v>1.2999999999999999E-4</v>
      </c>
      <c r="AR11" s="279">
        <f t="shared" si="15"/>
        <v>0.14129700000000001</v>
      </c>
      <c r="AS11" s="279">
        <f t="shared" si="0"/>
        <v>5.2639348400222432E-3</v>
      </c>
      <c r="AT11" s="279">
        <f t="shared" si="1"/>
        <v>1.5159000000000002E-2</v>
      </c>
      <c r="AU11" s="279">
        <f t="shared" si="2"/>
        <v>8.7421336068490738E-4</v>
      </c>
      <c r="AV11" s="279">
        <f t="shared" si="3"/>
        <v>1.129E-3</v>
      </c>
      <c r="AW11" s="279">
        <f t="shared" si="4"/>
        <v>3.7183060659391661E-4</v>
      </c>
      <c r="AX11" s="279">
        <f t="shared" si="5"/>
        <v>1.6952000000000002E-2</v>
      </c>
      <c r="AY11" s="279">
        <f t="shared" si="6"/>
        <v>7.8522608209355849E-4</v>
      </c>
      <c r="AZ11" s="279">
        <f t="shared" si="7"/>
        <v>1.2114999999999999E-2</v>
      </c>
      <c r="BA11" s="279">
        <f t="shared" si="8"/>
        <v>5.8756786842032132E-4</v>
      </c>
      <c r="BB11" s="279">
        <f t="shared" si="9"/>
        <v>1.317E-3</v>
      </c>
      <c r="BC11" s="279">
        <f t="shared" si="10"/>
        <v>2.5274493071078595E-4</v>
      </c>
      <c r="BD11" s="279">
        <f t="shared" si="11"/>
        <v>4.2499999999999994E-3</v>
      </c>
      <c r="BE11" s="279">
        <f t="shared" si="12"/>
        <v>4.8861129745432616E-4</v>
      </c>
      <c r="BR11" s="280">
        <f t="shared" si="16"/>
        <v>11.662979777135783</v>
      </c>
      <c r="BS11" s="280">
        <f t="shared" si="13"/>
        <v>0.71326184024846406</v>
      </c>
      <c r="BT11" s="280">
        <f t="shared" si="17"/>
        <v>1.2512587701196867</v>
      </c>
      <c r="BU11" s="280">
        <f t="shared" si="14"/>
        <v>9.4285107734743287E-2</v>
      </c>
    </row>
    <row r="12" spans="2:119" ht="18.600000000000001" thickBot="1">
      <c r="B12" s="273" t="s">
        <v>902</v>
      </c>
      <c r="C12" s="5">
        <v>2.3600000000000001E-3</v>
      </c>
      <c r="D12" s="66">
        <v>2.2599999999999999E-4</v>
      </c>
      <c r="E12" s="67">
        <v>44707</v>
      </c>
      <c r="F12" s="5" t="s">
        <v>821</v>
      </c>
      <c r="G12" s="327" t="s">
        <v>901</v>
      </c>
      <c r="H12" s="5">
        <v>1</v>
      </c>
      <c r="J12" s="327">
        <v>44644</v>
      </c>
      <c r="K12" s="5" t="s">
        <v>857</v>
      </c>
      <c r="L12" s="378">
        <v>0.02</v>
      </c>
      <c r="M12" s="6">
        <v>1.87</v>
      </c>
      <c r="N12" s="5" t="s">
        <v>322</v>
      </c>
      <c r="O12" s="5">
        <v>30</v>
      </c>
      <c r="P12" s="5">
        <v>4.3590999999999998E-2</v>
      </c>
      <c r="Q12" s="5">
        <v>2.4160000000000002E-3</v>
      </c>
      <c r="R12" s="5">
        <v>1.6825E-2</v>
      </c>
      <c r="S12" s="5">
        <v>6.5799999999999995E-4</v>
      </c>
      <c r="T12" s="5">
        <v>3.1110000000000001E-3</v>
      </c>
      <c r="U12" s="5">
        <v>2.5700000000000001E-4</v>
      </c>
      <c r="V12" s="5">
        <v>2.1951999999999999E-2</v>
      </c>
      <c r="W12" s="5">
        <v>6.7000000000000002E-4</v>
      </c>
      <c r="X12" s="5">
        <v>1.5989E-2</v>
      </c>
      <c r="Y12" s="5">
        <v>3.8299999999999999E-4</v>
      </c>
      <c r="Z12" s="5">
        <v>6.5510000000000004E-3</v>
      </c>
      <c r="AA12" s="5">
        <v>3.6099999999999999E-4</v>
      </c>
      <c r="AB12" s="5">
        <v>5.4460000000000003E-3</v>
      </c>
      <c r="AC12" s="5">
        <v>3.59E-4</v>
      </c>
      <c r="AD12" s="66">
        <v>3.009E-3</v>
      </c>
      <c r="AE12" s="66">
        <v>5.3700000000000004E-4</v>
      </c>
      <c r="AF12" s="66">
        <v>6.3400000000000001E-4</v>
      </c>
      <c r="AG12" s="66">
        <v>2.24E-4</v>
      </c>
      <c r="AH12" s="66">
        <v>3.6699999999999998E-4</v>
      </c>
      <c r="AI12" s="66">
        <v>1.4300000000000001E-4</v>
      </c>
      <c r="AJ12" s="66">
        <v>9.0399999999999996E-4</v>
      </c>
      <c r="AK12" s="66">
        <v>2.5300000000000002E-4</v>
      </c>
      <c r="AL12" s="66">
        <v>6.2799999999999998E-4</v>
      </c>
      <c r="AM12" s="66">
        <v>2.04E-4</v>
      </c>
      <c r="AN12" s="66">
        <v>6.3900000000000003E-4</v>
      </c>
      <c r="AO12" s="66">
        <v>1.5200000000000001E-4</v>
      </c>
      <c r="AP12" s="66">
        <v>3.6499999999999998E-4</v>
      </c>
      <c r="AQ12" s="66">
        <v>1.6699999999999999E-4</v>
      </c>
      <c r="AR12" s="279">
        <f t="shared" si="15"/>
        <v>4.0582E-2</v>
      </c>
      <c r="AS12" s="279">
        <f t="shared" si="0"/>
        <v>2.4749595956297956E-3</v>
      </c>
      <c r="AT12" s="279">
        <f t="shared" si="1"/>
        <v>1.6191000000000001E-2</v>
      </c>
      <c r="AU12" s="279">
        <f t="shared" si="2"/>
        <v>6.9508272888915885E-4</v>
      </c>
      <c r="AV12" s="279">
        <f t="shared" si="3"/>
        <v>2.7439999999999999E-3</v>
      </c>
      <c r="AW12" s="279">
        <f t="shared" si="4"/>
        <v>2.941054232753963E-4</v>
      </c>
      <c r="AX12" s="279">
        <f t="shared" si="5"/>
        <v>2.1048000000000001E-2</v>
      </c>
      <c r="AY12" s="279">
        <f t="shared" si="6"/>
        <v>7.1617665418526456E-4</v>
      </c>
      <c r="AZ12" s="279">
        <f t="shared" si="7"/>
        <v>1.5361E-2</v>
      </c>
      <c r="BA12" s="279">
        <f t="shared" si="8"/>
        <v>4.339412402618585E-4</v>
      </c>
      <c r="BB12" s="279">
        <f t="shared" si="9"/>
        <v>5.9120000000000006E-3</v>
      </c>
      <c r="BC12" s="279">
        <f t="shared" si="10"/>
        <v>3.9169503443367771E-4</v>
      </c>
      <c r="BD12" s="279">
        <f t="shared" si="11"/>
        <v>5.0810000000000004E-3</v>
      </c>
      <c r="BE12" s="279">
        <f t="shared" si="12"/>
        <v>3.9594191493197585E-4</v>
      </c>
      <c r="BR12" s="280">
        <f>AR12/AZ12</f>
        <v>2.6418852939261765</v>
      </c>
      <c r="BS12" s="280">
        <f t="shared" si="13"/>
        <v>0.17756547742563319</v>
      </c>
      <c r="BT12" s="280">
        <f t="shared" si="17"/>
        <v>1.0540329405637654</v>
      </c>
      <c r="BU12" s="280">
        <f t="shared" si="14"/>
        <v>5.4167839353341671E-2</v>
      </c>
    </row>
    <row r="13" spans="2:119">
      <c r="B13" s="273" t="s">
        <v>902</v>
      </c>
      <c r="C13" s="5">
        <v>2.3600000000000001E-3</v>
      </c>
      <c r="D13" s="66">
        <v>2.2599999999999999E-4</v>
      </c>
      <c r="E13" s="67">
        <v>44707</v>
      </c>
      <c r="F13" s="5" t="s">
        <v>821</v>
      </c>
      <c r="G13" s="327" t="s">
        <v>901</v>
      </c>
      <c r="H13" s="5">
        <v>1</v>
      </c>
      <c r="J13" s="327">
        <v>44644</v>
      </c>
      <c r="K13" s="5" t="s">
        <v>857</v>
      </c>
      <c r="L13" s="378">
        <v>2.5000000000000001E-2</v>
      </c>
      <c r="M13" s="5">
        <v>2.33</v>
      </c>
      <c r="N13" s="5" t="s">
        <v>322</v>
      </c>
      <c r="O13" s="5">
        <v>30</v>
      </c>
      <c r="P13" s="5">
        <v>2.6334E-2</v>
      </c>
      <c r="Q13" s="5">
        <v>1.5740000000000001E-3</v>
      </c>
      <c r="R13" s="5">
        <v>1.5654999999999999E-2</v>
      </c>
      <c r="S13" s="5">
        <v>5.9000000000000003E-4</v>
      </c>
      <c r="T13" s="5">
        <v>1.8240000000000001E-3</v>
      </c>
      <c r="U13" s="5">
        <v>1.5899999999999999E-4</v>
      </c>
      <c r="V13" s="5">
        <v>1.9837E-2</v>
      </c>
      <c r="W13" s="5">
        <v>8.8699999999999998E-4</v>
      </c>
      <c r="X13" s="5">
        <v>1.3252E-2</v>
      </c>
      <c r="Y13" s="5">
        <v>8.7799999999999998E-4</v>
      </c>
      <c r="Z13" s="5">
        <v>2.1740000000000002E-3</v>
      </c>
      <c r="AA13" s="5">
        <v>2.2800000000000001E-4</v>
      </c>
      <c r="AB13" s="5">
        <v>4.202E-3</v>
      </c>
      <c r="AC13" s="5">
        <v>4.1100000000000002E-4</v>
      </c>
      <c r="AD13" s="66">
        <v>3.009E-3</v>
      </c>
      <c r="AE13" s="66">
        <v>5.3700000000000004E-4</v>
      </c>
      <c r="AF13" s="66">
        <v>6.3400000000000001E-4</v>
      </c>
      <c r="AG13" s="66">
        <v>2.24E-4</v>
      </c>
      <c r="AH13" s="66">
        <v>3.6699999999999998E-4</v>
      </c>
      <c r="AI13" s="66">
        <v>1.4300000000000001E-4</v>
      </c>
      <c r="AJ13" s="66">
        <v>9.0399999999999996E-4</v>
      </c>
      <c r="AK13" s="66">
        <v>2.5300000000000002E-4</v>
      </c>
      <c r="AL13" s="66">
        <v>6.2799999999999998E-4</v>
      </c>
      <c r="AM13" s="66">
        <v>2.04E-4</v>
      </c>
      <c r="AN13" s="66">
        <v>6.3900000000000003E-4</v>
      </c>
      <c r="AO13" s="66">
        <v>1.5200000000000001E-4</v>
      </c>
      <c r="AP13" s="66">
        <v>3.6499999999999998E-4</v>
      </c>
      <c r="AQ13" s="66">
        <v>1.6699999999999999E-4</v>
      </c>
      <c r="AR13" s="279">
        <f t="shared" si="15"/>
        <v>2.3324999999999999E-2</v>
      </c>
      <c r="AS13" s="279">
        <f t="shared" si="0"/>
        <v>1.6630829804913526E-3</v>
      </c>
      <c r="AT13" s="279">
        <f t="shared" si="1"/>
        <v>1.5021E-2</v>
      </c>
      <c r="AU13" s="279">
        <f t="shared" si="2"/>
        <v>6.310911186191738E-4</v>
      </c>
      <c r="AV13" s="279">
        <f t="shared" si="3"/>
        <v>1.4570000000000002E-3</v>
      </c>
      <c r="AW13" s="279">
        <f t="shared" si="4"/>
        <v>2.1384573879317773E-4</v>
      </c>
      <c r="AX13" s="279">
        <f t="shared" si="5"/>
        <v>1.8933000000000002E-2</v>
      </c>
      <c r="AY13" s="279">
        <f t="shared" si="6"/>
        <v>9.2237627896645305E-4</v>
      </c>
      <c r="AZ13" s="279">
        <f t="shared" si="7"/>
        <v>1.2624E-2</v>
      </c>
      <c r="BA13" s="279">
        <f t="shared" si="8"/>
        <v>9.0138781886599728E-4</v>
      </c>
      <c r="BB13" s="279">
        <f t="shared" si="9"/>
        <v>1.5350000000000001E-3</v>
      </c>
      <c r="BC13" s="279">
        <f t="shared" si="10"/>
        <v>2.740218969352632E-4</v>
      </c>
      <c r="BD13" s="279">
        <f t="shared" si="11"/>
        <v>3.8370000000000001E-3</v>
      </c>
      <c r="BE13" s="279">
        <f t="shared" si="12"/>
        <v>4.4363273098363697E-4</v>
      </c>
      <c r="BR13" s="280">
        <f t="shared" si="16"/>
        <v>1.8476711026615968</v>
      </c>
      <c r="BS13" s="280">
        <f t="shared" si="13"/>
        <v>0.18644183566192027</v>
      </c>
      <c r="BT13" s="280">
        <f t="shared" si="17"/>
        <v>1.1898764258555132</v>
      </c>
      <c r="BU13" s="280">
        <f t="shared" si="14"/>
        <v>9.8576911626353667E-2</v>
      </c>
      <c r="BW13" s="708" t="s">
        <v>1014</v>
      </c>
      <c r="BX13" s="712" cm="1">
        <f t="array" ref="BX13:BY17">LINEST(BT16:BT19,BR16:BR19,,TRUE)</f>
        <v>1.3413537451723776</v>
      </c>
      <c r="BY13" s="713">
        <v>0.7643176636009128</v>
      </c>
      <c r="BZ13" s="709" t="s">
        <v>1015</v>
      </c>
    </row>
    <row r="14" spans="2:119">
      <c r="B14" s="273" t="s">
        <v>902</v>
      </c>
      <c r="C14" s="5">
        <v>2.3600000000000001E-3</v>
      </c>
      <c r="D14" s="66">
        <v>2.2599999999999999E-4</v>
      </c>
      <c r="E14" s="67">
        <v>44707</v>
      </c>
      <c r="F14" s="5" t="s">
        <v>821</v>
      </c>
      <c r="G14" s="327" t="s">
        <v>901</v>
      </c>
      <c r="H14" s="5">
        <v>1</v>
      </c>
      <c r="J14" s="327">
        <v>44644</v>
      </c>
      <c r="K14" s="5" t="s">
        <v>857</v>
      </c>
      <c r="L14" s="378">
        <v>0.03</v>
      </c>
      <c r="M14" s="5">
        <v>2.69</v>
      </c>
      <c r="N14" s="5" t="s">
        <v>322</v>
      </c>
      <c r="O14" s="5">
        <v>30</v>
      </c>
      <c r="P14" s="5">
        <v>2.2190999999999999E-2</v>
      </c>
      <c r="Q14" s="5">
        <v>1.1039999999999999E-3</v>
      </c>
      <c r="R14" s="5">
        <v>1.8579999999999999E-2</v>
      </c>
      <c r="S14" s="5">
        <v>9.9200000000000004E-4</v>
      </c>
      <c r="T14" s="5">
        <v>1.6429999999999999E-3</v>
      </c>
      <c r="U14" s="5">
        <v>2.1000000000000001E-4</v>
      </c>
      <c r="V14" s="5">
        <v>2.5118000000000001E-2</v>
      </c>
      <c r="W14" s="5">
        <v>6.0999999999999997E-4</v>
      </c>
      <c r="X14" s="5">
        <v>1.5573E-2</v>
      </c>
      <c r="Y14" s="5">
        <v>7.9900000000000001E-4</v>
      </c>
      <c r="Z14" s="5">
        <v>1.8010000000000001E-3</v>
      </c>
      <c r="AA14" s="5">
        <v>1.8200000000000001E-4</v>
      </c>
      <c r="AB14" s="5">
        <v>5.4180000000000001E-3</v>
      </c>
      <c r="AC14" s="5">
        <v>3.3599999999999998E-4</v>
      </c>
      <c r="AD14" s="66">
        <v>3.009E-3</v>
      </c>
      <c r="AE14" s="66">
        <v>5.3700000000000004E-4</v>
      </c>
      <c r="AF14" s="66">
        <v>6.3400000000000001E-4</v>
      </c>
      <c r="AG14" s="66">
        <v>2.24E-4</v>
      </c>
      <c r="AH14" s="66">
        <v>3.6699999999999998E-4</v>
      </c>
      <c r="AI14" s="66">
        <v>1.4300000000000001E-4</v>
      </c>
      <c r="AJ14" s="66">
        <v>9.0399999999999996E-4</v>
      </c>
      <c r="AK14" s="66">
        <v>2.5300000000000002E-4</v>
      </c>
      <c r="AL14" s="66">
        <v>6.2799999999999998E-4</v>
      </c>
      <c r="AM14" s="66">
        <v>2.04E-4</v>
      </c>
      <c r="AN14" s="66">
        <v>6.3900000000000003E-4</v>
      </c>
      <c r="AO14" s="66">
        <v>1.5200000000000001E-4</v>
      </c>
      <c r="AP14" s="66">
        <v>3.6499999999999998E-4</v>
      </c>
      <c r="AQ14" s="66">
        <v>1.6699999999999999E-4</v>
      </c>
      <c r="AR14" s="279">
        <f t="shared" si="15"/>
        <v>1.9181999999999998E-2</v>
      </c>
      <c r="AS14" s="279">
        <f t="shared" si="0"/>
        <v>1.2276746311625079E-3</v>
      </c>
      <c r="AT14" s="279">
        <f t="shared" si="1"/>
        <v>1.7946E-2</v>
      </c>
      <c r="AU14" s="279">
        <f t="shared" si="2"/>
        <v>1.0169759092525251E-3</v>
      </c>
      <c r="AV14" s="279">
        <f t="shared" si="3"/>
        <v>1.276E-3</v>
      </c>
      <c r="AW14" s="279">
        <f t="shared" si="4"/>
        <v>2.5406495232518792E-4</v>
      </c>
      <c r="AX14" s="279">
        <f t="shared" si="5"/>
        <v>2.4214000000000003E-2</v>
      </c>
      <c r="AY14" s="279">
        <f t="shared" si="6"/>
        <v>6.6038549348089101E-4</v>
      </c>
      <c r="AZ14" s="279">
        <f t="shared" si="7"/>
        <v>1.4945E-2</v>
      </c>
      <c r="BA14" s="279">
        <f t="shared" si="8"/>
        <v>8.2463143282317339E-4</v>
      </c>
      <c r="BB14" s="279">
        <f t="shared" si="9"/>
        <v>1.1620000000000001E-3</v>
      </c>
      <c r="BC14" s="279">
        <f t="shared" si="10"/>
        <v>2.3712443990445186E-4</v>
      </c>
      <c r="BD14" s="279">
        <f t="shared" si="11"/>
        <v>5.0530000000000002E-3</v>
      </c>
      <c r="BE14" s="279">
        <f t="shared" si="12"/>
        <v>3.7521327268634833E-4</v>
      </c>
      <c r="BR14" s="280">
        <f t="shared" si="16"/>
        <v>1.28350618936099</v>
      </c>
      <c r="BS14" s="280">
        <f t="shared" si="13"/>
        <v>0.10846015764493293</v>
      </c>
      <c r="BT14" s="280">
        <f t="shared" si="17"/>
        <v>1.2008029441284711</v>
      </c>
      <c r="BU14" s="280">
        <f t="shared" si="14"/>
        <v>9.4976769954996584E-2</v>
      </c>
      <c r="BW14" s="708" t="s">
        <v>1016</v>
      </c>
      <c r="BX14" s="714">
        <v>0.10972601669055568</v>
      </c>
      <c r="BY14" s="715">
        <v>0.18569128221939551</v>
      </c>
      <c r="BZ14" s="709" t="s">
        <v>1017</v>
      </c>
    </row>
    <row r="15" spans="2:119">
      <c r="B15" s="273" t="s">
        <v>902</v>
      </c>
      <c r="C15" s="5">
        <v>2.3600000000000001E-3</v>
      </c>
      <c r="D15" s="66">
        <v>2.2599999999999999E-4</v>
      </c>
      <c r="E15" s="67">
        <v>44707</v>
      </c>
      <c r="F15" s="5" t="s">
        <v>821</v>
      </c>
      <c r="G15" s="327" t="s">
        <v>901</v>
      </c>
      <c r="H15" s="5">
        <v>1</v>
      </c>
      <c r="J15" s="327">
        <v>44644</v>
      </c>
      <c r="K15" s="5" t="s">
        <v>857</v>
      </c>
      <c r="L15" s="378">
        <v>3.5000000000000003E-2</v>
      </c>
      <c r="M15" s="5">
        <v>3.11</v>
      </c>
      <c r="N15" s="5" t="s">
        <v>322</v>
      </c>
      <c r="O15" s="5">
        <v>30</v>
      </c>
      <c r="P15" s="5">
        <v>2.7576E-2</v>
      </c>
      <c r="Q15" s="5">
        <v>1.263E-3</v>
      </c>
      <c r="R15" s="5">
        <v>2.8920999999999999E-2</v>
      </c>
      <c r="S15" s="5">
        <v>9.4399999999999996E-4</v>
      </c>
      <c r="T15" s="5">
        <v>1.784E-3</v>
      </c>
      <c r="U15" s="5">
        <v>2.24E-4</v>
      </c>
      <c r="V15" s="5">
        <v>2.9499999999999998E-2</v>
      </c>
      <c r="W15" s="5">
        <v>8.6600000000000002E-4</v>
      </c>
      <c r="X15" s="5">
        <v>2.0812000000000001E-2</v>
      </c>
      <c r="Y15" s="5">
        <v>8.8000000000000003E-4</v>
      </c>
      <c r="Z15" s="5">
        <v>2.7469999999999999E-3</v>
      </c>
      <c r="AA15" s="5">
        <v>3.1199999999999999E-4</v>
      </c>
      <c r="AB15" s="5">
        <v>6.62E-3</v>
      </c>
      <c r="AC15" s="5">
        <v>3.01E-4</v>
      </c>
      <c r="AD15" s="66">
        <v>3.009E-3</v>
      </c>
      <c r="AE15" s="66">
        <v>5.3700000000000004E-4</v>
      </c>
      <c r="AF15" s="66">
        <v>6.3400000000000001E-4</v>
      </c>
      <c r="AG15" s="66">
        <v>2.24E-4</v>
      </c>
      <c r="AH15" s="66">
        <v>3.6699999999999998E-4</v>
      </c>
      <c r="AI15" s="66">
        <v>1.4300000000000001E-4</v>
      </c>
      <c r="AJ15" s="66">
        <v>9.0399999999999996E-4</v>
      </c>
      <c r="AK15" s="66">
        <v>2.5300000000000002E-4</v>
      </c>
      <c r="AL15" s="66">
        <v>6.2799999999999998E-4</v>
      </c>
      <c r="AM15" s="66">
        <v>2.04E-4</v>
      </c>
      <c r="AN15" s="66">
        <v>6.3900000000000003E-4</v>
      </c>
      <c r="AO15" s="66">
        <v>1.5200000000000001E-4</v>
      </c>
      <c r="AP15" s="66">
        <v>3.6499999999999998E-4</v>
      </c>
      <c r="AQ15" s="66">
        <v>1.6699999999999999E-4</v>
      </c>
      <c r="AR15" s="279">
        <f t="shared" si="15"/>
        <v>2.4566999999999999E-2</v>
      </c>
      <c r="AS15" s="279">
        <f t="shared" si="0"/>
        <v>1.3724204895002115E-3</v>
      </c>
      <c r="AT15" s="279">
        <f t="shared" si="1"/>
        <v>2.8287E-2</v>
      </c>
      <c r="AU15" s="279">
        <f t="shared" si="2"/>
        <v>9.7021234789091402E-4</v>
      </c>
      <c r="AV15" s="279">
        <f t="shared" si="3"/>
        <v>1.4170000000000001E-3</v>
      </c>
      <c r="AW15" s="279">
        <f t="shared" si="4"/>
        <v>2.6575364531836621E-4</v>
      </c>
      <c r="AX15" s="279">
        <f t="shared" si="5"/>
        <v>2.8596E-2</v>
      </c>
      <c r="AY15" s="279">
        <f t="shared" si="6"/>
        <v>9.0220008867213043E-4</v>
      </c>
      <c r="AZ15" s="279">
        <f t="shared" si="7"/>
        <v>2.0184000000000001E-2</v>
      </c>
      <c r="BA15" s="279">
        <f t="shared" si="8"/>
        <v>9.0333603935634059E-4</v>
      </c>
      <c r="BB15" s="279">
        <f t="shared" si="9"/>
        <v>2.1079999999999996E-3</v>
      </c>
      <c r="BC15" s="279">
        <f t="shared" si="10"/>
        <v>3.4705619141574176E-4</v>
      </c>
      <c r="BD15" s="279">
        <f t="shared" si="11"/>
        <v>6.2550000000000001E-3</v>
      </c>
      <c r="BE15" s="279">
        <f t="shared" si="12"/>
        <v>3.4422376443238198E-4</v>
      </c>
      <c r="BR15" s="280">
        <f t="shared" si="16"/>
        <v>1.2171521997621877</v>
      </c>
      <c r="BS15" s="280">
        <f t="shared" si="13"/>
        <v>8.7125019143096685E-2</v>
      </c>
      <c r="BT15" s="280">
        <f t="shared" si="17"/>
        <v>1.4014565992865635</v>
      </c>
      <c r="BU15" s="280">
        <f t="shared" si="14"/>
        <v>7.902311577724784E-2</v>
      </c>
      <c r="BW15" s="708" t="s">
        <v>1018</v>
      </c>
      <c r="BX15" s="716">
        <v>0.98679346654466404</v>
      </c>
      <c r="BY15" s="717">
        <v>0.2038887779218988</v>
      </c>
      <c r="BZ15" s="709" t="s">
        <v>1020</v>
      </c>
    </row>
    <row r="16" spans="2:119">
      <c r="B16" s="273" t="s">
        <v>902</v>
      </c>
      <c r="C16" s="5">
        <v>2.3600000000000001E-3</v>
      </c>
      <c r="D16" s="66">
        <v>2.2599999999999999E-4</v>
      </c>
      <c r="E16" s="67">
        <v>44708</v>
      </c>
      <c r="F16" s="5" t="s">
        <v>821</v>
      </c>
      <c r="G16" s="327" t="s">
        <v>901</v>
      </c>
      <c r="H16" s="5">
        <v>1</v>
      </c>
      <c r="J16" s="327">
        <v>44644</v>
      </c>
      <c r="K16" s="5" t="s">
        <v>857</v>
      </c>
      <c r="L16" s="378">
        <v>0.04</v>
      </c>
      <c r="M16" s="5">
        <v>3.47</v>
      </c>
      <c r="N16" s="5" t="s">
        <v>322</v>
      </c>
      <c r="O16" s="5">
        <v>30</v>
      </c>
      <c r="P16" s="5">
        <v>3.1923E-2</v>
      </c>
      <c r="Q16" s="5">
        <v>1.1379999999999999E-3</v>
      </c>
      <c r="R16" s="5">
        <v>6.6256999999999996E-2</v>
      </c>
      <c r="S16" s="5">
        <v>1.1999999999999999E-3</v>
      </c>
      <c r="T16" s="5">
        <v>3.656E-3</v>
      </c>
      <c r="U16" s="5">
        <v>2.6400000000000002E-4</v>
      </c>
      <c r="V16" s="5">
        <v>4.0856999999999997E-2</v>
      </c>
      <c r="W16" s="5">
        <v>9.1699999999999995E-4</v>
      </c>
      <c r="X16" s="5">
        <v>3.9486E-2</v>
      </c>
      <c r="Y16" s="5">
        <v>1.4220000000000001E-3</v>
      </c>
      <c r="Z16" s="5">
        <v>4.3309999999999998E-3</v>
      </c>
      <c r="AA16" s="5">
        <v>3.5799999999999997E-4</v>
      </c>
      <c r="AB16" s="5">
        <v>1.1660999999999999E-2</v>
      </c>
      <c r="AC16" s="5">
        <v>5.9500000000000004E-4</v>
      </c>
      <c r="AD16" s="66">
        <v>2.8500000000000001E-3</v>
      </c>
      <c r="AE16" s="66">
        <v>3.4200000000000002E-4</v>
      </c>
      <c r="AF16" s="66">
        <v>6.5799999999999995E-4</v>
      </c>
      <c r="AG16" s="66">
        <v>2.1000000000000001E-4</v>
      </c>
      <c r="AH16" s="66">
        <v>5.0000000000000002E-5</v>
      </c>
      <c r="AI16" s="66">
        <v>7.7000000000000001E-5</v>
      </c>
      <c r="AJ16" s="66">
        <v>6.4199999999999999E-4</v>
      </c>
      <c r="AK16" s="66">
        <v>1.5699999999999999E-4</v>
      </c>
      <c r="AL16" s="66">
        <v>6.3000000000000003E-4</v>
      </c>
      <c r="AM16" s="66">
        <v>1.8699999999999999E-4</v>
      </c>
      <c r="AN16" s="66">
        <v>2.6499999999999999E-4</v>
      </c>
      <c r="AO16" s="66">
        <v>1.75E-4</v>
      </c>
      <c r="AP16" s="66">
        <v>1.11E-4</v>
      </c>
      <c r="AQ16" s="66">
        <v>1.3100000000000001E-4</v>
      </c>
      <c r="AR16" s="279">
        <f t="shared" si="15"/>
        <v>2.9073000000000002E-2</v>
      </c>
      <c r="AS16" s="279">
        <f t="shared" si="0"/>
        <v>1.1882794284174072E-3</v>
      </c>
      <c r="AT16" s="279">
        <f t="shared" si="1"/>
        <v>6.5598999999999991E-2</v>
      </c>
      <c r="AU16" s="279">
        <f t="shared" si="2"/>
        <v>1.2182364302548169E-3</v>
      </c>
      <c r="AV16" s="279">
        <f t="shared" si="3"/>
        <v>3.6059999999999998E-3</v>
      </c>
      <c r="AW16" s="279">
        <f t="shared" si="4"/>
        <v>2.7500000000000002E-4</v>
      </c>
      <c r="AX16" s="279">
        <f t="shared" si="5"/>
        <v>4.0215000000000001E-2</v>
      </c>
      <c r="AY16" s="279">
        <f t="shared" si="6"/>
        <v>9.3034294751989167E-4</v>
      </c>
      <c r="AZ16" s="279">
        <f t="shared" si="7"/>
        <v>3.8856000000000002E-2</v>
      </c>
      <c r="BA16" s="279">
        <f t="shared" si="8"/>
        <v>1.4342430059093891E-3</v>
      </c>
      <c r="BB16" s="279">
        <f t="shared" si="9"/>
        <v>4.0660000000000002E-3</v>
      </c>
      <c r="BC16" s="279">
        <f t="shared" si="10"/>
        <v>3.9848337481004144E-4</v>
      </c>
      <c r="BD16" s="279">
        <f t="shared" si="11"/>
        <v>1.155E-2</v>
      </c>
      <c r="BE16" s="279">
        <f t="shared" si="12"/>
        <v>6.0925035904790413E-4</v>
      </c>
      <c r="BR16" s="280">
        <f t="shared" si="16"/>
        <v>0.74822421247683757</v>
      </c>
      <c r="BS16" s="280">
        <f t="shared" si="13"/>
        <v>4.120684531970701E-2</v>
      </c>
      <c r="BT16" s="280">
        <f t="shared" si="17"/>
        <v>1.6882592135062793</v>
      </c>
      <c r="BU16" s="280">
        <f t="shared" si="14"/>
        <v>6.9759188346692036E-2</v>
      </c>
      <c r="BW16" s="708" t="s">
        <v>57</v>
      </c>
      <c r="BX16" s="716">
        <v>149.44019486748175</v>
      </c>
      <c r="BY16" s="717">
        <v>2</v>
      </c>
      <c r="BZ16" s="709" t="s">
        <v>1021</v>
      </c>
    </row>
    <row r="17" spans="2:105" ht="18.600000000000001" thickBot="1">
      <c r="B17" s="273" t="s">
        <v>902</v>
      </c>
      <c r="C17" s="5">
        <v>2.3600000000000001E-3</v>
      </c>
      <c r="D17" s="66">
        <v>2.2599999999999999E-4</v>
      </c>
      <c r="E17" s="67">
        <v>44708</v>
      </c>
      <c r="F17" s="5" t="s">
        <v>821</v>
      </c>
      <c r="G17" s="327" t="s">
        <v>901</v>
      </c>
      <c r="H17" s="5">
        <v>1</v>
      </c>
      <c r="J17" s="327">
        <v>44644</v>
      </c>
      <c r="K17" s="5" t="s">
        <v>857</v>
      </c>
      <c r="L17" s="378">
        <v>0.05</v>
      </c>
      <c r="M17" s="5">
        <v>4.2</v>
      </c>
      <c r="N17" s="5" t="s">
        <v>322</v>
      </c>
      <c r="O17" s="5">
        <v>30</v>
      </c>
      <c r="P17" s="5">
        <v>0.20943200000000001</v>
      </c>
      <c r="Q17" s="5">
        <v>2.7200000000000002E-3</v>
      </c>
      <c r="R17" s="5">
        <v>0.33317099999999999</v>
      </c>
      <c r="S17" s="5">
        <v>2.3010000000000001E-3</v>
      </c>
      <c r="T17" s="5">
        <v>7.5290000000000001E-3</v>
      </c>
      <c r="U17" s="5">
        <v>3.3300000000000002E-4</v>
      </c>
      <c r="V17" s="5">
        <v>7.5648999999999994E-2</v>
      </c>
      <c r="W17" s="5">
        <v>1.224E-3</v>
      </c>
      <c r="X17" s="5">
        <v>6.9603999999999999E-2</v>
      </c>
      <c r="Y17" s="5">
        <v>1.248E-3</v>
      </c>
      <c r="Z17" s="5">
        <v>9.3559999999999997E-3</v>
      </c>
      <c r="AA17" s="5">
        <v>6.3000000000000003E-4</v>
      </c>
      <c r="AB17" s="5">
        <v>2.2461999999999999E-2</v>
      </c>
      <c r="AC17" s="5">
        <v>5.7799999999999995E-4</v>
      </c>
      <c r="AD17" s="66">
        <v>2.0929999999999998E-3</v>
      </c>
      <c r="AE17" s="66">
        <v>5.3700000000000004E-4</v>
      </c>
      <c r="AF17" s="66">
        <v>4.5899999999999999E-4</v>
      </c>
      <c r="AG17" s="66">
        <v>2.05E-4</v>
      </c>
      <c r="AH17" s="66">
        <v>4.1100000000000002E-4</v>
      </c>
      <c r="AI17" s="66">
        <v>1.6200000000000001E-4</v>
      </c>
      <c r="AJ17" s="66">
        <v>6.1399999999999996E-4</v>
      </c>
      <c r="AK17" s="66">
        <v>1.85E-4</v>
      </c>
      <c r="AL17" s="66">
        <v>5.31E-4</v>
      </c>
      <c r="AM17" s="66">
        <v>3.0800000000000001E-4</v>
      </c>
      <c r="AN17" s="66">
        <v>7.4399999999999998E-4</v>
      </c>
      <c r="AO17" s="66">
        <v>1.9000000000000001E-4</v>
      </c>
      <c r="AP17" s="66">
        <v>4.2999999999999999E-4</v>
      </c>
      <c r="AQ17" s="66">
        <v>1.22E-4</v>
      </c>
      <c r="AR17" s="279">
        <f t="shared" si="15"/>
        <v>0.207339</v>
      </c>
      <c r="AS17" s="279">
        <f t="shared" si="0"/>
        <v>2.7725022993678474E-3</v>
      </c>
      <c r="AT17" s="279">
        <f t="shared" si="1"/>
        <v>0.33271200000000001</v>
      </c>
      <c r="AU17" s="279">
        <f t="shared" si="2"/>
        <v>2.3101138500082634E-3</v>
      </c>
      <c r="AV17" s="279">
        <f t="shared" si="3"/>
        <v>7.1180000000000002E-3</v>
      </c>
      <c r="AW17" s="279">
        <f t="shared" si="4"/>
        <v>3.703147310059377E-4</v>
      </c>
      <c r="AX17" s="279">
        <f t="shared" si="5"/>
        <v>7.5034999999999991E-2</v>
      </c>
      <c r="AY17" s="279">
        <f t="shared" si="6"/>
        <v>1.2379018539448109E-3</v>
      </c>
      <c r="AZ17" s="279">
        <f t="shared" si="7"/>
        <v>6.9072999999999996E-2</v>
      </c>
      <c r="BA17" s="279">
        <f t="shared" si="8"/>
        <v>1.2854446701433711E-3</v>
      </c>
      <c r="BB17" s="279">
        <f t="shared" si="9"/>
        <v>8.6119999999999999E-3</v>
      </c>
      <c r="BC17" s="279">
        <f t="shared" si="10"/>
        <v>6.5802735505448402E-4</v>
      </c>
      <c r="BD17" s="279">
        <f t="shared" si="11"/>
        <v>2.2032E-2</v>
      </c>
      <c r="BE17" s="279">
        <f t="shared" si="12"/>
        <v>5.9073513523405724E-4</v>
      </c>
      <c r="BR17" s="280">
        <f t="shared" si="16"/>
        <v>3.0017372924297483</v>
      </c>
      <c r="BS17" s="280">
        <f t="shared" si="13"/>
        <v>6.8787344050150467E-2</v>
      </c>
      <c r="BT17" s="280">
        <f t="shared" si="17"/>
        <v>4.8168169907199632</v>
      </c>
      <c r="BU17" s="280">
        <f t="shared" si="14"/>
        <v>9.56764894162557E-2</v>
      </c>
      <c r="BW17" s="708" t="s">
        <v>1019</v>
      </c>
      <c r="BX17" s="718">
        <v>6.2123236102305297</v>
      </c>
      <c r="BY17" s="719">
        <v>8.3141267524970738E-2</v>
      </c>
      <c r="BZ17" s="709" t="s">
        <v>1022</v>
      </c>
    </row>
    <row r="18" spans="2:105">
      <c r="B18" s="273" t="s">
        <v>902</v>
      </c>
      <c r="C18" s="5">
        <v>2.3600000000000001E-3</v>
      </c>
      <c r="D18" s="66">
        <v>2.2599999999999999E-4</v>
      </c>
      <c r="E18" s="67">
        <v>44708</v>
      </c>
      <c r="F18" s="5" t="s">
        <v>821</v>
      </c>
      <c r="G18" s="327" t="s">
        <v>901</v>
      </c>
      <c r="H18" s="5">
        <v>1</v>
      </c>
      <c r="J18" s="327">
        <v>44644</v>
      </c>
      <c r="K18" s="5" t="s">
        <v>857</v>
      </c>
      <c r="L18" s="378">
        <v>0.06</v>
      </c>
      <c r="M18" s="5">
        <v>4.82</v>
      </c>
      <c r="N18" s="5" t="s">
        <v>322</v>
      </c>
      <c r="O18" s="5">
        <v>30</v>
      </c>
      <c r="P18" s="5">
        <v>6.7712999999999995E-2</v>
      </c>
      <c r="Q18" s="5">
        <v>1.616E-3</v>
      </c>
      <c r="R18" s="5">
        <v>0.123053</v>
      </c>
      <c r="S18" s="5">
        <v>1.539E-3</v>
      </c>
      <c r="T18" s="5">
        <v>6.5789999999999998E-3</v>
      </c>
      <c r="U18" s="5">
        <v>5.2599999999999999E-4</v>
      </c>
      <c r="V18" s="5">
        <v>5.7571999999999998E-2</v>
      </c>
      <c r="W18" s="5">
        <v>1.237E-3</v>
      </c>
      <c r="X18" s="5">
        <v>5.8359000000000001E-2</v>
      </c>
      <c r="Y18" s="5">
        <v>1.1670000000000001E-3</v>
      </c>
      <c r="Z18" s="5">
        <v>9.8019999999999999E-3</v>
      </c>
      <c r="AA18" s="5">
        <v>5.2800000000000004E-4</v>
      </c>
      <c r="AB18" s="5">
        <v>1.7069000000000001E-2</v>
      </c>
      <c r="AC18" s="5">
        <v>7.1400000000000001E-4</v>
      </c>
      <c r="AD18" s="66">
        <v>2.0929999999999998E-3</v>
      </c>
      <c r="AE18" s="66">
        <v>5.3700000000000004E-4</v>
      </c>
      <c r="AF18" s="66">
        <v>4.5899999999999999E-4</v>
      </c>
      <c r="AG18" s="66">
        <v>2.05E-4</v>
      </c>
      <c r="AH18" s="66">
        <v>4.1100000000000002E-4</v>
      </c>
      <c r="AI18" s="66">
        <v>1.6200000000000001E-4</v>
      </c>
      <c r="AJ18" s="66">
        <v>6.1399999999999996E-4</v>
      </c>
      <c r="AK18" s="66">
        <v>1.85E-4</v>
      </c>
      <c r="AL18" s="66">
        <v>5.31E-4</v>
      </c>
      <c r="AM18" s="66">
        <v>3.0800000000000001E-4</v>
      </c>
      <c r="AN18" s="66">
        <v>7.4399999999999998E-4</v>
      </c>
      <c r="AO18" s="66">
        <v>1.9000000000000001E-4</v>
      </c>
      <c r="AP18" s="66">
        <v>4.2999999999999999E-4</v>
      </c>
      <c r="AQ18" s="66">
        <v>1.22E-4</v>
      </c>
      <c r="AR18" s="279">
        <f t="shared" si="15"/>
        <v>6.5619999999999998E-2</v>
      </c>
      <c r="AS18" s="279">
        <f t="shared" si="0"/>
        <v>1.7028872540482531E-3</v>
      </c>
      <c r="AT18" s="279">
        <f t="shared" si="1"/>
        <v>0.12259399999999999</v>
      </c>
      <c r="AU18" s="279">
        <f t="shared" si="2"/>
        <v>1.5525933144258995E-3</v>
      </c>
      <c r="AV18" s="279">
        <f t="shared" si="3"/>
        <v>6.1679999999999999E-3</v>
      </c>
      <c r="AW18" s="279">
        <f t="shared" si="4"/>
        <v>5.5038168574181323E-4</v>
      </c>
      <c r="AX18" s="279">
        <f t="shared" si="5"/>
        <v>5.6957999999999995E-2</v>
      </c>
      <c r="AY18" s="279">
        <f t="shared" si="6"/>
        <v>1.2507573705559365E-3</v>
      </c>
      <c r="AZ18" s="279">
        <f t="shared" si="7"/>
        <v>5.7828000000000004E-2</v>
      </c>
      <c r="BA18" s="279">
        <f t="shared" si="8"/>
        <v>1.2069602313249596E-3</v>
      </c>
      <c r="BB18" s="279">
        <f t="shared" si="9"/>
        <v>9.0580000000000001E-3</v>
      </c>
      <c r="BC18" s="279">
        <f t="shared" si="10"/>
        <v>5.6114525748686504E-4</v>
      </c>
      <c r="BD18" s="279">
        <f t="shared" si="11"/>
        <v>1.6639000000000001E-2</v>
      </c>
      <c r="BE18" s="279">
        <f t="shared" si="12"/>
        <v>7.2434798267131245E-4</v>
      </c>
      <c r="BR18" s="280">
        <f t="shared" si="16"/>
        <v>1.1347444144704986</v>
      </c>
      <c r="BS18" s="280">
        <f t="shared" si="13"/>
        <v>3.7789926898649157E-2</v>
      </c>
      <c r="BT18" s="280">
        <f t="shared" si="17"/>
        <v>2.1199764819810469</v>
      </c>
      <c r="BU18" s="280">
        <f t="shared" si="14"/>
        <v>5.1755728021992457E-2</v>
      </c>
    </row>
    <row r="19" spans="2:105">
      <c r="B19" s="273" t="s">
        <v>902</v>
      </c>
      <c r="C19" s="5">
        <v>2.3600000000000001E-3</v>
      </c>
      <c r="D19" s="66">
        <v>2.2599999999999999E-4</v>
      </c>
      <c r="E19" s="67">
        <v>44708</v>
      </c>
      <c r="F19" s="5" t="s">
        <v>821</v>
      </c>
      <c r="G19" s="327" t="s">
        <v>901</v>
      </c>
      <c r="H19" s="5">
        <v>1</v>
      </c>
      <c r="J19" s="327">
        <v>44644</v>
      </c>
      <c r="K19" s="5" t="s">
        <v>857</v>
      </c>
      <c r="L19" s="378">
        <v>0.1</v>
      </c>
      <c r="M19" s="5">
        <v>7.49</v>
      </c>
      <c r="N19" s="5" t="s">
        <v>322</v>
      </c>
      <c r="O19" s="5">
        <v>30</v>
      </c>
      <c r="P19" s="5">
        <v>0.123197</v>
      </c>
      <c r="Q19" s="5">
        <v>6.2519999999999997E-3</v>
      </c>
      <c r="R19" s="5">
        <v>0.317075</v>
      </c>
      <c r="S19" s="5">
        <v>2.418E-3</v>
      </c>
      <c r="T19" s="5">
        <v>2.1353E-2</v>
      </c>
      <c r="U19" s="5">
        <v>6.2100000000000002E-4</v>
      </c>
      <c r="V19" s="5">
        <v>0.16584599999999999</v>
      </c>
      <c r="W19" s="5">
        <v>1.673E-3</v>
      </c>
      <c r="X19" s="5">
        <v>0.15715699999999999</v>
      </c>
      <c r="Y19" s="5">
        <v>1.505E-3</v>
      </c>
      <c r="Z19" s="5">
        <v>3.2802999999999999E-2</v>
      </c>
      <c r="AA19" s="5">
        <v>8.2899999999999998E-4</v>
      </c>
      <c r="AB19" s="5">
        <v>5.0938999999999998E-2</v>
      </c>
      <c r="AC19" s="5">
        <v>1.0610000000000001E-3</v>
      </c>
      <c r="AD19" s="66">
        <v>2.0929999999999998E-3</v>
      </c>
      <c r="AE19" s="66">
        <v>5.3700000000000004E-4</v>
      </c>
      <c r="AF19" s="66">
        <v>4.5899999999999999E-4</v>
      </c>
      <c r="AG19" s="66">
        <v>2.05E-4</v>
      </c>
      <c r="AH19" s="66">
        <v>4.1100000000000002E-4</v>
      </c>
      <c r="AI19" s="66">
        <v>1.6200000000000001E-4</v>
      </c>
      <c r="AJ19" s="66">
        <v>6.1399999999999996E-4</v>
      </c>
      <c r="AK19" s="66">
        <v>1.85E-4</v>
      </c>
      <c r="AL19" s="66">
        <v>5.31E-4</v>
      </c>
      <c r="AM19" s="66">
        <v>3.0800000000000001E-4</v>
      </c>
      <c r="AN19" s="66">
        <v>7.4399999999999998E-4</v>
      </c>
      <c r="AO19" s="66">
        <v>1.9000000000000001E-4</v>
      </c>
      <c r="AP19" s="66">
        <v>4.2999999999999999E-4</v>
      </c>
      <c r="AQ19" s="66">
        <v>1.22E-4</v>
      </c>
      <c r="AR19" s="279">
        <f t="shared" si="15"/>
        <v>0.121104</v>
      </c>
      <c r="AS19" s="279">
        <f t="shared" si="0"/>
        <v>6.2750197609250597E-3</v>
      </c>
      <c r="AT19" s="279">
        <f t="shared" si="1"/>
        <v>0.31661600000000001</v>
      </c>
      <c r="AU19" s="279">
        <f t="shared" si="2"/>
        <v>2.426674473430666E-3</v>
      </c>
      <c r="AV19" s="279">
        <f t="shared" si="3"/>
        <v>2.0941999999999999E-2</v>
      </c>
      <c r="AW19" s="279">
        <f t="shared" si="4"/>
        <v>6.4178267349625456E-4</v>
      </c>
      <c r="AX19" s="279">
        <f t="shared" si="5"/>
        <v>0.16523199999999999</v>
      </c>
      <c r="AY19" s="279">
        <f t="shared" si="6"/>
        <v>1.6831975522795892E-3</v>
      </c>
      <c r="AZ19" s="279">
        <f t="shared" si="7"/>
        <v>0.15662599999999999</v>
      </c>
      <c r="BA19" s="279">
        <f t="shared" si="8"/>
        <v>1.5361930217261111E-3</v>
      </c>
      <c r="BB19" s="279">
        <f t="shared" si="9"/>
        <v>3.2058999999999997E-2</v>
      </c>
      <c r="BC19" s="279">
        <f t="shared" si="10"/>
        <v>8.5049456200495476E-4</v>
      </c>
      <c r="BD19" s="279">
        <f t="shared" si="11"/>
        <v>5.0508999999999998E-2</v>
      </c>
      <c r="BE19" s="279">
        <f t="shared" si="12"/>
        <v>1.067991104831871E-3</v>
      </c>
      <c r="BR19" s="280">
        <f t="shared" si="16"/>
        <v>0.77320495958525415</v>
      </c>
      <c r="BS19" s="280">
        <f t="shared" si="13"/>
        <v>4.0775148352675733E-2</v>
      </c>
      <c r="BT19" s="280">
        <f t="shared" si="17"/>
        <v>2.0214779155440352</v>
      </c>
      <c r="BU19" s="280">
        <f t="shared" si="14"/>
        <v>2.516238076559401E-2</v>
      </c>
      <c r="BV19" s="463">
        <v>1.1103370306921454E+19</v>
      </c>
      <c r="BW19" s="463">
        <v>2.5542646608316826E+17</v>
      </c>
      <c r="BX19" s="720">
        <v>1.3413999999999999</v>
      </c>
      <c r="BY19" s="720">
        <v>0.10972601669055568</v>
      </c>
      <c r="BZ19" s="408">
        <f>IF(Heating_Type = "Stepped", 1/Slope_SW, Xe128AC/Xe129AC)</f>
        <v>0.74548978678992106</v>
      </c>
      <c r="CA19" s="159">
        <f>IF(Heating_Type="Stepped",Xe128Xe129*(Slope_SWerr/Slope_SW), Xe128Xe129*SQRT((Xe129ACerr/Xe129AC)^2+(Xe128ACerr/Xe128AC)^2))</f>
        <v>6.0980784842664136E-2</v>
      </c>
      <c r="CB19" s="157">
        <f>Xe128Xe129*SW_Initial</f>
        <v>7.9916505143879537E-5</v>
      </c>
      <c r="CC19" s="158">
        <f t="shared" ref="CC19" si="18">I127_Prod*SQRT((Xe128Xe129err/Xe128Xe129)^2+(SW_Initialerr/SW_Initial)^2)</f>
        <v>6.8853540855314373E-6</v>
      </c>
      <c r="CD19" s="158">
        <f>Therm_CS_127I*Therm_Flux*Y_127I*I127_Abun</f>
        <v>6.4292955425197996E-5</v>
      </c>
      <c r="CE19" s="158">
        <f t="shared" ref="CE19" si="19">I127_Th*SQRT((Therm_CS_127Ierr/Therm_CS_127I)^2+(Therm_Fluxerr/Therm_Flux)^2)</f>
        <v>1.5368147231296043E-6</v>
      </c>
      <c r="CF19" s="167">
        <f>I127_Prod/I127_Th</f>
        <v>1.2430056234832578</v>
      </c>
      <c r="CG19" s="147">
        <f>I_Factor*SQRT((I127_Therr/I127_Th)^2+(I127_Proderr/I127_Prod)^2)</f>
        <v>0.11113867994607306</v>
      </c>
      <c r="CH19" s="157">
        <f>(I127_Prod/Y_127I-(Therm_CS_127I*Therm_Flux))/Epitherm_CS_127I</f>
        <v>1.0834939747761067E+17</v>
      </c>
      <c r="CI19" s="158">
        <f t="shared" ref="CI19" si="20">SQRT(((Therm_Flux*Therm_CS_127I/Epitherm_CS_127I)^2*((Therm_CS_127Ierr/Therm_CS_127I)^2+(Epitherm_CS_127Ierr/Epitherm_CS_127I)^2+(Therm_Fluxerr/Therm_Flux)^2))+((I127_Prod/Epitherm_CS_127I)^2*((I127_Proderr/I127_Prod)^2+(Epitherm_CS_127Ierr/Epitherm_CS_127I)^2)))</f>
        <v>4.931710561717708E+16</v>
      </c>
      <c r="CJ19" s="158">
        <f t="shared" ref="CJ19" si="21">Y_79Br*(Therm_CS_79Br*Therm_Flux+Epitherm_CS_79Br*EpiTherm_Flux)*Br79_Abun</f>
        <v>6.2732062608902229E-5</v>
      </c>
      <c r="CK19" s="158">
        <f t="shared" ref="CK19" si="22">Br79_Abun*Y_79Br*SQRT(Therm_CS_79Br^2*Epitherm_CS_79Brerr^2*EpiTherm_Flux^2+Therm_Flux^2*Therm_CS_79Brerr^2+Therm_Fluxerr^2*Therm_CS_79Br^2)</f>
        <v>1.318461841630433E-6</v>
      </c>
      <c r="CL19" s="158">
        <f t="shared" ref="CL19" si="23">Therm_CS_79Br*Therm_Flux*Y_79Br*Br79_Abun</f>
        <v>5.620491958685788E-5</v>
      </c>
      <c r="CM19" s="158">
        <f t="shared" ref="CM19" si="24">Br79_Th*SQRT((Therm_CS_79Brerr/Therm_CS_79Br)^2+(Therm_Fluxerr/Therm_Flux)^2)</f>
        <v>1.3184618416304328E-6</v>
      </c>
      <c r="CN19" s="147">
        <f t="shared" ref="CN19" si="25">Br79_ETh/Br79_Th</f>
        <v>1.1161311691222588</v>
      </c>
      <c r="CO19" s="147">
        <f t="shared" ref="CO19" si="26">Br79_Factor*SQRT((Br79_Therr/Br79_Th)^2+(Br79_ETherr/Br79_ETh)^2)</f>
        <v>3.5153924948669417E-2</v>
      </c>
      <c r="CP19" s="158">
        <f t="shared" ref="CP19" si="27">Y_81Br*(Therm_CS_81Br*Therm_Flux+Epitherm_CS_81Br*CH19)*Br81_Abun</f>
        <v>1.5394843849683921E-5</v>
      </c>
      <c r="CQ19" s="158">
        <f t="shared" ref="CQ19" si="28">Br81_Abun*Y_81Br*SQRT(Therm_CS_81Br^2*Epitherm_CS_81Brerr^2*CH19^2+Therm_Flux^2*Therm_CS_81Brerr^2+Therm_Fluxerr^2*Therm_CS_81Br^2)</f>
        <v>3.3960666451557665E-7</v>
      </c>
      <c r="CR19" s="158">
        <f t="shared" ref="CR19" si="29">Therm_CS_81Br*Therm_Flux*Y_81Br*Br81_Abun</f>
        <v>1.2921169680089407E-5</v>
      </c>
      <c r="CS19" s="158">
        <f t="shared" ref="CS19" si="30">Br81_Th*SQRT((Therm_CS_81Brerr/Therm_CS_81Br)^2+(Therm_Fluxerr/Therm_Flux)^2)</f>
        <v>3.396066645155766E-7</v>
      </c>
      <c r="CT19" s="147">
        <f t="shared" ref="CT19" si="31">Br81_ETh/Br81_Th</f>
        <v>1.1914435171767976</v>
      </c>
      <c r="CU19" s="147">
        <f t="shared" ref="CU19" si="32">Br81_Factor*SQRT((Br81_ETherr/Br81_ETh)^2+(Br81_Therr/Br79_Th)^2)</f>
        <v>2.7251067157225396E-2</v>
      </c>
      <c r="CV19" s="158">
        <f t="shared" ref="CV19" si="33">Y_130Ba*(Therm_CS_130Ba*Therm_Flux+Epitherm_CS_130Ba*CH19)*Ba130_Abun</f>
        <v>1.1382708507093096E-7</v>
      </c>
      <c r="CW19" s="158">
        <f t="shared" ref="CW19" si="34">Ba130_Abun*Y_130Ba*SQRT(Therm_CS_130Ba^2*Epitherm_CS_130Baerr^2*CH19^2+Therm_Flux^2*Therm_CS_130Baerr^2+Therm_Fluxerr^2*Therm_CS_130Ba^2)</f>
        <v>4.538790970025656E-9</v>
      </c>
      <c r="CX19" s="158">
        <f t="shared" ref="CX19" si="35">Therm_CS_130Ba*Therm_Flux*Y_130Ba*Ba130_Abun</f>
        <v>9.116710878125841E-8</v>
      </c>
      <c r="CY19" s="158">
        <f t="shared" ref="CY19" si="36">Ba130_Th*SQRT((Therm_CS_81Brerr/Therm_CS_81Br)^2+(Therm_Fluxerr/Therm_Flux)^2)</f>
        <v>2.3961420284140769E-9</v>
      </c>
      <c r="CZ19" s="147">
        <f t="shared" ref="CZ19" si="37">CV19/CX19</f>
        <v>1.2485542932379452</v>
      </c>
      <c r="DA19" s="147">
        <f t="shared" ref="DA19" si="38">Ba_Factor*SQRT((Ba130_Therr/Ba130_Th)^2+(Ba130_ETherr/Ba130_ETh)^2)</f>
        <v>5.962765195347651E-2</v>
      </c>
    </row>
    <row r="20" spans="2:105">
      <c r="AR20" s="279">
        <f t="shared" si="15"/>
        <v>0</v>
      </c>
      <c r="AS20" s="279">
        <f t="shared" si="0"/>
        <v>0</v>
      </c>
      <c r="AT20" s="279">
        <f t="shared" si="1"/>
        <v>0</v>
      </c>
      <c r="AU20" s="279">
        <f t="shared" si="2"/>
        <v>0</v>
      </c>
      <c r="AV20" s="279">
        <f t="shared" si="3"/>
        <v>0</v>
      </c>
      <c r="AW20" s="279">
        <f t="shared" si="4"/>
        <v>0</v>
      </c>
      <c r="AX20" s="279">
        <f t="shared" si="5"/>
        <v>0</v>
      </c>
      <c r="AY20" s="279">
        <f t="shared" si="6"/>
        <v>0</v>
      </c>
      <c r="AZ20" s="279">
        <f t="shared" si="7"/>
        <v>0</v>
      </c>
      <c r="BA20" s="279">
        <f t="shared" si="8"/>
        <v>0</v>
      </c>
      <c r="BB20" s="279">
        <f t="shared" si="9"/>
        <v>0</v>
      </c>
      <c r="BC20" s="279">
        <f t="shared" si="10"/>
        <v>0</v>
      </c>
      <c r="BD20" s="279">
        <f t="shared" si="11"/>
        <v>0</v>
      </c>
      <c r="BE20" s="279">
        <f t="shared" si="12"/>
        <v>0</v>
      </c>
      <c r="BR20" s="280"/>
      <c r="BS20" s="280"/>
      <c r="BT20" s="280"/>
      <c r="BU20" s="280"/>
    </row>
    <row r="21" spans="2:105">
      <c r="B21" s="273" t="s">
        <v>907</v>
      </c>
      <c r="C21" s="5">
        <v>2.5000000000000001E-3</v>
      </c>
      <c r="D21" s="66">
        <f>C21*0.1</f>
        <v>2.5000000000000001E-4</v>
      </c>
      <c r="E21" s="67">
        <v>44712</v>
      </c>
      <c r="F21" s="5" t="s">
        <v>821</v>
      </c>
      <c r="G21" s="327" t="s">
        <v>901</v>
      </c>
      <c r="H21" s="5">
        <v>1</v>
      </c>
      <c r="J21" s="327">
        <v>44644</v>
      </c>
      <c r="K21" s="5" t="s">
        <v>857</v>
      </c>
      <c r="L21" s="378">
        <v>5.0000000000000001E-3</v>
      </c>
      <c r="M21" s="5">
        <v>0.26</v>
      </c>
      <c r="N21" s="5" t="s">
        <v>322</v>
      </c>
      <c r="O21" s="5">
        <v>30</v>
      </c>
      <c r="P21" s="5">
        <v>0.21130499999999999</v>
      </c>
      <c r="Q21" s="5">
        <v>1.714E-3</v>
      </c>
      <c r="R21" s="5">
        <v>5.1770000000000002E-3</v>
      </c>
      <c r="S21" s="5">
        <v>3.3399999999999999E-4</v>
      </c>
      <c r="T21" s="5">
        <v>9.5500000000000001E-4</v>
      </c>
      <c r="U21" s="5">
        <v>1.8699999999999999E-4</v>
      </c>
      <c r="V21" s="5">
        <v>1.1223E-2</v>
      </c>
      <c r="W21" s="5">
        <v>3.1E-4</v>
      </c>
      <c r="X21" s="5">
        <v>6.5900000000000004E-3</v>
      </c>
      <c r="Y21" s="5">
        <v>5.0900000000000001E-4</v>
      </c>
      <c r="Z21" s="5">
        <v>2.0309999999999998E-3</v>
      </c>
      <c r="AA21" s="5">
        <v>2.8400000000000002E-4</v>
      </c>
      <c r="AB21" s="5">
        <v>3.8839999999999999E-3</v>
      </c>
      <c r="AC21" s="5">
        <v>3.79E-4</v>
      </c>
      <c r="AD21" s="66">
        <v>1.176E-3</v>
      </c>
      <c r="AE21" s="66">
        <v>3.39E-4</v>
      </c>
      <c r="AF21" s="66">
        <v>6.3100000000000005E-4</v>
      </c>
      <c r="AG21" s="66">
        <v>1.56E-4</v>
      </c>
      <c r="AH21" s="66">
        <v>3.5E-4</v>
      </c>
      <c r="AI21" s="66">
        <v>3.0000000000000001E-5</v>
      </c>
      <c r="AJ21" s="66">
        <v>4.5100000000000001E-4</v>
      </c>
      <c r="AK21" s="66">
        <v>8.1000000000000004E-5</v>
      </c>
      <c r="AL21" s="66">
        <v>5.2499999999999997E-4</v>
      </c>
      <c r="AM21" s="66">
        <v>1.25E-4</v>
      </c>
      <c r="AN21" s="66">
        <v>7.4399999999999998E-4</v>
      </c>
      <c r="AO21" s="66">
        <v>1.66E-4</v>
      </c>
      <c r="AP21" s="66">
        <v>4.9200000000000003E-4</v>
      </c>
      <c r="AQ21" s="66">
        <v>6.8999999999999997E-5</v>
      </c>
      <c r="AR21" s="279">
        <f t="shared" si="15"/>
        <v>0.21012899999999998</v>
      </c>
      <c r="AS21" s="279">
        <f t="shared" si="0"/>
        <v>1.7472026213350299E-3</v>
      </c>
      <c r="AT21" s="279">
        <f t="shared" si="1"/>
        <v>4.5459999999999997E-3</v>
      </c>
      <c r="AU21" s="279">
        <f t="shared" si="2"/>
        <v>3.6863532115086309E-4</v>
      </c>
      <c r="AV21" s="279">
        <f t="shared" si="3"/>
        <v>6.0500000000000007E-4</v>
      </c>
      <c r="AW21" s="279">
        <f t="shared" si="4"/>
        <v>1.8939112967612817E-4</v>
      </c>
      <c r="AX21" s="279">
        <f t="shared" si="5"/>
        <v>1.0772E-2</v>
      </c>
      <c r="AY21" s="279">
        <f t="shared" si="6"/>
        <v>3.2040755296965144E-4</v>
      </c>
      <c r="AZ21" s="279">
        <f t="shared" si="7"/>
        <v>6.0650000000000001E-3</v>
      </c>
      <c r="BA21" s="279">
        <f t="shared" si="8"/>
        <v>5.2412403112240527E-4</v>
      </c>
      <c r="BB21" s="279">
        <f t="shared" si="9"/>
        <v>1.2869999999999999E-3</v>
      </c>
      <c r="BC21" s="279">
        <f t="shared" si="10"/>
        <v>3.289559240992629E-4</v>
      </c>
      <c r="BD21" s="279">
        <f t="shared" si="11"/>
        <v>3.392E-3</v>
      </c>
      <c r="BE21" s="279">
        <f t="shared" si="12"/>
        <v>3.852298015470766E-4</v>
      </c>
      <c r="BR21" s="280">
        <f t="shared" ref="BR21:BR29" si="39">AR21/AZ21</f>
        <v>34.646166529266281</v>
      </c>
      <c r="BS21" s="280">
        <f t="shared" ref="BS21:BS29" si="40">BR21*SQRT((AS21/AR21)^2+(BA21/AZ21)^2)</f>
        <v>3.0078731310468094</v>
      </c>
      <c r="BT21" s="280">
        <f t="shared" ref="BT21:BT29" si="41">AT21/AZ21</f>
        <v>0.74954657873042041</v>
      </c>
      <c r="BU21" s="280">
        <f t="shared" ref="BU21:BU29" si="42">BT21*SQRT((AU21/AT21)^2+(BA21/AZ21)^2)</f>
        <v>8.8825642876104255E-2</v>
      </c>
    </row>
    <row r="22" spans="2:105" ht="18.600000000000001" thickBot="1">
      <c r="B22" s="273" t="s">
        <v>907</v>
      </c>
      <c r="C22" s="5">
        <v>2.5000000000000001E-3</v>
      </c>
      <c r="D22" s="66">
        <f t="shared" ref="D22:D40" si="43">C22*0.1</f>
        <v>2.5000000000000001E-4</v>
      </c>
      <c r="E22" s="67">
        <v>44712</v>
      </c>
      <c r="F22" s="5" t="s">
        <v>821</v>
      </c>
      <c r="G22" s="327" t="s">
        <v>901</v>
      </c>
      <c r="H22" s="5">
        <v>1</v>
      </c>
      <c r="J22" s="327">
        <v>44644</v>
      </c>
      <c r="K22" s="5" t="s">
        <v>857</v>
      </c>
      <c r="L22" s="378">
        <v>0.01</v>
      </c>
      <c r="M22" s="5">
        <v>0.83</v>
      </c>
      <c r="N22" s="5" t="s">
        <v>322</v>
      </c>
      <c r="O22" s="5">
        <v>30</v>
      </c>
      <c r="P22" s="5">
        <v>8.5054000000000005E-2</v>
      </c>
      <c r="Q22" s="5">
        <v>2.0839999999999999E-3</v>
      </c>
      <c r="R22" s="5">
        <v>2.9759999999999999E-3</v>
      </c>
      <c r="S22" s="5">
        <v>2.1900000000000001E-4</v>
      </c>
      <c r="T22" s="5">
        <v>3.5399999999999999E-4</v>
      </c>
      <c r="U22" s="5">
        <v>1.5200000000000001E-4</v>
      </c>
      <c r="V22" s="5">
        <v>5.0340000000000003E-3</v>
      </c>
      <c r="W22" s="5">
        <v>4.6900000000000002E-4</v>
      </c>
      <c r="X22" s="5">
        <v>2.8159999999999999E-3</v>
      </c>
      <c r="Y22" s="5">
        <v>3.5300000000000002E-4</v>
      </c>
      <c r="Z22" s="5">
        <v>1.474E-3</v>
      </c>
      <c r="AA22" s="5">
        <v>1.8599999999999999E-4</v>
      </c>
      <c r="AB22" s="5">
        <v>1.127E-3</v>
      </c>
      <c r="AC22" s="5">
        <v>2.5099999999999998E-4</v>
      </c>
      <c r="AD22" s="66">
        <v>1.176E-3</v>
      </c>
      <c r="AE22" s="66">
        <v>3.39E-4</v>
      </c>
      <c r="AF22" s="66">
        <v>6.3100000000000005E-4</v>
      </c>
      <c r="AG22" s="66">
        <v>1.56E-4</v>
      </c>
      <c r="AH22" s="66">
        <v>3.5E-4</v>
      </c>
      <c r="AI22" s="66">
        <v>3.0000000000000001E-5</v>
      </c>
      <c r="AJ22" s="66">
        <v>4.5100000000000001E-4</v>
      </c>
      <c r="AK22" s="66">
        <v>8.1000000000000004E-5</v>
      </c>
      <c r="AL22" s="66">
        <v>5.2499999999999997E-4</v>
      </c>
      <c r="AM22" s="66">
        <v>1.25E-4</v>
      </c>
      <c r="AN22" s="66">
        <v>7.4399999999999998E-4</v>
      </c>
      <c r="AO22" s="66">
        <v>1.66E-4</v>
      </c>
      <c r="AP22" s="66">
        <v>4.9200000000000003E-4</v>
      </c>
      <c r="AQ22" s="66">
        <v>6.8999999999999997E-5</v>
      </c>
      <c r="AR22" s="279">
        <f t="shared" si="15"/>
        <v>8.3878000000000008E-2</v>
      </c>
      <c r="AS22" s="279">
        <f t="shared" si="0"/>
        <v>2.1113921947378701E-3</v>
      </c>
      <c r="AT22" s="279">
        <f t="shared" si="1"/>
        <v>2.3449999999999999E-3</v>
      </c>
      <c r="AU22" s="279">
        <f t="shared" si="2"/>
        <v>2.6888101457708016E-4</v>
      </c>
      <c r="AV22" s="279">
        <f t="shared" si="3"/>
        <v>3.9999999999999888E-6</v>
      </c>
      <c r="AW22" s="279">
        <f t="shared" si="4"/>
        <v>1.5493224325491452E-4</v>
      </c>
      <c r="AX22" s="279">
        <f t="shared" si="5"/>
        <v>4.5830000000000003E-3</v>
      </c>
      <c r="AY22" s="279">
        <f t="shared" si="6"/>
        <v>4.7594327393083309E-4</v>
      </c>
      <c r="AZ22" s="279">
        <f t="shared" si="7"/>
        <v>2.2910000000000001E-3</v>
      </c>
      <c r="BA22" s="279">
        <f t="shared" si="8"/>
        <v>3.7447830377740181E-4</v>
      </c>
      <c r="BB22" s="279">
        <f t="shared" si="9"/>
        <v>7.3000000000000007E-4</v>
      </c>
      <c r="BC22" s="279">
        <f t="shared" si="10"/>
        <v>2.493030284613486E-4</v>
      </c>
      <c r="BD22" s="279">
        <f t="shared" si="11"/>
        <v>6.3499999999999993E-4</v>
      </c>
      <c r="BE22" s="279">
        <f t="shared" si="12"/>
        <v>2.6031135203828507E-4</v>
      </c>
      <c r="BR22" s="280">
        <f t="shared" si="39"/>
        <v>36.611959842863378</v>
      </c>
      <c r="BS22" s="280">
        <f t="shared" si="40"/>
        <v>6.0550015843884779</v>
      </c>
      <c r="BT22" s="280">
        <f t="shared" si="41"/>
        <v>1.0235704932343954</v>
      </c>
      <c r="BU22" s="280">
        <f t="shared" si="42"/>
        <v>0.20436883967863068</v>
      </c>
    </row>
    <row r="23" spans="2:105">
      <c r="B23" s="273" t="s">
        <v>907</v>
      </c>
      <c r="C23" s="5">
        <v>2.5000000000000001E-3</v>
      </c>
      <c r="D23" s="66">
        <f t="shared" si="43"/>
        <v>2.5000000000000001E-4</v>
      </c>
      <c r="E23" s="67">
        <v>44712</v>
      </c>
      <c r="F23" s="5" t="s">
        <v>821</v>
      </c>
      <c r="G23" s="327" t="s">
        <v>901</v>
      </c>
      <c r="H23" s="5">
        <v>1</v>
      </c>
      <c r="J23" s="327">
        <v>44644</v>
      </c>
      <c r="K23" s="5" t="s">
        <v>857</v>
      </c>
      <c r="L23" s="378">
        <v>1.4999999999999999E-2</v>
      </c>
      <c r="M23" s="5">
        <v>1.35</v>
      </c>
      <c r="N23" s="5" t="s">
        <v>322</v>
      </c>
      <c r="O23" s="5">
        <v>30</v>
      </c>
      <c r="P23" s="5">
        <v>4.3445999999999999E-2</v>
      </c>
      <c r="Q23" s="5">
        <v>1.201E-3</v>
      </c>
      <c r="R23" s="5">
        <v>2.908E-3</v>
      </c>
      <c r="S23" s="5">
        <v>2.5799999999999998E-4</v>
      </c>
      <c r="T23" s="5">
        <v>7.1699999999999997E-4</v>
      </c>
      <c r="U23" s="5">
        <v>1.46E-4</v>
      </c>
      <c r="V23" s="5">
        <v>4.3810000000000003E-3</v>
      </c>
      <c r="W23" s="5">
        <v>4.8200000000000001E-4</v>
      </c>
      <c r="X23" s="5">
        <v>2.673E-3</v>
      </c>
      <c r="Y23" s="5">
        <v>2.52E-4</v>
      </c>
      <c r="Z23" s="5">
        <v>1.2409999999999999E-3</v>
      </c>
      <c r="AA23" s="5">
        <v>2.92E-4</v>
      </c>
      <c r="AB23" s="5">
        <v>1.3799999999999999E-3</v>
      </c>
      <c r="AC23" s="5">
        <v>2.7700000000000001E-4</v>
      </c>
      <c r="AD23" s="66">
        <v>1.176E-3</v>
      </c>
      <c r="AE23" s="66">
        <v>3.39E-4</v>
      </c>
      <c r="AF23" s="66">
        <v>6.3100000000000005E-4</v>
      </c>
      <c r="AG23" s="66">
        <v>1.56E-4</v>
      </c>
      <c r="AH23" s="66">
        <v>3.5E-4</v>
      </c>
      <c r="AI23" s="66">
        <v>3.0000000000000001E-5</v>
      </c>
      <c r="AJ23" s="66">
        <v>4.5100000000000001E-4</v>
      </c>
      <c r="AK23" s="66">
        <v>8.1000000000000004E-5</v>
      </c>
      <c r="AL23" s="66">
        <v>5.2499999999999997E-4</v>
      </c>
      <c r="AM23" s="66">
        <v>1.25E-4</v>
      </c>
      <c r="AN23" s="66">
        <v>7.4399999999999998E-4</v>
      </c>
      <c r="AO23" s="66">
        <v>1.66E-4</v>
      </c>
      <c r="AP23" s="66">
        <v>4.9200000000000003E-4</v>
      </c>
      <c r="AQ23" s="66">
        <v>6.8999999999999997E-5</v>
      </c>
      <c r="AR23" s="279">
        <f t="shared" si="15"/>
        <v>4.2270000000000002E-2</v>
      </c>
      <c r="AS23" s="279">
        <f t="shared" si="0"/>
        <v>1.2479270812030645E-3</v>
      </c>
      <c r="AT23" s="279">
        <f t="shared" si="1"/>
        <v>2.2769999999999999E-3</v>
      </c>
      <c r="AU23" s="279">
        <f t="shared" si="2"/>
        <v>3.0149626863362668E-4</v>
      </c>
      <c r="AV23" s="279">
        <f t="shared" si="3"/>
        <v>3.6699999999999998E-4</v>
      </c>
      <c r="AW23" s="279">
        <f t="shared" si="4"/>
        <v>1.4905032707109367E-4</v>
      </c>
      <c r="AX23" s="279">
        <f t="shared" si="5"/>
        <v>3.9300000000000003E-3</v>
      </c>
      <c r="AY23" s="279">
        <f t="shared" si="6"/>
        <v>4.8875863163733494E-4</v>
      </c>
      <c r="AZ23" s="279">
        <f t="shared" si="7"/>
        <v>2.1480000000000002E-3</v>
      </c>
      <c r="BA23" s="279">
        <f t="shared" si="8"/>
        <v>2.8129877354869502E-4</v>
      </c>
      <c r="BB23" s="279">
        <f t="shared" si="9"/>
        <v>4.9699999999999994E-4</v>
      </c>
      <c r="BC23" s="279">
        <f t="shared" si="10"/>
        <v>3.3588688572196444E-4</v>
      </c>
      <c r="BD23" s="279">
        <f t="shared" si="11"/>
        <v>8.879999999999999E-4</v>
      </c>
      <c r="BE23" s="279">
        <f t="shared" si="12"/>
        <v>2.8546453369902191E-4</v>
      </c>
      <c r="BR23" s="280">
        <f t="shared" si="39"/>
        <v>19.678770949720668</v>
      </c>
      <c r="BS23" s="280">
        <f t="shared" si="40"/>
        <v>2.6417760036686437</v>
      </c>
      <c r="BT23" s="280">
        <f t="shared" si="41"/>
        <v>1.0600558659217876</v>
      </c>
      <c r="BU23" s="280">
        <f t="shared" si="42"/>
        <v>0.197416373399461</v>
      </c>
      <c r="BW23" s="708" t="s">
        <v>1014</v>
      </c>
      <c r="BX23" s="712" cm="1">
        <f t="array" ref="BX23:BY27">LINEST(BT27:BT29,BR27:BR29,,TRUE)</f>
        <v>1.2481294925655251</v>
      </c>
      <c r="BY23" s="713">
        <v>1.0398518567455644</v>
      </c>
      <c r="BZ23" s="709" t="s">
        <v>1015</v>
      </c>
    </row>
    <row r="24" spans="2:105">
      <c r="B24" s="273" t="s">
        <v>907</v>
      </c>
      <c r="C24" s="5">
        <v>2.5000000000000001E-3</v>
      </c>
      <c r="D24" s="66">
        <f t="shared" si="43"/>
        <v>2.5000000000000001E-4</v>
      </c>
      <c r="E24" s="67">
        <v>44712</v>
      </c>
      <c r="F24" s="5" t="s">
        <v>821</v>
      </c>
      <c r="G24" s="327" t="s">
        <v>901</v>
      </c>
      <c r="H24" s="5">
        <v>1</v>
      </c>
      <c r="J24" s="327">
        <v>44644</v>
      </c>
      <c r="K24" s="5" t="s">
        <v>857</v>
      </c>
      <c r="L24" s="378">
        <v>2.5000000000000001E-2</v>
      </c>
      <c r="M24" s="5">
        <v>2.33</v>
      </c>
      <c r="N24" s="5" t="s">
        <v>322</v>
      </c>
      <c r="O24" s="5">
        <v>30</v>
      </c>
      <c r="P24" s="5">
        <v>4.3094E-2</v>
      </c>
      <c r="Q24" s="5">
        <v>2.284E-3</v>
      </c>
      <c r="R24" s="5">
        <v>3.0235000000000001E-2</v>
      </c>
      <c r="S24" s="5">
        <v>1.031E-3</v>
      </c>
      <c r="T24" s="5">
        <v>1.132E-3</v>
      </c>
      <c r="U24" s="5">
        <v>2.12E-4</v>
      </c>
      <c r="V24" s="5">
        <v>1.0059E-2</v>
      </c>
      <c r="W24" s="5">
        <v>6.0899999999999995E-4</v>
      </c>
      <c r="X24" s="5">
        <v>3.9500000000000004E-3</v>
      </c>
      <c r="Y24" s="5">
        <v>3.1399999999999999E-4</v>
      </c>
      <c r="Z24" s="5">
        <v>1.5169999999999999E-3</v>
      </c>
      <c r="AA24" s="5">
        <v>2.3800000000000001E-4</v>
      </c>
      <c r="AB24" s="5">
        <v>2.5999999999999999E-3</v>
      </c>
      <c r="AC24" s="5">
        <v>2.99E-4</v>
      </c>
      <c r="AD24" s="66">
        <v>1.176E-3</v>
      </c>
      <c r="AE24" s="66">
        <v>3.39E-4</v>
      </c>
      <c r="AF24" s="66">
        <v>6.3100000000000005E-4</v>
      </c>
      <c r="AG24" s="66">
        <v>1.56E-4</v>
      </c>
      <c r="AH24" s="66">
        <v>3.5E-4</v>
      </c>
      <c r="AI24" s="66">
        <v>3.0000000000000001E-5</v>
      </c>
      <c r="AJ24" s="66">
        <v>4.5100000000000001E-4</v>
      </c>
      <c r="AK24" s="66">
        <v>8.1000000000000004E-5</v>
      </c>
      <c r="AL24" s="66">
        <v>5.2499999999999997E-4</v>
      </c>
      <c r="AM24" s="66">
        <v>1.25E-4</v>
      </c>
      <c r="AN24" s="66">
        <v>7.4399999999999998E-4</v>
      </c>
      <c r="AO24" s="66">
        <v>1.66E-4</v>
      </c>
      <c r="AP24" s="66">
        <v>4.9200000000000003E-4</v>
      </c>
      <c r="AQ24" s="66">
        <v>6.8999999999999997E-5</v>
      </c>
      <c r="AR24" s="279">
        <f t="shared" si="15"/>
        <v>4.1917999999999997E-2</v>
      </c>
      <c r="AS24" s="279">
        <f t="shared" si="0"/>
        <v>2.3090207881264302E-3</v>
      </c>
      <c r="AT24" s="279">
        <f t="shared" si="1"/>
        <v>2.9604000000000002E-2</v>
      </c>
      <c r="AU24" s="279">
        <f t="shared" si="2"/>
        <v>1.0427353451379693E-3</v>
      </c>
      <c r="AV24" s="279">
        <f t="shared" si="3"/>
        <v>7.8199999999999993E-4</v>
      </c>
      <c r="AW24" s="279">
        <f t="shared" si="4"/>
        <v>2.1411212016137713E-4</v>
      </c>
      <c r="AX24" s="279">
        <f t="shared" si="5"/>
        <v>9.6080000000000002E-3</v>
      </c>
      <c r="AY24" s="279">
        <f t="shared" si="6"/>
        <v>6.1436308482850754E-4</v>
      </c>
      <c r="AZ24" s="279">
        <f t="shared" si="7"/>
        <v>3.4250000000000005E-3</v>
      </c>
      <c r="BA24" s="279">
        <f t="shared" si="8"/>
        <v>3.3796597461874765E-4</v>
      </c>
      <c r="BB24" s="279">
        <f t="shared" si="9"/>
        <v>7.7299999999999992E-4</v>
      </c>
      <c r="BC24" s="279">
        <f t="shared" si="10"/>
        <v>2.9017236257093817E-4</v>
      </c>
      <c r="BD24" s="279">
        <f t="shared" si="11"/>
        <v>2.1079999999999996E-3</v>
      </c>
      <c r="BE24" s="279">
        <f t="shared" si="12"/>
        <v>3.0685827347490567E-4</v>
      </c>
      <c r="BR24" s="280">
        <f t="shared" si="39"/>
        <v>12.238832116788318</v>
      </c>
      <c r="BS24" s="280">
        <f t="shared" si="40"/>
        <v>1.3831106468354699</v>
      </c>
      <c r="BT24" s="280">
        <f t="shared" si="41"/>
        <v>8.6435036496350364</v>
      </c>
      <c r="BU24" s="280">
        <f t="shared" si="42"/>
        <v>0.90561632398639347</v>
      </c>
      <c r="BW24" s="708" t="s">
        <v>1016</v>
      </c>
      <c r="BX24" s="714">
        <v>0.13490458082995282</v>
      </c>
      <c r="BY24" s="715">
        <v>0.36576821562928596</v>
      </c>
      <c r="BZ24" s="709" t="s">
        <v>1017</v>
      </c>
    </row>
    <row r="25" spans="2:105">
      <c r="B25" s="273" t="s">
        <v>907</v>
      </c>
      <c r="C25" s="5">
        <v>2.5000000000000001E-3</v>
      </c>
      <c r="D25" s="66">
        <f t="shared" si="43"/>
        <v>2.5000000000000001E-4</v>
      </c>
      <c r="E25" s="67">
        <v>44712</v>
      </c>
      <c r="F25" s="5" t="s">
        <v>821</v>
      </c>
      <c r="G25" s="327" t="s">
        <v>901</v>
      </c>
      <c r="H25" s="5">
        <v>1</v>
      </c>
      <c r="J25" s="327">
        <v>44644</v>
      </c>
      <c r="K25" s="5" t="s">
        <v>857</v>
      </c>
      <c r="L25" s="378">
        <v>3.5000000000000003E-2</v>
      </c>
      <c r="M25" s="5">
        <v>3.11</v>
      </c>
      <c r="N25" s="5" t="s">
        <v>322</v>
      </c>
      <c r="O25" s="5">
        <v>30</v>
      </c>
      <c r="P25" s="5">
        <v>5.5328000000000002E-2</v>
      </c>
      <c r="Q25" s="5">
        <v>8.7900000000000001E-4</v>
      </c>
      <c r="R25" s="5">
        <v>7.1720999999999993E-2</v>
      </c>
      <c r="S25" s="5">
        <v>1.6149999999999999E-3</v>
      </c>
      <c r="T25" s="5">
        <v>1.5839999999999999E-3</v>
      </c>
      <c r="U25" s="5">
        <v>2.2599999999999999E-4</v>
      </c>
      <c r="V25" s="5">
        <v>1.84E-2</v>
      </c>
      <c r="W25" s="5">
        <v>6.0800000000000003E-4</v>
      </c>
      <c r="X25" s="5">
        <v>7.8790000000000006E-3</v>
      </c>
      <c r="Y25" s="5">
        <v>5.9599999999999996E-4</v>
      </c>
      <c r="Z25" s="5">
        <v>1.861E-3</v>
      </c>
      <c r="AA25" s="5">
        <v>3.0299999999999999E-4</v>
      </c>
      <c r="AB25" s="5">
        <v>3.4810000000000002E-3</v>
      </c>
      <c r="AC25" s="5">
        <v>2.5099999999999998E-4</v>
      </c>
      <c r="AD25" s="66">
        <v>1.176E-3</v>
      </c>
      <c r="AE25" s="66">
        <v>3.39E-4</v>
      </c>
      <c r="AF25" s="66">
        <v>6.3100000000000005E-4</v>
      </c>
      <c r="AG25" s="66">
        <v>1.56E-4</v>
      </c>
      <c r="AH25" s="66">
        <v>3.5E-4</v>
      </c>
      <c r="AI25" s="66">
        <v>3.0000000000000001E-5</v>
      </c>
      <c r="AJ25" s="66">
        <v>4.5100000000000001E-4</v>
      </c>
      <c r="AK25" s="66">
        <v>8.1000000000000004E-5</v>
      </c>
      <c r="AL25" s="66">
        <v>5.2499999999999997E-4</v>
      </c>
      <c r="AM25" s="66">
        <v>1.25E-4</v>
      </c>
      <c r="AN25" s="66">
        <v>7.4399999999999998E-4</v>
      </c>
      <c r="AO25" s="66">
        <v>1.66E-4</v>
      </c>
      <c r="AP25" s="66">
        <v>4.9200000000000003E-4</v>
      </c>
      <c r="AQ25" s="66">
        <v>6.8999999999999997E-5</v>
      </c>
      <c r="AR25" s="279">
        <f t="shared" si="15"/>
        <v>5.4152000000000006E-2</v>
      </c>
      <c r="AS25" s="279">
        <f t="shared" si="0"/>
        <v>9.4210508967949001E-4</v>
      </c>
      <c r="AT25" s="279">
        <f t="shared" si="1"/>
        <v>7.1089999999999987E-2</v>
      </c>
      <c r="AU25" s="279">
        <f t="shared" si="2"/>
        <v>1.6225168720232156E-3</v>
      </c>
      <c r="AV25" s="279">
        <f t="shared" si="3"/>
        <v>1.2339999999999999E-3</v>
      </c>
      <c r="AW25" s="279">
        <f t="shared" si="4"/>
        <v>2.279824554653274E-4</v>
      </c>
      <c r="AX25" s="279">
        <f t="shared" si="5"/>
        <v>1.7949E-2</v>
      </c>
      <c r="AY25" s="279">
        <f t="shared" si="6"/>
        <v>6.1337182850209227E-4</v>
      </c>
      <c r="AZ25" s="279">
        <f t="shared" si="7"/>
        <v>7.3540000000000003E-3</v>
      </c>
      <c r="BA25" s="279">
        <f t="shared" si="8"/>
        <v>6.0896715839197767E-4</v>
      </c>
      <c r="BB25" s="279">
        <f t="shared" si="9"/>
        <v>1.1169999999999999E-3</v>
      </c>
      <c r="BC25" s="279">
        <f t="shared" si="10"/>
        <v>3.4549240223194489E-4</v>
      </c>
      <c r="BD25" s="279">
        <f t="shared" si="11"/>
        <v>2.9890000000000003E-3</v>
      </c>
      <c r="BE25" s="279">
        <f t="shared" si="12"/>
        <v>2.6031135203828507E-4</v>
      </c>
      <c r="BR25" s="280">
        <f t="shared" si="39"/>
        <v>7.3636116399238514</v>
      </c>
      <c r="BS25" s="280">
        <f t="shared" si="40"/>
        <v>0.62307513823195926</v>
      </c>
      <c r="BT25" s="280">
        <f t="shared" si="41"/>
        <v>9.6668479738917572</v>
      </c>
      <c r="BU25" s="280">
        <f t="shared" si="42"/>
        <v>0.83033714729978547</v>
      </c>
      <c r="BW25" s="708" t="s">
        <v>1018</v>
      </c>
      <c r="BX25" s="716">
        <v>0.98845244911527763</v>
      </c>
      <c r="BY25" s="717">
        <v>0.37510542151164694</v>
      </c>
      <c r="BZ25" s="709" t="s">
        <v>1020</v>
      </c>
    </row>
    <row r="26" spans="2:105">
      <c r="B26" s="273" t="s">
        <v>907</v>
      </c>
      <c r="C26" s="5">
        <v>2.5000000000000001E-3</v>
      </c>
      <c r="D26" s="66">
        <f t="shared" si="43"/>
        <v>2.5000000000000001E-4</v>
      </c>
      <c r="E26" s="67">
        <v>44712</v>
      </c>
      <c r="F26" s="5" t="s">
        <v>821</v>
      </c>
      <c r="G26" s="327" t="s">
        <v>901</v>
      </c>
      <c r="H26" s="5">
        <v>1</v>
      </c>
      <c r="J26" s="327">
        <v>44644</v>
      </c>
      <c r="K26" s="5" t="s">
        <v>857</v>
      </c>
      <c r="L26" s="378">
        <v>0.04</v>
      </c>
      <c r="M26" s="5">
        <v>3.47</v>
      </c>
      <c r="N26" s="5" t="s">
        <v>322</v>
      </c>
      <c r="O26" s="5">
        <v>30</v>
      </c>
      <c r="P26" s="5">
        <v>9.7401000000000001E-2</v>
      </c>
      <c r="Q26" s="5">
        <v>1.916E-3</v>
      </c>
      <c r="R26" s="5">
        <v>0.16756299999999999</v>
      </c>
      <c r="S26" s="5">
        <v>2.189E-3</v>
      </c>
      <c r="T26" s="5">
        <v>1.446E-3</v>
      </c>
      <c r="U26" s="5">
        <v>1.02E-4</v>
      </c>
      <c r="V26" s="5">
        <v>2.1824E-2</v>
      </c>
      <c r="W26" s="5">
        <v>6.3299999999999999E-4</v>
      </c>
      <c r="X26" s="5">
        <v>7.8150000000000008E-3</v>
      </c>
      <c r="Y26" s="5">
        <v>4.3399999999999998E-4</v>
      </c>
      <c r="Z26" s="5">
        <v>3.4880000000000002E-3</v>
      </c>
      <c r="AA26" s="5">
        <v>1.2999999999999999E-4</v>
      </c>
      <c r="AB26" s="5">
        <v>4.3969999999999999E-3</v>
      </c>
      <c r="AC26" s="5">
        <v>3.3E-4</v>
      </c>
      <c r="AD26" s="66">
        <v>1.6329999999999999E-3</v>
      </c>
      <c r="AE26" s="66">
        <v>4.06E-4</v>
      </c>
      <c r="AF26" s="66">
        <v>3.2400000000000001E-4</v>
      </c>
      <c r="AG26" s="66">
        <v>1.22E-4</v>
      </c>
      <c r="AH26" s="66">
        <v>2.4499999999999999E-4</v>
      </c>
      <c r="AI26" s="66">
        <v>9.2E-5</v>
      </c>
      <c r="AJ26" s="66">
        <v>5.6300000000000002E-4</v>
      </c>
      <c r="AK26" s="66">
        <v>9.3999999999999994E-5</v>
      </c>
      <c r="AL26" s="66">
        <v>3.5599999999999998E-4</v>
      </c>
      <c r="AM26" s="66">
        <v>1.4200000000000001E-4</v>
      </c>
      <c r="AN26" s="66">
        <v>5.0600000000000005E-4</v>
      </c>
      <c r="AO26" s="66">
        <v>9.7E-5</v>
      </c>
      <c r="AP26" s="66">
        <v>2.13E-4</v>
      </c>
      <c r="AQ26" s="66">
        <v>9.8999999999999994E-5</v>
      </c>
      <c r="AR26" s="279">
        <f t="shared" si="15"/>
        <v>9.5768000000000006E-2</v>
      </c>
      <c r="AS26" s="279">
        <f t="shared" si="0"/>
        <v>1.9585433362578424E-3</v>
      </c>
      <c r="AT26" s="279">
        <f t="shared" si="1"/>
        <v>0.167239</v>
      </c>
      <c r="AU26" s="279">
        <f t="shared" si="2"/>
        <v>2.1923970899451585E-3</v>
      </c>
      <c r="AV26" s="279">
        <f t="shared" si="3"/>
        <v>1.201E-3</v>
      </c>
      <c r="AW26" s="279">
        <f t="shared" si="4"/>
        <v>1.3736083866954221E-4</v>
      </c>
      <c r="AX26" s="279">
        <f t="shared" si="5"/>
        <v>2.1260999999999999E-2</v>
      </c>
      <c r="AY26" s="279">
        <f t="shared" si="6"/>
        <v>6.3994140356754537E-4</v>
      </c>
      <c r="AZ26" s="279">
        <f t="shared" si="7"/>
        <v>7.4590000000000004E-3</v>
      </c>
      <c r="BA26" s="279">
        <f t="shared" si="8"/>
        <v>4.5663990189207069E-4</v>
      </c>
      <c r="BB26" s="279">
        <f t="shared" si="9"/>
        <v>2.9820000000000003E-3</v>
      </c>
      <c r="BC26" s="279">
        <f t="shared" si="10"/>
        <v>1.6220049321749916E-4</v>
      </c>
      <c r="BD26" s="279">
        <f t="shared" si="11"/>
        <v>4.1840000000000002E-3</v>
      </c>
      <c r="BE26" s="279">
        <f t="shared" si="12"/>
        <v>3.4453011479404814E-4</v>
      </c>
      <c r="BR26" s="280">
        <f t="shared" si="39"/>
        <v>12.839254591768334</v>
      </c>
      <c r="BS26" s="280">
        <f t="shared" si="40"/>
        <v>0.82871665609669842</v>
      </c>
      <c r="BT26" s="280">
        <f t="shared" si="41"/>
        <v>22.421102024400053</v>
      </c>
      <c r="BU26" s="280">
        <f t="shared" si="42"/>
        <v>1.4037369362283976</v>
      </c>
      <c r="BW26" s="708" t="s">
        <v>57</v>
      </c>
      <c r="BX26" s="716">
        <v>85.598449314739327</v>
      </c>
      <c r="BY26" s="717">
        <v>1</v>
      </c>
      <c r="BZ26" s="709" t="s">
        <v>1021</v>
      </c>
    </row>
    <row r="27" spans="2:105" ht="18.600000000000001" thickBot="1">
      <c r="B27" s="273" t="s">
        <v>907</v>
      </c>
      <c r="C27" s="5">
        <v>2.5000000000000001E-3</v>
      </c>
      <c r="D27" s="66">
        <f t="shared" si="43"/>
        <v>2.5000000000000001E-4</v>
      </c>
      <c r="E27" s="67">
        <v>44712</v>
      </c>
      <c r="F27" s="5" t="s">
        <v>821</v>
      </c>
      <c r="G27" s="327" t="s">
        <v>901</v>
      </c>
      <c r="H27" s="5">
        <v>1</v>
      </c>
      <c r="J27" s="327">
        <v>44644</v>
      </c>
      <c r="K27" s="5" t="s">
        <v>857</v>
      </c>
      <c r="L27" s="378">
        <v>0.05</v>
      </c>
      <c r="M27" s="5">
        <v>4.2</v>
      </c>
      <c r="N27" s="5" t="s">
        <v>322</v>
      </c>
      <c r="O27" s="5">
        <v>30</v>
      </c>
      <c r="P27" s="5">
        <v>8.7391999999999997E-2</v>
      </c>
      <c r="Q27" s="5">
        <v>1.879E-3</v>
      </c>
      <c r="R27" s="5">
        <v>0.146925</v>
      </c>
      <c r="S27" s="5">
        <v>1.7520000000000001E-3</v>
      </c>
      <c r="T27" s="5">
        <v>6.888E-3</v>
      </c>
      <c r="U27" s="5">
        <v>5.5500000000000005E-4</v>
      </c>
      <c r="V27" s="5">
        <v>7.8319E-2</v>
      </c>
      <c r="W27" s="5">
        <v>1.335E-3</v>
      </c>
      <c r="X27" s="5">
        <v>5.3566999999999997E-2</v>
      </c>
      <c r="Y27" s="5">
        <v>1.1720000000000001E-3</v>
      </c>
      <c r="Z27" s="5">
        <v>1.3421000000000001E-2</v>
      </c>
      <c r="AA27" s="5">
        <v>7.18E-4</v>
      </c>
      <c r="AB27" s="5">
        <v>2.0787E-2</v>
      </c>
      <c r="AC27" s="5">
        <v>6.3599999999999996E-4</v>
      </c>
      <c r="AD27" s="66">
        <v>1.6329999999999999E-3</v>
      </c>
      <c r="AE27" s="66">
        <v>4.06E-4</v>
      </c>
      <c r="AF27" s="66">
        <v>3.2400000000000001E-4</v>
      </c>
      <c r="AG27" s="66">
        <v>1.22E-4</v>
      </c>
      <c r="AH27" s="66">
        <v>2.4499999999999999E-4</v>
      </c>
      <c r="AI27" s="66">
        <v>9.2E-5</v>
      </c>
      <c r="AJ27" s="66">
        <v>5.6300000000000002E-4</v>
      </c>
      <c r="AK27" s="66">
        <v>9.3999999999999994E-5</v>
      </c>
      <c r="AL27" s="66">
        <v>3.5599999999999998E-4</v>
      </c>
      <c r="AM27" s="66">
        <v>1.4200000000000001E-4</v>
      </c>
      <c r="AN27" s="66">
        <v>5.0600000000000005E-4</v>
      </c>
      <c r="AO27" s="66">
        <v>9.7E-5</v>
      </c>
      <c r="AP27" s="66">
        <v>2.13E-4</v>
      </c>
      <c r="AQ27" s="66">
        <v>9.8999999999999994E-5</v>
      </c>
      <c r="AR27" s="279">
        <f t="shared" si="15"/>
        <v>8.5759000000000002E-2</v>
      </c>
      <c r="AS27" s="279">
        <f t="shared" si="0"/>
        <v>1.9223623487781901E-3</v>
      </c>
      <c r="AT27" s="279">
        <f t="shared" si="1"/>
        <v>0.14660100000000001</v>
      </c>
      <c r="AU27" s="279">
        <f t="shared" si="2"/>
        <v>1.7562425800555002E-3</v>
      </c>
      <c r="AV27" s="279">
        <f t="shared" si="3"/>
        <v>6.6429999999999996E-3</v>
      </c>
      <c r="AW27" s="279">
        <f t="shared" si="4"/>
        <v>5.6257355074692237E-4</v>
      </c>
      <c r="AX27" s="279">
        <f t="shared" si="5"/>
        <v>7.7756000000000006E-2</v>
      </c>
      <c r="AY27" s="279">
        <f t="shared" si="6"/>
        <v>1.3383052716028582E-3</v>
      </c>
      <c r="AZ27" s="279">
        <f t="shared" si="7"/>
        <v>5.3210999999999994E-2</v>
      </c>
      <c r="BA27" s="279">
        <f t="shared" si="8"/>
        <v>1.1805710482643559E-3</v>
      </c>
      <c r="BB27" s="279">
        <f t="shared" si="9"/>
        <v>1.2915000000000001E-2</v>
      </c>
      <c r="BC27" s="279">
        <f t="shared" si="10"/>
        <v>7.2452260144180458E-4</v>
      </c>
      <c r="BD27" s="279">
        <f t="shared" si="11"/>
        <v>2.0573999999999999E-2</v>
      </c>
      <c r="BE27" s="279">
        <f t="shared" si="12"/>
        <v>6.4365907124812587E-4</v>
      </c>
      <c r="BR27" s="280">
        <f t="shared" si="39"/>
        <v>1.6116780364962133</v>
      </c>
      <c r="BS27" s="280">
        <f t="shared" si="40"/>
        <v>5.0830910174665379E-2</v>
      </c>
      <c r="BT27" s="280">
        <f t="shared" si="41"/>
        <v>2.7550882336359028</v>
      </c>
      <c r="BU27" s="280">
        <f t="shared" si="42"/>
        <v>6.9467538147616956E-2</v>
      </c>
      <c r="BW27" s="708" t="s">
        <v>1019</v>
      </c>
      <c r="BX27" s="718">
        <v>12.044050824641333</v>
      </c>
      <c r="BY27" s="719">
        <v>0.14070407724743034</v>
      </c>
      <c r="BZ27" s="709" t="s">
        <v>1022</v>
      </c>
    </row>
    <row r="28" spans="2:105">
      <c r="B28" s="273" t="s">
        <v>907</v>
      </c>
      <c r="C28" s="5">
        <v>2.5000000000000001E-3</v>
      </c>
      <c r="D28" s="66">
        <f t="shared" si="43"/>
        <v>2.5000000000000001E-4</v>
      </c>
      <c r="E28" s="67">
        <v>44712</v>
      </c>
      <c r="F28" s="5" t="s">
        <v>821</v>
      </c>
      <c r="G28" s="327" t="s">
        <v>901</v>
      </c>
      <c r="H28" s="5">
        <v>1</v>
      </c>
      <c r="J28" s="327">
        <v>44644</v>
      </c>
      <c r="K28" s="5" t="s">
        <v>857</v>
      </c>
      <c r="L28" s="378">
        <v>0.06</v>
      </c>
      <c r="M28" s="5">
        <v>4.82</v>
      </c>
      <c r="N28" s="5" t="s">
        <v>322</v>
      </c>
      <c r="O28" s="5">
        <v>30</v>
      </c>
      <c r="P28" s="5">
        <v>0.22295000000000001</v>
      </c>
      <c r="Q28" s="5">
        <v>2.598E-3</v>
      </c>
      <c r="R28" s="5">
        <v>0.33327899999999999</v>
      </c>
      <c r="S28" s="5">
        <v>3.846E-3</v>
      </c>
      <c r="T28" s="5">
        <v>5.7670000000000004E-3</v>
      </c>
      <c r="U28" s="5">
        <v>2.8899999999999998E-4</v>
      </c>
      <c r="V28" s="5">
        <v>4.8141000000000003E-2</v>
      </c>
      <c r="W28" s="5">
        <v>1.1019999999999999E-3</v>
      </c>
      <c r="X28" s="5">
        <v>5.0953999999999999E-2</v>
      </c>
      <c r="Y28" s="5">
        <v>8.3600000000000005E-4</v>
      </c>
      <c r="Z28" s="5">
        <v>7.5100000000000002E-3</v>
      </c>
      <c r="AA28" s="5">
        <v>1.7100000000000001E-4</v>
      </c>
      <c r="AB28" s="5">
        <v>1.6521000000000001E-2</v>
      </c>
      <c r="AC28" s="5">
        <v>6.9999999999999999E-4</v>
      </c>
      <c r="AD28" s="66">
        <v>1.6329999999999999E-3</v>
      </c>
      <c r="AE28" s="66">
        <v>4.06E-4</v>
      </c>
      <c r="AF28" s="66">
        <v>3.2400000000000001E-4</v>
      </c>
      <c r="AG28" s="66">
        <v>1.22E-4</v>
      </c>
      <c r="AH28" s="66">
        <v>2.4499999999999999E-4</v>
      </c>
      <c r="AI28" s="66">
        <v>9.2E-5</v>
      </c>
      <c r="AJ28" s="66">
        <v>5.6300000000000002E-4</v>
      </c>
      <c r="AK28" s="66">
        <v>9.3999999999999994E-5</v>
      </c>
      <c r="AL28" s="66">
        <v>3.5599999999999998E-4</v>
      </c>
      <c r="AM28" s="66">
        <v>1.4200000000000001E-4</v>
      </c>
      <c r="AN28" s="66">
        <v>5.0600000000000005E-4</v>
      </c>
      <c r="AO28" s="66">
        <v>9.7E-5</v>
      </c>
      <c r="AP28" s="66">
        <v>2.13E-4</v>
      </c>
      <c r="AQ28" s="66">
        <v>9.8999999999999994E-5</v>
      </c>
      <c r="AR28" s="279">
        <f t="shared" si="15"/>
        <v>0.22131700000000001</v>
      </c>
      <c r="AS28" s="279">
        <f t="shared" si="0"/>
        <v>2.6295322778015105E-3</v>
      </c>
      <c r="AT28" s="279">
        <f t="shared" si="1"/>
        <v>0.332955</v>
      </c>
      <c r="AU28" s="279">
        <f t="shared" si="2"/>
        <v>3.8479345108772315E-3</v>
      </c>
      <c r="AV28" s="279">
        <f t="shared" si="3"/>
        <v>5.5220000000000009E-3</v>
      </c>
      <c r="AW28" s="279">
        <f t="shared" si="4"/>
        <v>3.0329028998634294E-4</v>
      </c>
      <c r="AX28" s="279">
        <f t="shared" si="5"/>
        <v>4.7578000000000002E-2</v>
      </c>
      <c r="AY28" s="279">
        <f t="shared" si="6"/>
        <v>1.1060018083167856E-3</v>
      </c>
      <c r="AZ28" s="279">
        <f t="shared" si="7"/>
        <v>5.0597999999999997E-2</v>
      </c>
      <c r="BA28" s="279">
        <f t="shared" si="8"/>
        <v>8.4797405620691015E-4</v>
      </c>
      <c r="BB28" s="279">
        <f t="shared" si="9"/>
        <v>7.0039999999999998E-3</v>
      </c>
      <c r="BC28" s="279">
        <f t="shared" si="10"/>
        <v>1.9659603251337502E-4</v>
      </c>
      <c r="BD28" s="279">
        <f t="shared" si="11"/>
        <v>1.6308E-2</v>
      </c>
      <c r="BE28" s="279">
        <f t="shared" si="12"/>
        <v>7.0696605293323663E-4</v>
      </c>
      <c r="BR28" s="280">
        <f t="shared" si="39"/>
        <v>4.374026641369225</v>
      </c>
      <c r="BS28" s="280">
        <f t="shared" si="40"/>
        <v>8.9857312655664073E-2</v>
      </c>
      <c r="BT28" s="280">
        <f t="shared" si="41"/>
        <v>6.58039843472074</v>
      </c>
      <c r="BU28" s="280">
        <f t="shared" si="42"/>
        <v>0.13396048208902639</v>
      </c>
    </row>
    <row r="29" spans="2:105">
      <c r="B29" s="273" t="s">
        <v>907</v>
      </c>
      <c r="C29" s="5">
        <v>2.5000000000000001E-3</v>
      </c>
      <c r="D29" s="66">
        <f t="shared" si="43"/>
        <v>2.5000000000000001E-4</v>
      </c>
      <c r="E29" s="67">
        <v>44712</v>
      </c>
      <c r="F29" s="5" t="s">
        <v>821</v>
      </c>
      <c r="G29" s="327" t="s">
        <v>901</v>
      </c>
      <c r="H29" s="5">
        <v>1</v>
      </c>
      <c r="J29" s="327">
        <v>44644</v>
      </c>
      <c r="K29" s="5" t="s">
        <v>857</v>
      </c>
      <c r="L29" s="378">
        <v>0.1</v>
      </c>
      <c r="M29" s="5">
        <v>7.49</v>
      </c>
      <c r="N29" s="5" t="s">
        <v>322</v>
      </c>
      <c r="O29" s="5">
        <v>30</v>
      </c>
      <c r="P29" s="5">
        <v>3.2162000000000003E-2</v>
      </c>
      <c r="Q29" s="5">
        <v>8.5599999999999999E-4</v>
      </c>
      <c r="R29" s="5">
        <v>0.105739</v>
      </c>
      <c r="S29" s="5">
        <v>1.256E-3</v>
      </c>
      <c r="T29" s="5">
        <v>6.071E-3</v>
      </c>
      <c r="U29" s="5">
        <v>2.6699999999999998E-4</v>
      </c>
      <c r="V29" s="5">
        <v>4.829E-2</v>
      </c>
      <c r="W29" s="5">
        <v>9.1699999999999995E-4</v>
      </c>
      <c r="X29" s="5">
        <v>5.3990000000000003E-2</v>
      </c>
      <c r="Y29" s="5">
        <v>1.1950000000000001E-3</v>
      </c>
      <c r="Z29" s="5">
        <v>9.1859999999999997E-3</v>
      </c>
      <c r="AA29" s="5">
        <v>3.6900000000000002E-4</v>
      </c>
      <c r="AB29" s="5">
        <v>1.8301999999999999E-2</v>
      </c>
      <c r="AC29" s="5">
        <v>7.4799999999999997E-4</v>
      </c>
      <c r="AD29" s="66">
        <v>1.6329999999999999E-3</v>
      </c>
      <c r="AE29" s="66">
        <v>4.06E-4</v>
      </c>
      <c r="AF29" s="66">
        <v>3.2400000000000001E-4</v>
      </c>
      <c r="AG29" s="66">
        <v>1.22E-4</v>
      </c>
      <c r="AH29" s="66">
        <v>2.4499999999999999E-4</v>
      </c>
      <c r="AI29" s="66">
        <v>9.2E-5</v>
      </c>
      <c r="AJ29" s="66">
        <v>5.6300000000000002E-4</v>
      </c>
      <c r="AK29" s="66">
        <v>9.3999999999999994E-5</v>
      </c>
      <c r="AL29" s="66">
        <v>3.5599999999999998E-4</v>
      </c>
      <c r="AM29" s="66">
        <v>1.4200000000000001E-4</v>
      </c>
      <c r="AN29" s="66">
        <v>5.0600000000000005E-4</v>
      </c>
      <c r="AO29" s="66">
        <v>9.7E-5</v>
      </c>
      <c r="AP29" s="66">
        <v>2.13E-4</v>
      </c>
      <c r="AQ29" s="66">
        <v>9.8999999999999994E-5</v>
      </c>
      <c r="AR29" s="279">
        <f t="shared" si="15"/>
        <v>3.0529000000000004E-2</v>
      </c>
      <c r="AS29" s="279">
        <f t="shared" si="0"/>
        <v>9.4740276545933727E-4</v>
      </c>
      <c r="AT29" s="279">
        <f t="shared" si="1"/>
        <v>0.10541499999999999</v>
      </c>
      <c r="AU29" s="279">
        <f t="shared" si="2"/>
        <v>1.2619112488602357E-3</v>
      </c>
      <c r="AV29" s="279">
        <f t="shared" si="3"/>
        <v>5.8259999999999996E-3</v>
      </c>
      <c r="AW29" s="279">
        <f t="shared" si="4"/>
        <v>2.8240573648564575E-4</v>
      </c>
      <c r="AX29" s="279">
        <f t="shared" si="5"/>
        <v>4.7726999999999999E-2</v>
      </c>
      <c r="AY29" s="279">
        <f t="shared" si="6"/>
        <v>9.2180529397481751E-4</v>
      </c>
      <c r="AZ29" s="279">
        <f t="shared" si="7"/>
        <v>5.3634000000000001E-2</v>
      </c>
      <c r="BA29" s="279">
        <f t="shared" si="8"/>
        <v>1.2034072461141324E-3</v>
      </c>
      <c r="BB29" s="279">
        <f t="shared" si="9"/>
        <v>8.6800000000000002E-3</v>
      </c>
      <c r="BC29" s="279">
        <f t="shared" si="10"/>
        <v>3.8153636786026051E-4</v>
      </c>
      <c r="BD29" s="279">
        <f t="shared" si="11"/>
        <v>1.8088999999999997E-2</v>
      </c>
      <c r="BE29" s="279">
        <f t="shared" si="12"/>
        <v>7.5452302814427066E-4</v>
      </c>
      <c r="BR29" s="280">
        <f t="shared" si="39"/>
        <v>0.56920982958571065</v>
      </c>
      <c r="BS29" s="280">
        <f t="shared" si="40"/>
        <v>2.1797661933820701E-2</v>
      </c>
      <c r="BT29" s="280">
        <f t="shared" si="41"/>
        <v>1.965451019875452</v>
      </c>
      <c r="BU29" s="280">
        <f t="shared" si="42"/>
        <v>4.9983505284126893E-2</v>
      </c>
      <c r="BV29" s="463">
        <v>1.2103126492332728E+19</v>
      </c>
      <c r="BW29" s="463">
        <v>2.7836674059333005E+17</v>
      </c>
      <c r="BX29" s="720">
        <v>1.2481</v>
      </c>
      <c r="BY29" s="720">
        <v>0.13490458082995282</v>
      </c>
      <c r="BZ29" s="408">
        <f>IF(Heating_Type = "Stepped", 1/Slope_SW, Xe128AC/Xe129AC)</f>
        <v>0.80121785113372324</v>
      </c>
      <c r="CA29" s="159">
        <f>IF(Heating_Type="Stepped",Xe128Xe129*(Slope_SWerr/Slope_SW), Xe128Xe129*SQRT((Xe129ACerr/Xe129AC)^2+(Xe128ACerr/Xe128AC)^2))</f>
        <v>8.6602001731167749E-2</v>
      </c>
      <c r="CB29" s="157">
        <f>Xe128Xe129*SW_Initial</f>
        <v>8.589055364153513E-5</v>
      </c>
      <c r="CC29" s="158">
        <f t="shared" ref="CC29" si="44">I127_Prod*SQRT((Xe128Xe129err/Xe128Xe129)^2+(SW_Initialerr/SW_Initial)^2)</f>
        <v>9.5700850431832023E-6</v>
      </c>
      <c r="CD29" s="158">
        <f>Therm_CS_127I*Therm_Flux*Y_127I*I127_Abun</f>
        <v>7.0081943641203434E-5</v>
      </c>
      <c r="CE29" s="158">
        <f t="shared" ref="CE29" si="45">I127_Th*SQRT((Therm_CS_127Ierr/Therm_CS_127I)^2+(Therm_Fluxerr/Therm_Flux)^2)</f>
        <v>1.6748645906167231E-6</v>
      </c>
      <c r="CF29" s="167">
        <f>I127_Prod/I127_Th</f>
        <v>1.2255732244137889</v>
      </c>
      <c r="CG29" s="147">
        <f>I_Factor*SQRT((I127_Therr/I127_Th)^2+(I127_Proderr/I127_Prod)^2)</f>
        <v>0.13966145684715234</v>
      </c>
      <c r="CH29" s="157">
        <f>(I127_Prod/Y_127I-(Therm_CS_127I*Therm_Flux))/Epitherm_CS_127I</f>
        <v>1.0963279148056595E+17</v>
      </c>
      <c r="CI29" s="158">
        <f t="shared" ref="CI29" si="46">SQRT(((Therm_Flux*Therm_CS_127I/Epitherm_CS_127I)^2*((Therm_CS_127Ierr/Therm_CS_127I)^2+(Epitherm_CS_127Ierr/Epitherm_CS_127I)^2+(Therm_Fluxerr/Therm_Flux)^2))+((I127_Prod/Epitherm_CS_127I)^2*((I127_Proderr/I127_Prod)^2+(Epitherm_CS_127Ierr/Epitherm_CS_127I)^2)))</f>
        <v>6.619896161921312E+16</v>
      </c>
      <c r="CJ29" s="158">
        <f t="shared" ref="CJ29" si="47">Y_79Br*(Therm_CS_79Br*Therm_Flux+Epitherm_CS_79Br*EpiTherm_Flux)*Br79_Abun</f>
        <v>6.7870111455312128E-5</v>
      </c>
      <c r="CK29" s="158">
        <f t="shared" ref="CK29" si="48">Br79_Abun*Y_79Br*SQRT(Therm_CS_79Br^2*Epitherm_CS_79Brerr^2*EpiTherm_Flux^2+Therm_Flux^2*Therm_CS_79Brerr^2+Therm_Fluxerr^2*Therm_CS_79Br^2)</f>
        <v>1.4368866601897822E-6</v>
      </c>
      <c r="CL29" s="158">
        <f t="shared" ref="CL29" si="49">Therm_CS_79Br*Therm_Flux*Y_79Br*Br79_Abun</f>
        <v>6.1265654701895593E-5</v>
      </c>
      <c r="CM29" s="158">
        <f t="shared" ref="CM29" si="50">Br79_Th*SQRT((Therm_CS_79Brerr/Therm_CS_79Br)^2+(Therm_Fluxerr/Therm_Flux)^2)</f>
        <v>1.4368866601897822E-6</v>
      </c>
      <c r="CN29" s="147">
        <f t="shared" ref="CN29" si="51">Br79_ETh/Br79_Th</f>
        <v>1.1078003130065659</v>
      </c>
      <c r="CO29" s="147">
        <f t="shared" ref="CO29" si="52">Br79_Factor*SQRT((Br79_Therr/Br79_Th)^2+(Br79_ETherr/Br79_ETh)^2)</f>
        <v>3.5001539158347007E-2</v>
      </c>
      <c r="CP29" s="158">
        <f t="shared" ref="CP29" si="53">Y_81Br*(Therm_CS_81Br*Therm_Flux+Epitherm_CS_81Br*CH29)*Br81_Abun</f>
        <v>1.658757668403228E-5</v>
      </c>
      <c r="CQ29" s="158">
        <f t="shared" ref="CQ29" si="54">Br81_Abun*Y_81Br*SQRT(Therm_CS_81Br^2*Epitherm_CS_81Brerr^2*CH29^2+Therm_Flux^2*Therm_CS_81Brerr^2+Therm_Fluxerr^2*Therm_CS_81Br^2)</f>
        <v>3.7012550586477272E-7</v>
      </c>
      <c r="CR29" s="158">
        <f t="shared" ref="CR29" si="55">Therm_CS_81Br*Therm_Flux*Y_81Br*Br81_Abun</f>
        <v>1.4084601949151475E-5</v>
      </c>
      <c r="CS29" s="158">
        <f t="shared" ref="CS29" si="56">Br81_Th*SQRT((Therm_CS_81Brerr/Therm_CS_81Br)^2+(Therm_Fluxerr/Therm_Flux)^2)</f>
        <v>3.7012550586477277E-7</v>
      </c>
      <c r="CT29" s="147">
        <f t="shared" ref="CT29" si="57">Br81_ETh/Br81_Th</f>
        <v>1.1777100086972352</v>
      </c>
      <c r="CU29" s="147">
        <f t="shared" ref="CU29" si="58">Br81_Factor*SQRT((Br81_ETherr/Br81_ETh)^2+(Br81_Therr/Br79_Th)^2)</f>
        <v>2.7224878402990531E-2</v>
      </c>
      <c r="CV29" s="158">
        <f t="shared" ref="CV29" si="59">Y_130Ba*(Therm_CS_130Ba*Therm_Flux+Epitherm_CS_130Ba*CH29)*Ba130_Abun</f>
        <v>1.2230424962284851E-7</v>
      </c>
      <c r="CW29" s="158">
        <f t="shared" ref="CW29" si="60">Ba130_Abun*Y_130Ba*SQRT(Therm_CS_130Ba^2*Epitherm_CS_130Baerr^2*CH29^2+Therm_Flux^2*Therm_CS_130Baerr^2+Therm_Fluxerr^2*Therm_CS_130Ba^2)</f>
        <v>4.9472452511009857E-9</v>
      </c>
      <c r="CX29" s="158">
        <f t="shared" ref="CX29" si="61">Therm_CS_130Ba*Therm_Flux*Y_130Ba*Ba130_Abun</f>
        <v>9.9375866878185899E-8</v>
      </c>
      <c r="CY29" s="158">
        <f t="shared" ref="CY29" si="62">Ba130_Th*SQRT((Therm_CS_81Brerr/Therm_CS_81Br)^2+(Therm_Fluxerr/Therm_Flux)^2)</f>
        <v>2.6114719558158879E-9</v>
      </c>
      <c r="CZ29" s="147">
        <f t="shared" ref="CZ29" si="63">CV29/CX29</f>
        <v>1.2307238514232839</v>
      </c>
      <c r="DA29" s="147">
        <f t="shared" ref="DA29" si="64">Ba_Factor*SQRT((Ba130_Therr/Ba130_Th)^2+(Ba130_ETherr/Ba130_ETh)^2)</f>
        <v>5.9366318663136693E-2</v>
      </c>
    </row>
    <row r="30" spans="2:105">
      <c r="V30" s="296"/>
    </row>
    <row r="31" spans="2:105">
      <c r="B31" s="273" t="s">
        <v>913</v>
      </c>
      <c r="C31" s="5">
        <v>2.15E-3</v>
      </c>
      <c r="D31" s="66">
        <f t="shared" si="43"/>
        <v>2.1500000000000002E-4</v>
      </c>
      <c r="E31" s="67">
        <v>44713</v>
      </c>
      <c r="F31" s="5" t="s">
        <v>821</v>
      </c>
      <c r="G31" s="327" t="s">
        <v>901</v>
      </c>
      <c r="H31" s="5">
        <v>1</v>
      </c>
      <c r="J31" s="327">
        <v>44644</v>
      </c>
      <c r="K31" s="5" t="s">
        <v>857</v>
      </c>
      <c r="L31" s="378">
        <v>5.0000000000000001E-3</v>
      </c>
      <c r="M31" s="5">
        <v>0.31</v>
      </c>
      <c r="N31" s="5" t="s">
        <v>322</v>
      </c>
      <c r="O31" s="5">
        <v>30</v>
      </c>
      <c r="P31" s="5">
        <v>0.178288</v>
      </c>
      <c r="Q31" s="5">
        <v>1.6490000000000001E-3</v>
      </c>
      <c r="R31" s="5">
        <v>1.7363E-2</v>
      </c>
      <c r="S31" s="5">
        <v>5.0799999999999999E-4</v>
      </c>
      <c r="T31" s="5">
        <v>2.6749999999999999E-3</v>
      </c>
      <c r="U31" s="5">
        <v>2.14E-4</v>
      </c>
      <c r="V31" s="5">
        <v>2.4163E-2</v>
      </c>
      <c r="W31" s="5">
        <v>5.1000000000000004E-4</v>
      </c>
      <c r="X31" s="5">
        <v>1.9023000000000002E-2</v>
      </c>
      <c r="Y31" s="5">
        <v>5.62E-4</v>
      </c>
      <c r="Z31" s="5">
        <v>5.6319999999999999E-3</v>
      </c>
      <c r="AA31" s="5">
        <v>2.2000000000000001E-4</v>
      </c>
      <c r="AB31" s="5">
        <v>8.5120000000000005E-3</v>
      </c>
      <c r="AC31" s="5">
        <v>4.4999999999999999E-4</v>
      </c>
      <c r="AD31" s="66">
        <v>2.6180000000000001E-3</v>
      </c>
      <c r="AE31" s="66">
        <v>5.4699999999999996E-4</v>
      </c>
      <c r="AF31" s="66">
        <v>6.8999999999999997E-4</v>
      </c>
      <c r="AG31" s="66">
        <v>1.6799999999999999E-4</v>
      </c>
      <c r="AH31" s="66">
        <v>2.1599999999999999E-4</v>
      </c>
      <c r="AI31" s="66">
        <v>1.01E-4</v>
      </c>
      <c r="AJ31" s="66">
        <v>7.0699999999999995E-4</v>
      </c>
      <c r="AK31" s="66">
        <v>2.6200000000000003E-4</v>
      </c>
      <c r="AL31" s="66">
        <v>5.8900000000000001E-4</v>
      </c>
      <c r="AM31" s="66">
        <v>2.2900000000000001E-4</v>
      </c>
      <c r="AN31" s="66">
        <v>3.9899999999999999E-4</v>
      </c>
      <c r="AO31" s="66">
        <v>1.37E-4</v>
      </c>
      <c r="AP31" s="66">
        <v>1.7699999999999999E-4</v>
      </c>
      <c r="AQ31" s="66">
        <v>1.7799999999999999E-4</v>
      </c>
      <c r="AR31" s="279">
        <f t="shared" si="15"/>
        <v>0.17566999999999999</v>
      </c>
      <c r="AS31" s="279">
        <f t="shared" si="0"/>
        <v>1.7373571883754937E-3</v>
      </c>
      <c r="AT31" s="279">
        <f t="shared" si="1"/>
        <v>1.6673E-2</v>
      </c>
      <c r="AU31" s="279">
        <f t="shared" si="2"/>
        <v>5.3505887526514306E-4</v>
      </c>
      <c r="AV31" s="279">
        <f t="shared" si="3"/>
        <v>2.4589999999999998E-3</v>
      </c>
      <c r="AW31" s="279">
        <f t="shared" si="4"/>
        <v>2.3663685258217917E-4</v>
      </c>
      <c r="AX31" s="279">
        <f t="shared" si="5"/>
        <v>2.3456000000000001E-2</v>
      </c>
      <c r="AY31" s="279">
        <f t="shared" si="6"/>
        <v>5.733620147864699E-4</v>
      </c>
      <c r="AZ31" s="279">
        <f t="shared" si="7"/>
        <v>1.8434000000000002E-2</v>
      </c>
      <c r="BA31" s="279">
        <f t="shared" si="8"/>
        <v>6.068648943545837E-4</v>
      </c>
      <c r="BB31" s="279">
        <f t="shared" si="9"/>
        <v>5.2329999999999998E-3</v>
      </c>
      <c r="BC31" s="279">
        <f t="shared" si="10"/>
        <v>2.5916982849089515E-4</v>
      </c>
      <c r="BD31" s="279">
        <f t="shared" si="11"/>
        <v>8.3350000000000004E-3</v>
      </c>
      <c r="BE31" s="279">
        <f t="shared" si="12"/>
        <v>4.8392561411853371E-4</v>
      </c>
      <c r="BR31" s="280">
        <f t="shared" ref="BR31:BR40" si="65">AR31/AZ31</f>
        <v>9.5296734295323837</v>
      </c>
      <c r="BS31" s="280">
        <f t="shared" ref="BS31:BS40" si="66">BR31*SQRT((AS31/AR31)^2+(BA31/AZ31)^2)</f>
        <v>0.32757679055448591</v>
      </c>
      <c r="BT31" s="280">
        <f t="shared" ref="BT31:BT40" si="67">AT31/AZ31</f>
        <v>0.90447000108495157</v>
      </c>
      <c r="BU31" s="280">
        <f t="shared" ref="BU31:BU40" si="68">BT31*SQRT((AU31/AT31)^2+(BA31/AZ31)^2)</f>
        <v>4.1582444177231039E-2</v>
      </c>
    </row>
    <row r="32" spans="2:105">
      <c r="B32" s="273" t="s">
        <v>913</v>
      </c>
      <c r="C32" s="5">
        <v>2.15E-3</v>
      </c>
      <c r="D32" s="66">
        <f t="shared" si="43"/>
        <v>2.1500000000000002E-4</v>
      </c>
      <c r="E32" s="67">
        <v>44713</v>
      </c>
      <c r="F32" s="5" t="s">
        <v>821</v>
      </c>
      <c r="G32" s="327" t="s">
        <v>901</v>
      </c>
      <c r="H32" s="5">
        <v>1</v>
      </c>
      <c r="J32" s="327">
        <v>44644</v>
      </c>
      <c r="K32" s="5" t="s">
        <v>857</v>
      </c>
      <c r="L32" s="378">
        <v>0.01</v>
      </c>
      <c r="M32" s="5">
        <v>0.88</v>
      </c>
      <c r="N32" s="5" t="s">
        <v>322</v>
      </c>
      <c r="O32" s="5">
        <v>30</v>
      </c>
      <c r="P32" s="5">
        <v>9.7490999999999994E-2</v>
      </c>
      <c r="Q32" s="5">
        <v>2.7799999999999999E-3</v>
      </c>
      <c r="R32" s="5">
        <v>5.1850000000000004E-3</v>
      </c>
      <c r="S32" s="5">
        <v>5.1699999999999999E-4</v>
      </c>
      <c r="T32" s="5">
        <v>8.0800000000000002E-4</v>
      </c>
      <c r="U32" s="5">
        <v>1.22E-4</v>
      </c>
      <c r="V32" s="5">
        <v>6.7910000000000002E-3</v>
      </c>
      <c r="W32" s="5">
        <v>4.8799999999999999E-4</v>
      </c>
      <c r="X32" s="5">
        <v>5.1209999999999997E-3</v>
      </c>
      <c r="Y32" s="5">
        <v>5.1209999999999997E-3</v>
      </c>
      <c r="Z32" s="5">
        <v>1.4909999999999999E-3</v>
      </c>
      <c r="AA32" s="5">
        <v>2.5700000000000001E-4</v>
      </c>
      <c r="AB32" s="5">
        <v>1.8309999999999999E-3</v>
      </c>
      <c r="AC32" s="5">
        <v>2.92E-4</v>
      </c>
      <c r="AD32" s="66">
        <v>2.6180000000000001E-3</v>
      </c>
      <c r="AE32" s="66">
        <v>5.4699999999999996E-4</v>
      </c>
      <c r="AF32" s="66">
        <v>6.8999999999999997E-4</v>
      </c>
      <c r="AG32" s="66">
        <v>1.6799999999999999E-4</v>
      </c>
      <c r="AH32" s="66">
        <v>2.1599999999999999E-4</v>
      </c>
      <c r="AI32" s="66">
        <v>1.01E-4</v>
      </c>
      <c r="AJ32" s="66">
        <v>7.0699999999999995E-4</v>
      </c>
      <c r="AK32" s="66">
        <v>2.6200000000000003E-4</v>
      </c>
      <c r="AL32" s="66">
        <v>5.8900000000000001E-4</v>
      </c>
      <c r="AM32" s="66">
        <v>2.2900000000000001E-4</v>
      </c>
      <c r="AN32" s="66">
        <v>3.9899999999999999E-4</v>
      </c>
      <c r="AO32" s="66">
        <v>1.37E-4</v>
      </c>
      <c r="AP32" s="66">
        <v>1.7699999999999999E-4</v>
      </c>
      <c r="AQ32" s="66">
        <v>1.7799999999999999E-4</v>
      </c>
      <c r="AR32" s="279">
        <f t="shared" si="15"/>
        <v>9.4872999999999999E-2</v>
      </c>
      <c r="AS32" s="279">
        <f t="shared" si="0"/>
        <v>2.833303548863058E-3</v>
      </c>
      <c r="AT32" s="279">
        <f t="shared" si="1"/>
        <v>4.4950000000000007E-3</v>
      </c>
      <c r="AU32" s="279">
        <f t="shared" si="2"/>
        <v>5.4361107420655068E-4</v>
      </c>
      <c r="AV32" s="279">
        <f t="shared" si="3"/>
        <v>5.9200000000000008E-4</v>
      </c>
      <c r="AW32" s="279">
        <f t="shared" si="4"/>
        <v>1.5838244852255567E-4</v>
      </c>
      <c r="AX32" s="279">
        <f t="shared" si="5"/>
        <v>6.084E-3</v>
      </c>
      <c r="AY32" s="279">
        <f t="shared" si="6"/>
        <v>5.5388446448695415E-4</v>
      </c>
      <c r="AZ32" s="279">
        <f t="shared" si="7"/>
        <v>4.5319999999999996E-3</v>
      </c>
      <c r="BA32" s="279">
        <f t="shared" si="8"/>
        <v>5.1261176342335332E-3</v>
      </c>
      <c r="BB32" s="279">
        <f t="shared" si="9"/>
        <v>1.0919999999999999E-3</v>
      </c>
      <c r="BC32" s="279">
        <f t="shared" si="10"/>
        <v>2.9123530005821757E-4</v>
      </c>
      <c r="BD32" s="279">
        <f t="shared" si="11"/>
        <v>1.6539999999999999E-3</v>
      </c>
      <c r="BE32" s="279">
        <f t="shared" si="12"/>
        <v>3.4197660738711355E-4</v>
      </c>
      <c r="BR32" s="280">
        <f t="shared" si="65"/>
        <v>20.934024713150929</v>
      </c>
      <c r="BS32" s="280">
        <f t="shared" si="66"/>
        <v>23.686599834796635</v>
      </c>
      <c r="BT32" s="280">
        <f t="shared" si="67"/>
        <v>0.99183583406884401</v>
      </c>
      <c r="BU32" s="280">
        <f t="shared" si="68"/>
        <v>1.1282537703165603</v>
      </c>
    </row>
    <row r="33" spans="2:119" ht="18.600000000000001" thickBot="1">
      <c r="B33" s="273" t="s">
        <v>913</v>
      </c>
      <c r="C33" s="5">
        <v>2.15E-3</v>
      </c>
      <c r="D33" s="66">
        <f t="shared" si="43"/>
        <v>2.1500000000000002E-4</v>
      </c>
      <c r="E33" s="67">
        <v>44713</v>
      </c>
      <c r="F33" s="5" t="s">
        <v>821</v>
      </c>
      <c r="G33" s="327" t="s">
        <v>901</v>
      </c>
      <c r="H33" s="5">
        <v>1</v>
      </c>
      <c r="J33" s="327">
        <v>44644</v>
      </c>
      <c r="K33" s="5" t="s">
        <v>857</v>
      </c>
      <c r="L33" s="378">
        <v>1.4999999999999999E-2</v>
      </c>
      <c r="M33" s="5">
        <v>1.4</v>
      </c>
      <c r="N33" s="5" t="s">
        <v>322</v>
      </c>
      <c r="O33" s="5">
        <v>30</v>
      </c>
      <c r="P33" s="5">
        <v>7.5461E-2</v>
      </c>
      <c r="Q33" s="5">
        <v>1.7340000000000001E-3</v>
      </c>
      <c r="R33" s="5">
        <v>6.2909999999999997E-3</v>
      </c>
      <c r="S33" s="5">
        <v>6.11E-4</v>
      </c>
      <c r="T33" s="5">
        <v>8.8800000000000001E-4</v>
      </c>
      <c r="U33" s="5">
        <v>3.2600000000000001E-4</v>
      </c>
      <c r="V33" s="5">
        <v>8.5850000000000006E-3</v>
      </c>
      <c r="W33" s="5">
        <v>6.8000000000000005E-4</v>
      </c>
      <c r="X33" s="5">
        <v>5.7580000000000001E-3</v>
      </c>
      <c r="Y33" s="5">
        <v>5.1500000000000005E-4</v>
      </c>
      <c r="Z33" s="5">
        <v>1.926E-3</v>
      </c>
      <c r="AA33" s="5">
        <v>1.8900000000000001E-4</v>
      </c>
      <c r="AB33" s="5">
        <v>2.2070000000000002E-3</v>
      </c>
      <c r="AC33" s="5">
        <v>2.7999999999999998E-4</v>
      </c>
      <c r="AD33" s="66">
        <v>2.6180000000000001E-3</v>
      </c>
      <c r="AE33" s="66">
        <v>5.4699999999999996E-4</v>
      </c>
      <c r="AF33" s="66">
        <v>6.8999999999999997E-4</v>
      </c>
      <c r="AG33" s="66">
        <v>1.6799999999999999E-4</v>
      </c>
      <c r="AH33" s="66">
        <v>2.1599999999999999E-4</v>
      </c>
      <c r="AI33" s="66">
        <v>1.01E-4</v>
      </c>
      <c r="AJ33" s="66">
        <v>7.0699999999999995E-4</v>
      </c>
      <c r="AK33" s="66">
        <v>2.6200000000000003E-4</v>
      </c>
      <c r="AL33" s="66">
        <v>5.8900000000000001E-4</v>
      </c>
      <c r="AM33" s="66">
        <v>2.2900000000000001E-4</v>
      </c>
      <c r="AN33" s="66">
        <v>3.9899999999999999E-4</v>
      </c>
      <c r="AO33" s="66">
        <v>1.37E-4</v>
      </c>
      <c r="AP33" s="66">
        <v>1.7699999999999999E-4</v>
      </c>
      <c r="AQ33" s="66">
        <v>1.7799999999999999E-4</v>
      </c>
      <c r="AR33" s="279">
        <f t="shared" si="15"/>
        <v>7.2843000000000005E-2</v>
      </c>
      <c r="AS33" s="279">
        <f t="shared" si="0"/>
        <v>1.8182312834180364E-3</v>
      </c>
      <c r="AT33" s="279">
        <f t="shared" si="1"/>
        <v>5.6010000000000001E-3</v>
      </c>
      <c r="AU33" s="279">
        <f t="shared" si="2"/>
        <v>6.3367578460913276E-4</v>
      </c>
      <c r="AV33" s="279">
        <f t="shared" si="3"/>
        <v>6.7200000000000007E-4</v>
      </c>
      <c r="AW33" s="279">
        <f t="shared" si="4"/>
        <v>3.41287269027135E-4</v>
      </c>
      <c r="AX33" s="279">
        <f t="shared" si="5"/>
        <v>7.8780000000000013E-3</v>
      </c>
      <c r="AY33" s="279">
        <f t="shared" si="6"/>
        <v>7.2872765831962221E-4</v>
      </c>
      <c r="AZ33" s="279">
        <f t="shared" si="7"/>
        <v>5.169E-3</v>
      </c>
      <c r="BA33" s="279">
        <f t="shared" si="8"/>
        <v>5.6361866541128683E-4</v>
      </c>
      <c r="BB33" s="279">
        <f t="shared" si="9"/>
        <v>1.5269999999999999E-3</v>
      </c>
      <c r="BC33" s="279">
        <f t="shared" si="10"/>
        <v>2.3343093196918015E-4</v>
      </c>
      <c r="BD33" s="279">
        <f t="shared" si="11"/>
        <v>2.0300000000000001E-3</v>
      </c>
      <c r="BE33" s="279">
        <f t="shared" si="12"/>
        <v>3.3178908963376111E-4</v>
      </c>
      <c r="BR33" s="280">
        <f t="shared" si="65"/>
        <v>14.092280905397564</v>
      </c>
      <c r="BS33" s="280">
        <f t="shared" si="66"/>
        <v>1.5763454007974016</v>
      </c>
      <c r="BT33" s="280">
        <f t="shared" si="67"/>
        <v>1.0835751596053396</v>
      </c>
      <c r="BU33" s="280">
        <f t="shared" si="68"/>
        <v>0.17025974382090533</v>
      </c>
    </row>
    <row r="34" spans="2:119">
      <c r="B34" s="273" t="s">
        <v>913</v>
      </c>
      <c r="C34" s="5">
        <v>2.15E-3</v>
      </c>
      <c r="D34" s="66">
        <f t="shared" si="43"/>
        <v>2.1500000000000002E-4</v>
      </c>
      <c r="E34" s="67">
        <v>44713</v>
      </c>
      <c r="F34" s="5" t="s">
        <v>821</v>
      </c>
      <c r="G34" s="327" t="s">
        <v>901</v>
      </c>
      <c r="H34" s="5">
        <v>1</v>
      </c>
      <c r="J34" s="327">
        <v>44644</v>
      </c>
      <c r="K34" s="5" t="s">
        <v>857</v>
      </c>
      <c r="L34" s="378">
        <v>2.5000000000000001E-2</v>
      </c>
      <c r="M34" s="5">
        <v>1.87</v>
      </c>
      <c r="N34" s="5" t="s">
        <v>322</v>
      </c>
      <c r="O34" s="5">
        <v>30</v>
      </c>
      <c r="P34" s="5">
        <v>3.4597000000000003E-2</v>
      </c>
      <c r="Q34" s="5">
        <v>1.572E-3</v>
      </c>
      <c r="R34" s="5">
        <v>6.6750000000000004E-3</v>
      </c>
      <c r="S34" s="5">
        <v>5.5000000000000003E-4</v>
      </c>
      <c r="T34" s="5">
        <v>1.075E-3</v>
      </c>
      <c r="U34" s="5">
        <v>2.7300000000000002E-4</v>
      </c>
      <c r="V34" s="5">
        <v>1.2191E-2</v>
      </c>
      <c r="W34" s="5">
        <v>3.97E-4</v>
      </c>
      <c r="X34" s="5">
        <v>5.7930000000000004E-3</v>
      </c>
      <c r="Y34" s="5">
        <v>2.6600000000000001E-4</v>
      </c>
      <c r="Z34" s="5">
        <v>1.5839999999999999E-3</v>
      </c>
      <c r="AA34" s="5">
        <v>2.0599999999999999E-4</v>
      </c>
      <c r="AB34" s="5">
        <v>2.5219999999999999E-3</v>
      </c>
      <c r="AC34" s="5">
        <v>4.9600000000000002E-4</v>
      </c>
      <c r="AD34" s="66">
        <v>2.6180000000000001E-3</v>
      </c>
      <c r="AE34" s="66">
        <v>5.4699999999999996E-4</v>
      </c>
      <c r="AF34" s="66">
        <v>6.8999999999999997E-4</v>
      </c>
      <c r="AG34" s="66">
        <v>1.6799999999999999E-4</v>
      </c>
      <c r="AH34" s="66">
        <v>2.1599999999999999E-4</v>
      </c>
      <c r="AI34" s="66">
        <v>1.01E-4</v>
      </c>
      <c r="AJ34" s="66">
        <v>7.0699999999999995E-4</v>
      </c>
      <c r="AK34" s="66">
        <v>2.6200000000000003E-4</v>
      </c>
      <c r="AL34" s="66">
        <v>5.8900000000000001E-4</v>
      </c>
      <c r="AM34" s="66">
        <v>2.2900000000000001E-4</v>
      </c>
      <c r="AN34" s="66">
        <v>3.9899999999999999E-4</v>
      </c>
      <c r="AO34" s="66">
        <v>1.37E-4</v>
      </c>
      <c r="AP34" s="66">
        <v>1.7699999999999999E-4</v>
      </c>
      <c r="AQ34" s="66">
        <v>1.7799999999999999E-4</v>
      </c>
      <c r="AR34" s="279">
        <f t="shared" si="15"/>
        <v>3.1979E-2</v>
      </c>
      <c r="AS34" s="279">
        <f t="shared" si="0"/>
        <v>1.6644497589293587E-3</v>
      </c>
      <c r="AT34" s="279">
        <f t="shared" si="1"/>
        <v>5.9850000000000007E-3</v>
      </c>
      <c r="AU34" s="279">
        <f t="shared" si="2"/>
        <v>5.7508608051316974E-4</v>
      </c>
      <c r="AV34" s="279">
        <f t="shared" si="3"/>
        <v>8.5899999999999995E-4</v>
      </c>
      <c r="AW34" s="279">
        <f t="shared" si="4"/>
        <v>2.910841802640604E-4</v>
      </c>
      <c r="AX34" s="279">
        <f t="shared" si="5"/>
        <v>1.1484000000000001E-2</v>
      </c>
      <c r="AY34" s="279">
        <f t="shared" si="6"/>
        <v>4.7566059328054495E-4</v>
      </c>
      <c r="AZ34" s="279">
        <f t="shared" si="7"/>
        <v>5.2040000000000003E-3</v>
      </c>
      <c r="BA34" s="279">
        <f t="shared" si="8"/>
        <v>3.5099430194805161E-4</v>
      </c>
      <c r="BB34" s="279">
        <f t="shared" si="9"/>
        <v>1.1849999999999999E-3</v>
      </c>
      <c r="BC34" s="279">
        <f t="shared" si="10"/>
        <v>2.4739644298170496E-4</v>
      </c>
      <c r="BD34" s="279">
        <f t="shared" si="11"/>
        <v>2.3449999999999999E-3</v>
      </c>
      <c r="BE34" s="279">
        <f t="shared" si="12"/>
        <v>5.2697248505021593E-4</v>
      </c>
      <c r="BR34" s="280">
        <f t="shared" si="65"/>
        <v>6.1450807071483471</v>
      </c>
      <c r="BS34" s="280">
        <f t="shared" si="66"/>
        <v>0.52352759272693417</v>
      </c>
      <c r="BT34" s="280">
        <f t="shared" si="67"/>
        <v>1.1500768639508072</v>
      </c>
      <c r="BU34" s="280">
        <f t="shared" si="68"/>
        <v>0.13501522899790008</v>
      </c>
      <c r="BW34" s="708" t="s">
        <v>1014</v>
      </c>
      <c r="BX34" s="712" cm="1">
        <f t="array" ref="BX34:BY38">LINEST(BT38:BT40,BR38:BR40,,TRUE)</f>
        <v>1.030172425381926</v>
      </c>
      <c r="BY34" s="713">
        <v>0.99098048016661033</v>
      </c>
      <c r="BZ34" s="709" t="s">
        <v>1015</v>
      </c>
    </row>
    <row r="35" spans="2:119">
      <c r="B35" s="273" t="s">
        <v>913</v>
      </c>
      <c r="C35" s="5">
        <v>2.15E-3</v>
      </c>
      <c r="D35" s="66">
        <f t="shared" si="43"/>
        <v>2.1500000000000002E-4</v>
      </c>
      <c r="E35" s="67">
        <v>44713</v>
      </c>
      <c r="F35" s="5" t="s">
        <v>821</v>
      </c>
      <c r="G35" s="327" t="s">
        <v>901</v>
      </c>
      <c r="H35" s="5">
        <v>1</v>
      </c>
      <c r="J35" s="327">
        <v>44644</v>
      </c>
      <c r="K35" s="5" t="s">
        <v>857</v>
      </c>
      <c r="L35" s="378">
        <v>0.03</v>
      </c>
      <c r="M35" s="5">
        <v>2.2799999999999998</v>
      </c>
      <c r="N35" s="5" t="s">
        <v>322</v>
      </c>
      <c r="O35" s="5">
        <v>30</v>
      </c>
      <c r="P35" s="5">
        <v>3.8066000000000003E-2</v>
      </c>
      <c r="Q35" s="5">
        <v>6.0800000000000003E-4</v>
      </c>
      <c r="R35" s="5">
        <v>1.4222E-2</v>
      </c>
      <c r="S35" s="5">
        <v>5.2800000000000004E-4</v>
      </c>
      <c r="T35" s="5">
        <v>1.6969999999999999E-3</v>
      </c>
      <c r="U35" s="5">
        <v>1.6699999999999999E-4</v>
      </c>
      <c r="V35" s="5">
        <v>1.3906E-2</v>
      </c>
      <c r="W35" s="5">
        <v>6.8199999999999999E-4</v>
      </c>
      <c r="X35" s="5">
        <v>9.0419999999999997E-3</v>
      </c>
      <c r="Y35" s="5">
        <v>5.4699999999999996E-4</v>
      </c>
      <c r="Z35" s="5">
        <v>3.6879999999999999E-3</v>
      </c>
      <c r="AA35" s="5">
        <v>3.3E-4</v>
      </c>
      <c r="AB35" s="5">
        <v>3.4420000000000002E-3</v>
      </c>
      <c r="AC35" s="5">
        <v>2.1499999999999999E-4</v>
      </c>
      <c r="AD35" s="66">
        <v>1.5560000000000001E-3</v>
      </c>
      <c r="AE35" s="66">
        <v>5.1800000000000001E-4</v>
      </c>
      <c r="AF35" s="66">
        <v>8.2299999999999995E-4</v>
      </c>
      <c r="AG35" s="66">
        <v>1.6000000000000001E-4</v>
      </c>
      <c r="AH35" s="66">
        <v>3.8999999999999999E-4</v>
      </c>
      <c r="AI35" s="66">
        <v>8.6000000000000003E-5</v>
      </c>
      <c r="AJ35" s="66">
        <v>8.6600000000000002E-4</v>
      </c>
      <c r="AK35" s="66">
        <v>2.05E-4</v>
      </c>
      <c r="AL35" s="66">
        <v>3.2299999999999999E-4</v>
      </c>
      <c r="AM35" s="66">
        <v>2.31E-4</v>
      </c>
      <c r="AN35" s="66">
        <v>2.31E-4</v>
      </c>
      <c r="AO35" s="66">
        <v>2.31E-4</v>
      </c>
      <c r="AP35" s="66">
        <v>1.36E-4</v>
      </c>
      <c r="AQ35" s="66">
        <v>1.27E-4</v>
      </c>
      <c r="AR35" s="279">
        <f t="shared" si="15"/>
        <v>3.6510000000000001E-2</v>
      </c>
      <c r="AS35" s="279">
        <f t="shared" si="0"/>
        <v>7.9874151012702477E-4</v>
      </c>
      <c r="AT35" s="279">
        <f t="shared" si="1"/>
        <v>1.3399000000000001E-2</v>
      </c>
      <c r="AU35" s="279">
        <f t="shared" si="2"/>
        <v>5.5171006878613343E-4</v>
      </c>
      <c r="AV35" s="279">
        <f t="shared" si="3"/>
        <v>1.307E-3</v>
      </c>
      <c r="AW35" s="279">
        <f t="shared" si="4"/>
        <v>1.8784301956687133E-4</v>
      </c>
      <c r="AX35" s="279">
        <f t="shared" si="5"/>
        <v>1.304E-2</v>
      </c>
      <c r="AY35" s="279">
        <f t="shared" si="6"/>
        <v>7.1214394612325389E-4</v>
      </c>
      <c r="AZ35" s="279">
        <f t="shared" si="7"/>
        <v>8.7189999999999993E-3</v>
      </c>
      <c r="BA35" s="279">
        <f t="shared" si="8"/>
        <v>5.9377605206003376E-4</v>
      </c>
      <c r="BB35" s="279">
        <f t="shared" si="9"/>
        <v>3.457E-3</v>
      </c>
      <c r="BC35" s="279">
        <f t="shared" si="10"/>
        <v>4.0281633531921219E-4</v>
      </c>
      <c r="BD35" s="279">
        <f t="shared" si="11"/>
        <v>3.3060000000000003E-3</v>
      </c>
      <c r="BE35" s="279">
        <f t="shared" si="12"/>
        <v>2.4970782927253205E-4</v>
      </c>
      <c r="BR35" s="280">
        <f t="shared" si="65"/>
        <v>4.1874068127078798</v>
      </c>
      <c r="BS35" s="280">
        <f t="shared" si="66"/>
        <v>0.29952160107869891</v>
      </c>
      <c r="BT35" s="280">
        <f t="shared" si="67"/>
        <v>1.536758802614979</v>
      </c>
      <c r="BU35" s="280">
        <f t="shared" si="68"/>
        <v>0.12229760625045619</v>
      </c>
      <c r="BW35" s="708" t="s">
        <v>1016</v>
      </c>
      <c r="BX35" s="714">
        <v>0.9623909506222722</v>
      </c>
      <c r="BY35" s="715">
        <v>0.7520214976945756</v>
      </c>
      <c r="BZ35" s="709" t="s">
        <v>1017</v>
      </c>
    </row>
    <row r="36" spans="2:119">
      <c r="B36" s="273" t="s">
        <v>913</v>
      </c>
      <c r="C36" s="5">
        <v>2.15E-3</v>
      </c>
      <c r="D36" s="66">
        <f t="shared" si="43"/>
        <v>2.1500000000000002E-4</v>
      </c>
      <c r="E36" s="67">
        <v>44713</v>
      </c>
      <c r="F36" s="5" t="s">
        <v>821</v>
      </c>
      <c r="G36" s="327" t="s">
        <v>901</v>
      </c>
      <c r="H36" s="5">
        <v>1</v>
      </c>
      <c r="J36" s="327">
        <v>44644</v>
      </c>
      <c r="K36" s="5" t="s">
        <v>857</v>
      </c>
      <c r="L36" s="378">
        <v>3.5000000000000003E-2</v>
      </c>
      <c r="M36" s="5">
        <v>2.69</v>
      </c>
      <c r="N36" s="5" t="s">
        <v>322</v>
      </c>
      <c r="O36" s="5">
        <v>30</v>
      </c>
      <c r="P36" s="5">
        <v>5.0918999999999999E-2</v>
      </c>
      <c r="Q36" s="5">
        <v>1.4890000000000001E-3</v>
      </c>
      <c r="R36" s="5">
        <v>3.0592999999999999E-2</v>
      </c>
      <c r="S36" s="5">
        <v>8.0000000000000004E-4</v>
      </c>
      <c r="T36" s="5">
        <v>1.5330000000000001E-3</v>
      </c>
      <c r="U36" s="5">
        <v>1.4899999999999999E-4</v>
      </c>
      <c r="V36" s="5">
        <v>2.6804000000000001E-2</v>
      </c>
      <c r="W36" s="5">
        <v>1.1280000000000001E-3</v>
      </c>
      <c r="X36" s="5">
        <v>1.1244000000000001E-2</v>
      </c>
      <c r="Y36" s="5">
        <v>6.0700000000000001E-4</v>
      </c>
      <c r="Z36" s="5">
        <v>2.3019999999999998E-3</v>
      </c>
      <c r="AA36" s="5">
        <v>3.2400000000000001E-4</v>
      </c>
      <c r="AB36" s="5">
        <v>3.852E-3</v>
      </c>
      <c r="AC36" s="5">
        <v>3.77E-4</v>
      </c>
      <c r="AD36" s="66">
        <v>1.5560000000000001E-3</v>
      </c>
      <c r="AE36" s="66">
        <v>5.1800000000000001E-4</v>
      </c>
      <c r="AF36" s="66">
        <v>8.2299999999999995E-4</v>
      </c>
      <c r="AG36" s="66">
        <v>1.6000000000000001E-4</v>
      </c>
      <c r="AH36" s="66">
        <v>3.8999999999999999E-4</v>
      </c>
      <c r="AI36" s="66">
        <v>8.6000000000000003E-5</v>
      </c>
      <c r="AJ36" s="66">
        <v>8.6600000000000002E-4</v>
      </c>
      <c r="AK36" s="66">
        <v>2.05E-4</v>
      </c>
      <c r="AL36" s="66">
        <v>3.2299999999999999E-4</v>
      </c>
      <c r="AM36" s="66">
        <v>2.31E-4</v>
      </c>
      <c r="AN36" s="66">
        <v>2.31E-4</v>
      </c>
      <c r="AO36" s="66">
        <v>2.31E-4</v>
      </c>
      <c r="AP36" s="66">
        <v>1.36E-4</v>
      </c>
      <c r="AQ36" s="66">
        <v>1.27E-4</v>
      </c>
      <c r="AR36" s="279">
        <f t="shared" si="15"/>
        <v>4.9362999999999997E-2</v>
      </c>
      <c r="AS36" s="279">
        <f t="shared" si="0"/>
        <v>1.5765294161543578E-3</v>
      </c>
      <c r="AT36" s="279">
        <f t="shared" si="1"/>
        <v>2.9769999999999998E-2</v>
      </c>
      <c r="AU36" s="279">
        <f t="shared" si="2"/>
        <v>8.1584312217484556E-4</v>
      </c>
      <c r="AV36" s="279">
        <f t="shared" si="3"/>
        <v>1.1430000000000001E-3</v>
      </c>
      <c r="AW36" s="279">
        <f t="shared" si="4"/>
        <v>1.7203778654702575E-4</v>
      </c>
      <c r="AX36" s="279">
        <f t="shared" si="5"/>
        <v>2.5938000000000003E-2</v>
      </c>
      <c r="AY36" s="279">
        <f t="shared" si="6"/>
        <v>1.1464767769126421E-3</v>
      </c>
      <c r="AZ36" s="279">
        <f t="shared" si="7"/>
        <v>1.0921E-2</v>
      </c>
      <c r="BA36" s="279">
        <f t="shared" si="8"/>
        <v>6.4946901388749875E-4</v>
      </c>
      <c r="BB36" s="279">
        <f t="shared" si="9"/>
        <v>2.0709999999999999E-3</v>
      </c>
      <c r="BC36" s="279">
        <f t="shared" si="10"/>
        <v>3.9791582024342791E-4</v>
      </c>
      <c r="BD36" s="279">
        <f t="shared" si="11"/>
        <v>3.7160000000000001E-3</v>
      </c>
      <c r="BE36" s="279">
        <f t="shared" si="12"/>
        <v>3.9781654063148251E-4</v>
      </c>
      <c r="BR36" s="280">
        <f t="shared" si="65"/>
        <v>4.5200073253365076</v>
      </c>
      <c r="BS36" s="280">
        <f t="shared" si="66"/>
        <v>0.30511395018201071</v>
      </c>
      <c r="BT36" s="280">
        <f t="shared" si="67"/>
        <v>2.7259408479077005</v>
      </c>
      <c r="BU36" s="280">
        <f t="shared" si="68"/>
        <v>0.178495575783822</v>
      </c>
      <c r="BW36" s="708" t="s">
        <v>1018</v>
      </c>
      <c r="BX36" s="716">
        <v>0.53397790576684945</v>
      </c>
      <c r="BY36" s="717">
        <v>0.45135174483340834</v>
      </c>
      <c r="BZ36" s="709" t="s">
        <v>1020</v>
      </c>
    </row>
    <row r="37" spans="2:119">
      <c r="B37" s="273" t="s">
        <v>913</v>
      </c>
      <c r="C37" s="5">
        <v>2.15E-3</v>
      </c>
      <c r="D37" s="66">
        <f t="shared" si="43"/>
        <v>2.1500000000000002E-4</v>
      </c>
      <c r="E37" s="67">
        <v>44713</v>
      </c>
      <c r="F37" s="5" t="s">
        <v>821</v>
      </c>
      <c r="G37" s="327" t="s">
        <v>901</v>
      </c>
      <c r="H37" s="5">
        <v>1</v>
      </c>
      <c r="J37" s="327">
        <v>44644</v>
      </c>
      <c r="K37" s="5" t="s">
        <v>857</v>
      </c>
      <c r="L37" s="378">
        <v>0.04</v>
      </c>
      <c r="M37" s="5">
        <v>3.52</v>
      </c>
      <c r="N37" s="5" t="s">
        <v>322</v>
      </c>
      <c r="O37" s="5">
        <v>30</v>
      </c>
      <c r="P37" s="5">
        <v>2.1166999999999998E-2</v>
      </c>
      <c r="Q37" s="5">
        <v>4.4099999999999999E-4</v>
      </c>
      <c r="R37" s="5">
        <v>1.9543999999999999E-2</v>
      </c>
      <c r="S37" s="5">
        <v>7.5199999999999996E-4</v>
      </c>
      <c r="T37" s="5">
        <v>1.4339999999999999E-3</v>
      </c>
      <c r="U37" s="5">
        <v>2.41E-4</v>
      </c>
      <c r="V37" s="5">
        <v>2.3785000000000001E-2</v>
      </c>
      <c r="W37" s="5">
        <v>9.6000000000000002E-4</v>
      </c>
      <c r="X37" s="5">
        <v>9.6000000000000002E-4</v>
      </c>
      <c r="Y37" s="5">
        <v>6.11E-4</v>
      </c>
      <c r="Z37" s="5">
        <v>2.2829999999999999E-3</v>
      </c>
      <c r="AA37" s="5">
        <v>3.2000000000000003E-4</v>
      </c>
      <c r="AB37" s="5">
        <v>3.9659999999999999E-3</v>
      </c>
      <c r="AC37" s="5">
        <v>3.1700000000000001E-4</v>
      </c>
      <c r="AD37" s="66">
        <v>1.5560000000000001E-3</v>
      </c>
      <c r="AE37" s="66">
        <v>5.1800000000000001E-4</v>
      </c>
      <c r="AF37" s="66">
        <v>8.2299999999999995E-4</v>
      </c>
      <c r="AG37" s="66">
        <v>1.6000000000000001E-4</v>
      </c>
      <c r="AH37" s="66">
        <v>3.8999999999999999E-4</v>
      </c>
      <c r="AI37" s="66">
        <v>8.6000000000000003E-5</v>
      </c>
      <c r="AJ37" s="66">
        <v>8.6600000000000002E-4</v>
      </c>
      <c r="AK37" s="66">
        <v>2.05E-4</v>
      </c>
      <c r="AL37" s="66">
        <v>3.2299999999999999E-4</v>
      </c>
      <c r="AM37" s="66">
        <v>2.31E-4</v>
      </c>
      <c r="AN37" s="66">
        <v>2.31E-4</v>
      </c>
      <c r="AO37" s="66">
        <v>2.31E-4</v>
      </c>
      <c r="AP37" s="66">
        <v>1.36E-4</v>
      </c>
      <c r="AQ37" s="66">
        <v>1.27E-4</v>
      </c>
      <c r="AR37" s="279">
        <f t="shared" si="15"/>
        <v>1.9610999999999996E-2</v>
      </c>
      <c r="AS37" s="279">
        <f t="shared" si="0"/>
        <v>6.8029772893932259E-4</v>
      </c>
      <c r="AT37" s="279">
        <f t="shared" si="1"/>
        <v>1.8720999999999998E-2</v>
      </c>
      <c r="AU37" s="279">
        <f t="shared" si="2"/>
        <v>7.6883288171097366E-4</v>
      </c>
      <c r="AV37" s="279">
        <f t="shared" si="3"/>
        <v>1.044E-3</v>
      </c>
      <c r="AW37" s="279">
        <f t="shared" si="4"/>
        <v>2.5588473967784789E-4</v>
      </c>
      <c r="AX37" s="279">
        <f t="shared" si="5"/>
        <v>2.2919000000000002E-2</v>
      </c>
      <c r="AY37" s="279">
        <f t="shared" si="6"/>
        <v>9.8164402916739641E-4</v>
      </c>
      <c r="AZ37" s="279">
        <f t="shared" si="7"/>
        <v>6.3699999999999998E-4</v>
      </c>
      <c r="BA37" s="279">
        <f t="shared" si="8"/>
        <v>6.5320900177508266E-4</v>
      </c>
      <c r="BB37" s="279">
        <f t="shared" si="9"/>
        <v>2.052E-3</v>
      </c>
      <c r="BC37" s="279">
        <f t="shared" si="10"/>
        <v>3.9466568130507626E-4</v>
      </c>
      <c r="BD37" s="279">
        <f t="shared" si="11"/>
        <v>3.8300000000000001E-3</v>
      </c>
      <c r="BE37" s="279">
        <f t="shared" si="12"/>
        <v>3.4149377739572359E-4</v>
      </c>
      <c r="BR37" s="280">
        <f t="shared" si="65"/>
        <v>30.786499215070638</v>
      </c>
      <c r="BS37" s="280">
        <f t="shared" si="66"/>
        <v>31.587946557449094</v>
      </c>
      <c r="BT37" s="280">
        <f t="shared" si="67"/>
        <v>29.38932496075353</v>
      </c>
      <c r="BU37" s="280">
        <f t="shared" si="68"/>
        <v>30.161320083298538</v>
      </c>
      <c r="BW37" s="708" t="s">
        <v>57</v>
      </c>
      <c r="BX37" s="716">
        <v>1.1458210080050426</v>
      </c>
      <c r="BY37" s="717">
        <v>1</v>
      </c>
      <c r="BZ37" s="709" t="s">
        <v>1021</v>
      </c>
    </row>
    <row r="38" spans="2:119" ht="18.600000000000001" thickBot="1">
      <c r="B38" s="273" t="s">
        <v>913</v>
      </c>
      <c r="C38" s="5">
        <v>2.15E-3</v>
      </c>
      <c r="D38" s="66">
        <f t="shared" si="43"/>
        <v>2.1500000000000002E-4</v>
      </c>
      <c r="E38" s="67">
        <v>44713</v>
      </c>
      <c r="F38" s="5" t="s">
        <v>821</v>
      </c>
      <c r="G38" s="327" t="s">
        <v>901</v>
      </c>
      <c r="H38" s="5">
        <v>1</v>
      </c>
      <c r="J38" s="327">
        <v>44644</v>
      </c>
      <c r="K38" s="5" t="s">
        <v>857</v>
      </c>
      <c r="L38" s="378">
        <v>0.05</v>
      </c>
      <c r="M38" s="5">
        <v>4.2</v>
      </c>
      <c r="N38" s="5" t="s">
        <v>322</v>
      </c>
      <c r="O38" s="5">
        <v>30</v>
      </c>
      <c r="P38" s="5">
        <v>2.6138000000000002E-2</v>
      </c>
      <c r="Q38" s="5">
        <v>9.9599999999999992E-4</v>
      </c>
      <c r="R38" s="5">
        <v>6.7387000000000002E-2</v>
      </c>
      <c r="S38" s="5">
        <v>1.5870000000000001E-3</v>
      </c>
      <c r="T38" s="5">
        <v>4.3819999999999996E-3</v>
      </c>
      <c r="U38" s="5">
        <v>4.8799999999999999E-4</v>
      </c>
      <c r="V38" s="5">
        <v>3.8953000000000002E-2</v>
      </c>
      <c r="W38" s="5">
        <v>1.165E-3</v>
      </c>
      <c r="X38" s="5">
        <v>3.1230999999999998E-2</v>
      </c>
      <c r="Y38" s="5">
        <v>7.2300000000000001E-4</v>
      </c>
      <c r="Z38" s="5">
        <v>1.0663000000000001E-2</v>
      </c>
      <c r="AA38" s="5">
        <v>5.1999999999999995E-4</v>
      </c>
      <c r="AB38" s="5">
        <v>9.6340000000000002E-3</v>
      </c>
      <c r="AC38" s="5">
        <v>2.2800000000000001E-4</v>
      </c>
      <c r="AD38" s="66">
        <v>1.64E-3</v>
      </c>
      <c r="AE38" s="66">
        <v>2.4399999999999999E-4</v>
      </c>
      <c r="AF38" s="66">
        <v>2.72E-4</v>
      </c>
      <c r="AG38" s="66">
        <v>1.83E-4</v>
      </c>
      <c r="AH38" s="66">
        <v>1.0399999999999999E-4</v>
      </c>
      <c r="AI38" s="66">
        <v>6.2600000000000004E-4</v>
      </c>
      <c r="AJ38" s="66">
        <v>1.47E-4</v>
      </c>
      <c r="AK38" s="66">
        <v>1.16E-4</v>
      </c>
      <c r="AL38" s="66">
        <v>3.2499999999999999E-4</v>
      </c>
      <c r="AM38" s="66">
        <v>1.16E-4</v>
      </c>
      <c r="AN38" s="66">
        <v>2.02E-4</v>
      </c>
      <c r="AO38" s="66">
        <v>1.7100000000000001E-4</v>
      </c>
      <c r="AP38" s="66">
        <v>2.5999999999999998E-4</v>
      </c>
      <c r="AQ38" s="66">
        <v>1.6699999999999999E-4</v>
      </c>
      <c r="AR38" s="279">
        <f t="shared" si="15"/>
        <v>2.4498000000000002E-2</v>
      </c>
      <c r="AS38" s="279">
        <f t="shared" si="0"/>
        <v>1.0254520954193812E-3</v>
      </c>
      <c r="AT38" s="279">
        <f t="shared" si="1"/>
        <v>6.7115000000000008E-2</v>
      </c>
      <c r="AU38" s="279">
        <f t="shared" si="2"/>
        <v>1.5975161971009872E-3</v>
      </c>
      <c r="AV38" s="279">
        <f t="shared" si="3"/>
        <v>4.2779999999999997E-3</v>
      </c>
      <c r="AW38" s="279">
        <f t="shared" si="4"/>
        <v>7.9373799203515517E-4</v>
      </c>
      <c r="AX38" s="279">
        <f t="shared" si="5"/>
        <v>3.8806E-2</v>
      </c>
      <c r="AY38" s="279">
        <f t="shared" si="6"/>
        <v>1.1707608637121416E-3</v>
      </c>
      <c r="AZ38" s="279">
        <f t="shared" si="7"/>
        <v>3.0905999999999999E-2</v>
      </c>
      <c r="BA38" s="279">
        <f t="shared" si="8"/>
        <v>7.3224654318064216E-4</v>
      </c>
      <c r="BB38" s="279">
        <f t="shared" si="9"/>
        <v>1.0461E-2</v>
      </c>
      <c r="BC38" s="279">
        <f t="shared" si="10"/>
        <v>5.4739473873978721E-4</v>
      </c>
      <c r="BD38" s="279">
        <f t="shared" si="11"/>
        <v>9.3740000000000004E-3</v>
      </c>
      <c r="BE38" s="279">
        <f t="shared" si="12"/>
        <v>2.8261811689981941E-4</v>
      </c>
      <c r="BR38" s="280">
        <f t="shared" si="65"/>
        <v>0.79266161910308686</v>
      </c>
      <c r="BS38" s="280">
        <f t="shared" si="66"/>
        <v>3.8126008287386388E-2</v>
      </c>
      <c r="BT38" s="280">
        <f t="shared" si="67"/>
        <v>2.1715848055393776</v>
      </c>
      <c r="BU38" s="280">
        <f t="shared" si="68"/>
        <v>7.2931345040558399E-2</v>
      </c>
      <c r="BW38" s="708" t="s">
        <v>1019</v>
      </c>
      <c r="BX38" s="718">
        <v>0.23342481964614031</v>
      </c>
      <c r="BY38" s="719">
        <v>0.20371839756416216</v>
      </c>
      <c r="BZ38" s="709" t="s">
        <v>1022</v>
      </c>
    </row>
    <row r="39" spans="2:119">
      <c r="B39" s="273" t="s">
        <v>913</v>
      </c>
      <c r="C39" s="5">
        <v>2.15E-3</v>
      </c>
      <c r="D39" s="66">
        <f t="shared" si="43"/>
        <v>2.1500000000000002E-4</v>
      </c>
      <c r="E39" s="67">
        <v>44713</v>
      </c>
      <c r="F39" s="5" t="s">
        <v>821</v>
      </c>
      <c r="G39" s="327" t="s">
        <v>901</v>
      </c>
      <c r="H39" s="5">
        <v>1</v>
      </c>
      <c r="J39" s="327">
        <v>44644</v>
      </c>
      <c r="K39" s="5" t="s">
        <v>857</v>
      </c>
      <c r="L39" s="378">
        <v>0.06</v>
      </c>
      <c r="M39" s="5">
        <v>4.82</v>
      </c>
      <c r="N39" s="5" t="s">
        <v>322</v>
      </c>
      <c r="O39" s="5">
        <v>30</v>
      </c>
      <c r="P39" s="5">
        <v>3.0980000000000001E-2</v>
      </c>
      <c r="Q39" s="5">
        <v>1.1839999999999999E-3</v>
      </c>
      <c r="R39" s="5">
        <v>5.2109000000000003E-2</v>
      </c>
      <c r="S39" s="5">
        <v>1.2589999999999999E-3</v>
      </c>
      <c r="T39" s="5">
        <v>4.1149999999999997E-3</v>
      </c>
      <c r="U39" s="5">
        <v>2.72E-4</v>
      </c>
      <c r="V39" s="5">
        <v>3.8219000000000003E-2</v>
      </c>
      <c r="W39" s="5">
        <v>7.18E-4</v>
      </c>
      <c r="X39" s="5">
        <v>2.879E-2</v>
      </c>
      <c r="Y39" s="5">
        <v>7.8200000000000003E-4</v>
      </c>
      <c r="Z39" s="5">
        <v>5.3600000000000002E-3</v>
      </c>
      <c r="AA39" s="5">
        <v>2.13E-4</v>
      </c>
      <c r="AB39" s="5">
        <v>1.0461E-2</v>
      </c>
      <c r="AC39" s="5">
        <v>4.2499999999999998E-4</v>
      </c>
      <c r="AD39" s="66">
        <v>1.64E-3</v>
      </c>
      <c r="AE39" s="66">
        <v>2.4399999999999999E-4</v>
      </c>
      <c r="AF39" s="66">
        <v>2.72E-4</v>
      </c>
      <c r="AG39" s="66">
        <v>1.83E-4</v>
      </c>
      <c r="AH39" s="66">
        <v>1.0399999999999999E-4</v>
      </c>
      <c r="AI39" s="66">
        <v>6.2600000000000004E-4</v>
      </c>
      <c r="AJ39" s="66">
        <v>1.47E-4</v>
      </c>
      <c r="AK39" s="66">
        <v>1.16E-4</v>
      </c>
      <c r="AL39" s="66">
        <v>3.2499999999999999E-4</v>
      </c>
      <c r="AM39" s="66">
        <v>1.16E-4</v>
      </c>
      <c r="AN39" s="66">
        <v>2.02E-4</v>
      </c>
      <c r="AO39" s="66">
        <v>1.7100000000000001E-4</v>
      </c>
      <c r="AP39" s="66">
        <v>2.5999999999999998E-4</v>
      </c>
      <c r="AQ39" s="66">
        <v>1.6699999999999999E-4</v>
      </c>
      <c r="AR39" s="279">
        <f t="shared" si="15"/>
        <v>2.9340000000000001E-2</v>
      </c>
      <c r="AS39" s="279">
        <f t="shared" si="0"/>
        <v>1.2088804738269205E-3</v>
      </c>
      <c r="AT39" s="279">
        <f t="shared" si="1"/>
        <v>5.1837000000000001E-2</v>
      </c>
      <c r="AU39" s="279">
        <f t="shared" si="2"/>
        <v>1.2722303250591064E-3</v>
      </c>
      <c r="AV39" s="279">
        <f t="shared" si="3"/>
        <v>4.0109999999999998E-3</v>
      </c>
      <c r="AW39" s="279">
        <f t="shared" si="4"/>
        <v>6.8253937615349346E-4</v>
      </c>
      <c r="AX39" s="279">
        <f t="shared" si="5"/>
        <v>3.8072000000000002E-2</v>
      </c>
      <c r="AY39" s="279">
        <f t="shared" si="6"/>
        <v>7.2731011267546661E-4</v>
      </c>
      <c r="AZ39" s="279">
        <f t="shared" si="7"/>
        <v>2.8465000000000001E-2</v>
      </c>
      <c r="BA39" s="279">
        <f t="shared" si="8"/>
        <v>7.9055676583025965E-4</v>
      </c>
      <c r="BB39" s="279">
        <f t="shared" si="9"/>
        <v>5.1580000000000003E-3</v>
      </c>
      <c r="BC39" s="279">
        <f t="shared" si="10"/>
        <v>2.731483113621609E-4</v>
      </c>
      <c r="BD39" s="279">
        <f t="shared" si="11"/>
        <v>1.0201E-2</v>
      </c>
      <c r="BE39" s="279">
        <f t="shared" si="12"/>
        <v>4.566333321166995E-4</v>
      </c>
      <c r="BR39" s="280">
        <f t="shared" si="65"/>
        <v>1.0307395046548393</v>
      </c>
      <c r="BS39" s="280">
        <f t="shared" si="66"/>
        <v>5.1216239719765196E-2</v>
      </c>
      <c r="BT39" s="280">
        <f t="shared" si="67"/>
        <v>1.8210785174776041</v>
      </c>
      <c r="BU39" s="280">
        <f t="shared" si="68"/>
        <v>6.7495228616035782E-2</v>
      </c>
    </row>
    <row r="40" spans="2:119">
      <c r="B40" s="273" t="s">
        <v>913</v>
      </c>
      <c r="C40" s="5">
        <v>2.15E-3</v>
      </c>
      <c r="D40" s="66">
        <f t="shared" si="43"/>
        <v>2.1500000000000002E-4</v>
      </c>
      <c r="E40" s="67">
        <v>44713</v>
      </c>
      <c r="F40" s="5" t="s">
        <v>821</v>
      </c>
      <c r="G40" s="327" t="s">
        <v>901</v>
      </c>
      <c r="H40" s="5">
        <v>1</v>
      </c>
      <c r="J40" s="327">
        <v>44644</v>
      </c>
      <c r="K40" s="5" t="s">
        <v>857</v>
      </c>
      <c r="L40" s="378">
        <v>0.1</v>
      </c>
      <c r="N40" s="5" t="s">
        <v>322</v>
      </c>
      <c r="O40" s="5">
        <v>30</v>
      </c>
      <c r="P40" s="5">
        <v>5.2338000000000003E-2</v>
      </c>
      <c r="Q40" s="5">
        <v>2.604E-3</v>
      </c>
      <c r="R40" s="5">
        <v>0.168409</v>
      </c>
      <c r="S40" s="5">
        <v>1.7520000000000001E-3</v>
      </c>
      <c r="T40" s="5">
        <v>1.6407999999999999E-2</v>
      </c>
      <c r="U40" s="5">
        <v>6.9499999999999998E-4</v>
      </c>
      <c r="V40" s="5">
        <v>0.16105800000000001</v>
      </c>
      <c r="W40" s="5">
        <v>2.3640000000000002E-3</v>
      </c>
      <c r="X40" s="5">
        <v>0.13530800000000001</v>
      </c>
      <c r="Y40" s="5">
        <v>2.2599999999999999E-3</v>
      </c>
      <c r="Z40" s="5">
        <v>2.3282000000000001E-2</v>
      </c>
      <c r="AA40" s="5">
        <v>2.3282000000000001E-2</v>
      </c>
      <c r="AB40" s="5">
        <v>4.7704000000000003E-2</v>
      </c>
      <c r="AC40" s="5">
        <v>6.9399999999999996E-4</v>
      </c>
      <c r="AD40" s="66">
        <v>1.64E-3</v>
      </c>
      <c r="AE40" s="66">
        <v>2.4399999999999999E-4</v>
      </c>
      <c r="AF40" s="66">
        <v>2.72E-4</v>
      </c>
      <c r="AG40" s="66">
        <v>1.83E-4</v>
      </c>
      <c r="AH40" s="66">
        <v>1.0399999999999999E-4</v>
      </c>
      <c r="AI40" s="66">
        <v>6.2600000000000004E-4</v>
      </c>
      <c r="AJ40" s="66">
        <v>1.47E-4</v>
      </c>
      <c r="AK40" s="66">
        <v>1.16E-4</v>
      </c>
      <c r="AL40" s="66">
        <v>3.2499999999999999E-4</v>
      </c>
      <c r="AM40" s="66">
        <v>1.16E-4</v>
      </c>
      <c r="AN40" s="66">
        <v>2.02E-4</v>
      </c>
      <c r="AO40" s="66">
        <v>1.7100000000000001E-4</v>
      </c>
      <c r="AP40" s="66">
        <v>2.5999999999999998E-4</v>
      </c>
      <c r="AQ40" s="66">
        <v>1.6699999999999999E-4</v>
      </c>
      <c r="AR40" s="279">
        <f t="shared" si="15"/>
        <v>5.0698E-2</v>
      </c>
      <c r="AS40" s="279">
        <f t="shared" si="0"/>
        <v>2.6154066605405747E-3</v>
      </c>
      <c r="AT40" s="279">
        <f t="shared" si="1"/>
        <v>0.16813700000000001</v>
      </c>
      <c r="AU40" s="279">
        <f t="shared" si="2"/>
        <v>1.7615314359953956E-3</v>
      </c>
      <c r="AV40" s="279">
        <f t="shared" si="3"/>
        <v>1.6303999999999999E-2</v>
      </c>
      <c r="AW40" s="279">
        <f t="shared" si="4"/>
        <v>9.3536142747068624E-4</v>
      </c>
      <c r="AX40" s="279">
        <f t="shared" si="5"/>
        <v>0.160911</v>
      </c>
      <c r="AY40" s="279">
        <f t="shared" si="6"/>
        <v>2.3668443125816284E-3</v>
      </c>
      <c r="AZ40" s="279">
        <f t="shared" si="7"/>
        <v>0.13498300000000002</v>
      </c>
      <c r="BA40" s="279">
        <f t="shared" si="8"/>
        <v>2.2629750330041202E-3</v>
      </c>
      <c r="BB40" s="279">
        <f t="shared" si="9"/>
        <v>2.308E-2</v>
      </c>
      <c r="BC40" s="279">
        <f t="shared" si="10"/>
        <v>2.3282627965932026E-2</v>
      </c>
      <c r="BD40" s="279">
        <f t="shared" si="11"/>
        <v>4.7444E-2</v>
      </c>
      <c r="BE40" s="279">
        <f t="shared" si="12"/>
        <v>7.1381019886241465E-4</v>
      </c>
      <c r="BR40" s="280">
        <f t="shared" si="65"/>
        <v>0.37558803701206811</v>
      </c>
      <c r="BS40" s="280">
        <f t="shared" si="66"/>
        <v>2.0373287136360638E-2</v>
      </c>
      <c r="BT40" s="280">
        <f t="shared" si="67"/>
        <v>1.2456161146218412</v>
      </c>
      <c r="BU40" s="280">
        <f t="shared" si="68"/>
        <v>2.4624922137246139E-2</v>
      </c>
      <c r="BV40" s="463">
        <v>1.150462289302862E+19</v>
      </c>
      <c r="BW40" s="463">
        <v>1.3421795074550899E+18</v>
      </c>
      <c r="BX40" s="720">
        <v>1.030172425381926</v>
      </c>
      <c r="BY40" s="720">
        <v>0.9623909506222722</v>
      </c>
      <c r="BZ40" s="408">
        <f>IF(Heating_Type = "Stepped", 1/Slope_SW, Xe128AC/Xe129AC)</f>
        <v>0.97071128615120927</v>
      </c>
      <c r="CA40" s="159">
        <f>IF(Heating_Type="Stepped",Xe128Xe129*(Slope_SWerr/Slope_SW), Xe128Xe129*SQRT((Xe129ACerr/Xe129AC)^2+(Xe128ACerr/Xe128AC)^2))</f>
        <v>0.90684213093015398</v>
      </c>
      <c r="CB40" s="157">
        <f>Xe128Xe129*SW_Initial</f>
        <v>1.0406024987540963E-4</v>
      </c>
      <c r="CC40" s="158">
        <f t="shared" ref="CC40" si="69">I127_Prod*SQRT((Xe128Xe129err/Xe128Xe129)^2+(SW_Initialerr/SW_Initial)^2)</f>
        <v>9.7254226534838876E-5</v>
      </c>
      <c r="CD40" s="158">
        <f>Therm_CS_127I*Therm_Flux*Y_127I*I127_Abun</f>
        <v>6.6616368399792931E-5</v>
      </c>
      <c r="CE40" s="158">
        <f t="shared" ref="CE40" si="70">I127_Th*SQRT((Therm_CS_127Ierr/Therm_CS_127I)^2+(Therm_Fluxerr/Therm_Flux)^2)</f>
        <v>7.7837853807150252E-6</v>
      </c>
      <c r="CF40" s="167">
        <f>I127_Prod/I127_Th</f>
        <v>1.5620822986161624</v>
      </c>
      <c r="CG40" s="147">
        <f>I_Factor*SQRT((I127_Therr/I127_Th)^2+(I127_Proderr/I127_Prod)^2)</f>
        <v>1.4712802180019908</v>
      </c>
      <c r="CH40" s="157">
        <f>(I127_Prod/Y_127I-(Therm_CS_127I*Therm_Flux))/Epitherm_CS_127I</f>
        <v>2.5967351019179939E+17</v>
      </c>
      <c r="CI40" s="158">
        <f t="shared" ref="CI40" si="71">SQRT(((Therm_Flux*Therm_CS_127I/Epitherm_CS_127I)^2*((Therm_CS_127Ierr/Therm_CS_127I)^2+(Epitherm_CS_127Ierr/Epitherm_CS_127I)^2+(Therm_Fluxerr/Therm_Flux)^2))+((I127_Prod/Epitherm_CS_127I)^2*((I127_Proderr/I127_Prod)^2+(Epitherm_CS_127Ierr/Epitherm_CS_127I)^2)))</f>
        <v>6.3662700534934554E+17</v>
      </c>
      <c r="CJ40" s="158">
        <f t="shared" ref="CJ40" si="72">Y_79Br*(Therm_CS_79Br*Therm_Flux+Epitherm_CS_79Br*EpiTherm_Flux)*Br79_Abun</f>
        <v>7.3879200284541585E-5</v>
      </c>
      <c r="CK40" s="158">
        <f t="shared" ref="CK40" si="73">Br79_Abun*Y_79Br*SQRT(Therm_CS_79Br^2*Epitherm_CS_79Brerr^2*EpiTherm_Flux^2+Therm_Flux^2*Therm_CS_79Brerr^2+Therm_Fluxerr^2*Therm_CS_79Br^2)</f>
        <v>6.7993309021674304E-6</v>
      </c>
      <c r="CL40" s="158">
        <f t="shared" ref="CL40" si="74">Therm_CS_79Br*Therm_Flux*Y_79Br*Br79_Abun</f>
        <v>5.8236047858074209E-5</v>
      </c>
      <c r="CM40" s="158">
        <f t="shared" ref="CM40" si="75">Br79_Th*SQRT((Therm_CS_79Brerr/Therm_CS_79Br)^2+(Therm_Fluxerr/Therm_Flux)^2)</f>
        <v>6.7993309021674312E-6</v>
      </c>
      <c r="CN40" s="147">
        <f t="shared" ref="CN40" si="76">Br79_ETh/Br79_Th</f>
        <v>1.2686163124357435</v>
      </c>
      <c r="CO40" s="147">
        <f t="shared" ref="CO40" si="77">Br79_Factor*SQRT((Br79_Therr/Br79_Th)^2+(Br79_ETherr/Br79_ETh)^2)</f>
        <v>0.18860081249399785</v>
      </c>
      <c r="CP40" s="158">
        <f t="shared" ref="CP40" si="78">Y_81Br*(Therm_CS_81Br*Therm_Flux+Epitherm_CS_81Br*CH40)*Br81_Abun</f>
        <v>1.9316597599222873E-5</v>
      </c>
      <c r="CQ40" s="158">
        <f t="shared" ref="CQ40" si="79">Br81_Abun*Y_81Br*SQRT(Therm_CS_81Br^2*Epitherm_CS_81Brerr^2*CH40^2+Therm_Flux^2*Therm_CS_81Brerr^2+Therm_Fluxerr^2*Therm_CS_81Br^2)</f>
        <v>1.5711603298450997E-6</v>
      </c>
      <c r="CR40" s="158">
        <f t="shared" ref="CR40" si="80">Therm_CS_81Br*Therm_Flux*Y_81Br*Br81_Abun</f>
        <v>1.3388113734583694E-5</v>
      </c>
      <c r="CS40" s="158">
        <f t="shared" ref="CS40" si="81">Br81_Th*SQRT((Therm_CS_81Brerr/Therm_CS_81Br)^2+(Therm_Fluxerr/Therm_Flux)^2)</f>
        <v>1.5711603298450995E-6</v>
      </c>
      <c r="CT40" s="147">
        <f t="shared" ref="CT40" si="82">Br81_ETh/Br81_Th</f>
        <v>1.4428169630292975</v>
      </c>
      <c r="CU40" s="147">
        <f t="shared" ref="CU40" si="83">Br81_Factor*SQRT((Br81_ETherr/Br81_ETh)^2+(Br81_Therr/Br79_Th)^2)</f>
        <v>0.12364222253652216</v>
      </c>
      <c r="CV40" s="158">
        <f t="shared" ref="CV40" si="84">Y_130Ba*(Therm_CS_130Ba*Therm_Flux+Epitherm_CS_130Ba*CH40)*Ba130_Abun</f>
        <v>1.4876929603965624E-7</v>
      </c>
      <c r="CW40" s="158">
        <f t="shared" ref="CW40" si="85">Ba130_Abun*Y_130Ba*SQRT(Therm_CS_130Ba^2*Epitherm_CS_130Baerr^2*CH40^2+Therm_Flux^2*Therm_CS_130Baerr^2+Therm_Fluxerr^2*Therm_CS_130Ba^2)</f>
        <v>1.1783110246939357E-8</v>
      </c>
      <c r="CX40" s="158">
        <f t="shared" ref="CX40" si="86">Therm_CS_130Ba*Therm_Flux*Y_130Ba*Ba130_Abun</f>
        <v>9.4461697465163696E-8</v>
      </c>
      <c r="CY40" s="158">
        <f t="shared" ref="CY40" si="87">Ba130_Th*SQRT((Therm_CS_81Brerr/Therm_CS_81Br)^2+(Therm_Fluxerr/Therm_Flux)^2)</f>
        <v>1.1085540105901225E-8</v>
      </c>
      <c r="CZ40" s="147">
        <f t="shared" ref="CZ40" si="88">CV40/CX40</f>
        <v>1.5749166067497413</v>
      </c>
      <c r="DA40" s="147">
        <f t="shared" ref="DA40" si="89">Ba_Factor*SQRT((Ba130_Therr/Ba130_Th)^2+(Ba130_ETherr/Ba130_ETh)^2)</f>
        <v>0.2229796326813186</v>
      </c>
    </row>
    <row r="41" spans="2:119">
      <c r="AD41" s="66"/>
      <c r="AE41" s="66"/>
      <c r="AF41" s="66"/>
      <c r="AG41" s="66"/>
      <c r="AH41" s="66"/>
      <c r="AI41" s="66"/>
      <c r="AJ41" s="66"/>
      <c r="AK41" s="66"/>
      <c r="AL41" s="66"/>
      <c r="AM41" s="66"/>
      <c r="AN41" s="66"/>
      <c r="AO41" s="66"/>
      <c r="AP41" s="66"/>
      <c r="AQ41" s="66"/>
      <c r="BR41" s="280"/>
      <c r="BS41" s="280"/>
      <c r="BT41" s="280"/>
      <c r="BU41" s="280"/>
    </row>
    <row r="42" spans="2:119" s="63" customFormat="1">
      <c r="B42" s="721" t="s">
        <v>1023</v>
      </c>
      <c r="C42" s="258">
        <v>2.3600000000000001E-3</v>
      </c>
      <c r="D42" s="722">
        <v>2.2599999999999999E-4</v>
      </c>
      <c r="E42" s="723">
        <v>44708</v>
      </c>
      <c r="F42" s="258" t="s">
        <v>821</v>
      </c>
      <c r="G42" s="724" t="s">
        <v>901</v>
      </c>
      <c r="H42" s="258">
        <v>1</v>
      </c>
      <c r="I42" s="258"/>
      <c r="J42" s="724">
        <v>44644</v>
      </c>
      <c r="K42" s="258" t="s">
        <v>857</v>
      </c>
      <c r="L42" s="725">
        <v>0.04</v>
      </c>
      <c r="M42" s="258">
        <v>3.47</v>
      </c>
      <c r="N42" s="258" t="s">
        <v>322</v>
      </c>
      <c r="O42" s="258">
        <v>30</v>
      </c>
      <c r="P42" s="258">
        <v>3.1923E-2</v>
      </c>
      <c r="Q42" s="258">
        <v>1.1379999999999999E-3</v>
      </c>
      <c r="R42" s="258">
        <v>6.6256999999999996E-2</v>
      </c>
      <c r="S42" s="258">
        <v>1.1999999999999999E-3</v>
      </c>
      <c r="T42" s="258">
        <v>3.656E-3</v>
      </c>
      <c r="U42" s="258">
        <v>2.6400000000000002E-4</v>
      </c>
      <c r="V42" s="258">
        <v>4.0856999999999997E-2</v>
      </c>
      <c r="W42" s="258">
        <v>9.1699999999999995E-4</v>
      </c>
      <c r="X42" s="258">
        <v>3.9486E-2</v>
      </c>
      <c r="Y42" s="258">
        <v>1.4220000000000001E-3</v>
      </c>
      <c r="Z42" s="258">
        <v>4.3309999999999998E-3</v>
      </c>
      <c r="AA42" s="258">
        <v>3.5799999999999997E-4</v>
      </c>
      <c r="AB42" s="258">
        <v>1.1660999999999999E-2</v>
      </c>
      <c r="AC42" s="258">
        <v>5.9500000000000004E-4</v>
      </c>
      <c r="AD42" s="722">
        <v>2.8500000000000001E-3</v>
      </c>
      <c r="AE42" s="722">
        <v>3.4200000000000002E-4</v>
      </c>
      <c r="AF42" s="722">
        <v>6.5799999999999995E-4</v>
      </c>
      <c r="AG42" s="722">
        <v>2.1000000000000001E-4</v>
      </c>
      <c r="AH42" s="722">
        <v>5.0000000000000002E-5</v>
      </c>
      <c r="AI42" s="722">
        <v>7.7000000000000001E-5</v>
      </c>
      <c r="AJ42" s="722">
        <v>6.4199999999999999E-4</v>
      </c>
      <c r="AK42" s="722">
        <v>1.5699999999999999E-4</v>
      </c>
      <c r="AL42" s="722">
        <v>6.3000000000000003E-4</v>
      </c>
      <c r="AM42" s="722">
        <v>1.8699999999999999E-4</v>
      </c>
      <c r="AN42" s="722">
        <v>2.6499999999999999E-4</v>
      </c>
      <c r="AO42" s="722">
        <v>1.75E-4</v>
      </c>
      <c r="AP42" s="722">
        <v>1.11E-4</v>
      </c>
      <c r="AQ42" s="722">
        <v>1.3100000000000001E-4</v>
      </c>
      <c r="AR42" s="726">
        <f t="shared" si="15"/>
        <v>2.9073000000000002E-2</v>
      </c>
      <c r="AS42" s="726">
        <f t="shared" si="0"/>
        <v>1.1882794284174072E-3</v>
      </c>
      <c r="AT42" s="726">
        <f t="shared" si="1"/>
        <v>6.5598999999999991E-2</v>
      </c>
      <c r="AU42" s="726">
        <f t="shared" si="2"/>
        <v>1.2182364302548169E-3</v>
      </c>
      <c r="AV42" s="726">
        <f t="shared" si="3"/>
        <v>3.6059999999999998E-3</v>
      </c>
      <c r="AW42" s="726">
        <f t="shared" si="4"/>
        <v>2.7500000000000002E-4</v>
      </c>
      <c r="AX42" s="726">
        <f t="shared" si="5"/>
        <v>4.0215000000000001E-2</v>
      </c>
      <c r="AY42" s="726">
        <f t="shared" si="6"/>
        <v>9.3034294751989167E-4</v>
      </c>
      <c r="AZ42" s="726">
        <f t="shared" si="7"/>
        <v>3.8856000000000002E-2</v>
      </c>
      <c r="BA42" s="726">
        <f t="shared" si="8"/>
        <v>1.4342430059093891E-3</v>
      </c>
      <c r="BB42" s="726">
        <f t="shared" si="9"/>
        <v>4.0660000000000002E-3</v>
      </c>
      <c r="BC42" s="726">
        <f t="shared" si="10"/>
        <v>3.9848337481004144E-4</v>
      </c>
      <c r="BD42" s="726">
        <f t="shared" si="11"/>
        <v>1.155E-2</v>
      </c>
      <c r="BE42" s="726">
        <f t="shared" si="12"/>
        <v>6.0925035904790413E-4</v>
      </c>
      <c r="BF42" s="263"/>
      <c r="BG42" s="263"/>
      <c r="BH42" s="263"/>
      <c r="BI42" s="263"/>
      <c r="BJ42" s="263"/>
      <c r="BK42" s="263"/>
      <c r="BL42" s="263"/>
      <c r="BM42" s="263"/>
      <c r="BN42" s="263"/>
      <c r="BO42" s="263"/>
      <c r="BP42" s="263"/>
      <c r="BQ42" s="263"/>
      <c r="BR42" s="727">
        <f t="shared" ref="BR42:BR51" si="90">AR42/AZ42</f>
        <v>0.74822421247683757</v>
      </c>
      <c r="BS42" s="727">
        <f t="shared" ref="BS42:BS51" si="91">BR42*SQRT((AS42/AR42)^2+(BA42/AZ42)^2)</f>
        <v>4.120684531970701E-2</v>
      </c>
      <c r="BT42" s="727">
        <f t="shared" ref="BT42:BT51" si="92">AT42/AZ42</f>
        <v>1.6882592135062793</v>
      </c>
      <c r="BU42" s="727">
        <f t="shared" ref="BU42:BU51" si="93">BT42*SQRT((AU42/AT42)^2+(BA42/AZ42)^2)</f>
        <v>6.9759188346692036E-2</v>
      </c>
      <c r="BV42" s="258"/>
      <c r="BW42" s="258"/>
      <c r="BX42" s="710"/>
      <c r="BY42" s="710"/>
      <c r="BZ42" s="263"/>
      <c r="CA42" s="263"/>
      <c r="CB42" s="263"/>
      <c r="CC42" s="263"/>
      <c r="CD42" s="263"/>
      <c r="CE42" s="263"/>
      <c r="CF42" s="263"/>
      <c r="CG42" s="263"/>
      <c r="CH42" s="263"/>
      <c r="CI42" s="263"/>
      <c r="CJ42" s="263"/>
      <c r="CK42" s="263"/>
      <c r="CL42" s="263"/>
      <c r="CM42" s="263"/>
      <c r="CN42" s="263"/>
      <c r="CO42" s="263"/>
      <c r="CP42" s="263"/>
      <c r="CQ42" s="263"/>
      <c r="CR42" s="263"/>
      <c r="CS42" s="263"/>
      <c r="CT42" s="263"/>
      <c r="CU42" s="263"/>
      <c r="CV42" s="263"/>
      <c r="CW42" s="263"/>
      <c r="CX42" s="263"/>
      <c r="CY42" s="263"/>
      <c r="CZ42" s="263"/>
      <c r="DA42" s="263"/>
      <c r="DC42" s="215"/>
      <c r="DD42" s="215"/>
      <c r="DE42" s="215"/>
      <c r="DF42" s="215"/>
      <c r="DG42" s="215"/>
      <c r="DH42" s="215"/>
      <c r="DI42" s="215"/>
      <c r="DJ42" s="215"/>
      <c r="DK42" s="215"/>
      <c r="DL42" s="215"/>
      <c r="DM42" s="215"/>
      <c r="DN42" s="215"/>
      <c r="DO42" s="215"/>
    </row>
    <row r="43" spans="2:119" s="63" customFormat="1">
      <c r="B43" s="721" t="s">
        <v>1023</v>
      </c>
      <c r="C43" s="258">
        <v>2.3600000000000001E-3</v>
      </c>
      <c r="D43" s="722">
        <v>2.2599999999999999E-4</v>
      </c>
      <c r="E43" s="723">
        <v>44708</v>
      </c>
      <c r="F43" s="258" t="s">
        <v>821</v>
      </c>
      <c r="G43" s="724" t="s">
        <v>901</v>
      </c>
      <c r="H43" s="258">
        <v>1</v>
      </c>
      <c r="I43" s="258"/>
      <c r="J43" s="724">
        <v>44644</v>
      </c>
      <c r="K43" s="258" t="s">
        <v>857</v>
      </c>
      <c r="L43" s="725">
        <v>0.05</v>
      </c>
      <c r="M43" s="258">
        <v>4.2</v>
      </c>
      <c r="N43" s="258" t="s">
        <v>322</v>
      </c>
      <c r="O43" s="258">
        <v>30</v>
      </c>
      <c r="P43" s="258">
        <v>0.20943200000000001</v>
      </c>
      <c r="Q43" s="258">
        <v>2.7200000000000002E-3</v>
      </c>
      <c r="R43" s="258">
        <v>0.33317099999999999</v>
      </c>
      <c r="S43" s="258">
        <v>2.3010000000000001E-3</v>
      </c>
      <c r="T43" s="258">
        <v>7.5290000000000001E-3</v>
      </c>
      <c r="U43" s="258">
        <v>3.3300000000000002E-4</v>
      </c>
      <c r="V43" s="258">
        <v>7.5648999999999994E-2</v>
      </c>
      <c r="W43" s="258">
        <v>1.224E-3</v>
      </c>
      <c r="X43" s="258">
        <v>6.9603999999999999E-2</v>
      </c>
      <c r="Y43" s="258">
        <v>1.248E-3</v>
      </c>
      <c r="Z43" s="258">
        <v>9.3559999999999997E-3</v>
      </c>
      <c r="AA43" s="258">
        <v>6.3000000000000003E-4</v>
      </c>
      <c r="AB43" s="258">
        <v>2.2461999999999999E-2</v>
      </c>
      <c r="AC43" s="258">
        <v>5.7799999999999995E-4</v>
      </c>
      <c r="AD43" s="722">
        <v>2.0929999999999998E-3</v>
      </c>
      <c r="AE43" s="722">
        <v>5.3700000000000004E-4</v>
      </c>
      <c r="AF43" s="722">
        <v>4.5899999999999999E-4</v>
      </c>
      <c r="AG43" s="722">
        <v>2.05E-4</v>
      </c>
      <c r="AH43" s="722">
        <v>4.1100000000000002E-4</v>
      </c>
      <c r="AI43" s="722">
        <v>1.6200000000000001E-4</v>
      </c>
      <c r="AJ43" s="722">
        <v>6.1399999999999996E-4</v>
      </c>
      <c r="AK43" s="722">
        <v>1.85E-4</v>
      </c>
      <c r="AL43" s="722">
        <v>5.31E-4</v>
      </c>
      <c r="AM43" s="722">
        <v>3.0800000000000001E-4</v>
      </c>
      <c r="AN43" s="722">
        <v>7.4399999999999998E-4</v>
      </c>
      <c r="AO43" s="722">
        <v>1.9000000000000001E-4</v>
      </c>
      <c r="AP43" s="722">
        <v>4.2999999999999999E-4</v>
      </c>
      <c r="AQ43" s="722">
        <v>1.22E-4</v>
      </c>
      <c r="AR43" s="726">
        <f t="shared" si="15"/>
        <v>0.207339</v>
      </c>
      <c r="AS43" s="726">
        <f t="shared" si="0"/>
        <v>2.7725022993678474E-3</v>
      </c>
      <c r="AT43" s="726">
        <f t="shared" si="1"/>
        <v>0.33271200000000001</v>
      </c>
      <c r="AU43" s="726">
        <f t="shared" si="2"/>
        <v>2.3101138500082634E-3</v>
      </c>
      <c r="AV43" s="726">
        <f t="shared" si="3"/>
        <v>7.1180000000000002E-3</v>
      </c>
      <c r="AW43" s="726">
        <f t="shared" si="4"/>
        <v>3.703147310059377E-4</v>
      </c>
      <c r="AX43" s="726">
        <f t="shared" si="5"/>
        <v>7.5034999999999991E-2</v>
      </c>
      <c r="AY43" s="726">
        <f t="shared" si="6"/>
        <v>1.2379018539448109E-3</v>
      </c>
      <c r="AZ43" s="726">
        <f t="shared" si="7"/>
        <v>6.9072999999999996E-2</v>
      </c>
      <c r="BA43" s="726">
        <f t="shared" si="8"/>
        <v>1.2854446701433711E-3</v>
      </c>
      <c r="BB43" s="726">
        <f t="shared" si="9"/>
        <v>8.6119999999999999E-3</v>
      </c>
      <c r="BC43" s="726">
        <f t="shared" si="10"/>
        <v>6.5802735505448402E-4</v>
      </c>
      <c r="BD43" s="726">
        <f t="shared" si="11"/>
        <v>2.2032E-2</v>
      </c>
      <c r="BE43" s="726">
        <f t="shared" si="12"/>
        <v>5.9073513523405724E-4</v>
      </c>
      <c r="BF43" s="263"/>
      <c r="BG43" s="263"/>
      <c r="BH43" s="263"/>
      <c r="BI43" s="263"/>
      <c r="BJ43" s="263"/>
      <c r="BK43" s="263"/>
      <c r="BL43" s="263"/>
      <c r="BM43" s="263"/>
      <c r="BN43" s="263"/>
      <c r="BO43" s="263"/>
      <c r="BP43" s="263"/>
      <c r="BQ43" s="263"/>
      <c r="BR43" s="727">
        <f t="shared" si="90"/>
        <v>3.0017372924297483</v>
      </c>
      <c r="BS43" s="727">
        <f t="shared" si="91"/>
        <v>6.8787344050150467E-2</v>
      </c>
      <c r="BT43" s="727">
        <f t="shared" si="92"/>
        <v>4.8168169907199632</v>
      </c>
      <c r="BU43" s="727">
        <f t="shared" si="93"/>
        <v>9.56764894162557E-2</v>
      </c>
      <c r="BV43" s="258"/>
      <c r="BW43" s="258"/>
      <c r="BX43" s="710"/>
      <c r="BY43" s="710"/>
      <c r="BZ43" s="263"/>
      <c r="CA43" s="263"/>
      <c r="CB43" s="263"/>
      <c r="CC43" s="263"/>
      <c r="CD43" s="263"/>
      <c r="CE43" s="263"/>
      <c r="CF43" s="263"/>
      <c r="CG43" s="263"/>
      <c r="CH43" s="263"/>
      <c r="CI43" s="263"/>
      <c r="CJ43" s="263"/>
      <c r="CK43" s="263"/>
      <c r="CL43" s="263"/>
      <c r="CM43" s="263"/>
      <c r="CN43" s="263"/>
      <c r="CO43" s="263"/>
      <c r="CP43" s="263"/>
      <c r="CQ43" s="263"/>
      <c r="CR43" s="263"/>
      <c r="CS43" s="263"/>
      <c r="CT43" s="263"/>
      <c r="CU43" s="263"/>
      <c r="CV43" s="263"/>
      <c r="CW43" s="263"/>
      <c r="CX43" s="263"/>
      <c r="CY43" s="263"/>
      <c r="CZ43" s="263"/>
      <c r="DA43" s="263"/>
      <c r="DC43" s="215"/>
      <c r="DD43" s="215"/>
      <c r="DE43" s="215"/>
      <c r="DF43" s="215"/>
      <c r="DG43" s="215"/>
      <c r="DH43" s="215"/>
      <c r="DI43" s="215"/>
      <c r="DJ43" s="215"/>
      <c r="DK43" s="215"/>
      <c r="DL43" s="215"/>
      <c r="DM43" s="215"/>
      <c r="DN43" s="215"/>
      <c r="DO43" s="215"/>
    </row>
    <row r="44" spans="2:119" s="63" customFormat="1" ht="18.600000000000001" thickBot="1">
      <c r="B44" s="721" t="s">
        <v>1023</v>
      </c>
      <c r="C44" s="258">
        <v>2.3600000000000001E-3</v>
      </c>
      <c r="D44" s="722">
        <v>2.2599999999999999E-4</v>
      </c>
      <c r="E44" s="723">
        <v>44708</v>
      </c>
      <c r="F44" s="258" t="s">
        <v>821</v>
      </c>
      <c r="G44" s="724" t="s">
        <v>901</v>
      </c>
      <c r="H44" s="258">
        <v>1</v>
      </c>
      <c r="I44" s="258"/>
      <c r="J44" s="724">
        <v>44644</v>
      </c>
      <c r="K44" s="258" t="s">
        <v>857</v>
      </c>
      <c r="L44" s="725">
        <v>0.06</v>
      </c>
      <c r="M44" s="258">
        <v>4.82</v>
      </c>
      <c r="N44" s="258" t="s">
        <v>322</v>
      </c>
      <c r="O44" s="258">
        <v>30</v>
      </c>
      <c r="P44" s="258">
        <v>6.7712999999999995E-2</v>
      </c>
      <c r="Q44" s="258">
        <v>1.616E-3</v>
      </c>
      <c r="R44" s="258">
        <v>0.123053</v>
      </c>
      <c r="S44" s="258">
        <v>1.539E-3</v>
      </c>
      <c r="T44" s="258">
        <v>6.5789999999999998E-3</v>
      </c>
      <c r="U44" s="258">
        <v>5.2599999999999999E-4</v>
      </c>
      <c r="V44" s="258">
        <v>5.7571999999999998E-2</v>
      </c>
      <c r="W44" s="258">
        <v>1.237E-3</v>
      </c>
      <c r="X44" s="258">
        <v>5.8359000000000001E-2</v>
      </c>
      <c r="Y44" s="258">
        <v>1.1670000000000001E-3</v>
      </c>
      <c r="Z44" s="258">
        <v>9.8019999999999999E-3</v>
      </c>
      <c r="AA44" s="258">
        <v>5.2800000000000004E-4</v>
      </c>
      <c r="AB44" s="258">
        <v>1.7069000000000001E-2</v>
      </c>
      <c r="AC44" s="258">
        <v>7.1400000000000001E-4</v>
      </c>
      <c r="AD44" s="722">
        <v>2.0929999999999998E-3</v>
      </c>
      <c r="AE44" s="722">
        <v>5.3700000000000004E-4</v>
      </c>
      <c r="AF44" s="722">
        <v>4.5899999999999999E-4</v>
      </c>
      <c r="AG44" s="722">
        <v>2.05E-4</v>
      </c>
      <c r="AH44" s="722">
        <v>4.1100000000000002E-4</v>
      </c>
      <c r="AI44" s="722">
        <v>1.6200000000000001E-4</v>
      </c>
      <c r="AJ44" s="722">
        <v>6.1399999999999996E-4</v>
      </c>
      <c r="AK44" s="722">
        <v>1.85E-4</v>
      </c>
      <c r="AL44" s="722">
        <v>5.31E-4</v>
      </c>
      <c r="AM44" s="722">
        <v>3.0800000000000001E-4</v>
      </c>
      <c r="AN44" s="722">
        <v>7.4399999999999998E-4</v>
      </c>
      <c r="AO44" s="722">
        <v>1.9000000000000001E-4</v>
      </c>
      <c r="AP44" s="722">
        <v>4.2999999999999999E-4</v>
      </c>
      <c r="AQ44" s="722">
        <v>1.22E-4</v>
      </c>
      <c r="AR44" s="726">
        <f t="shared" si="15"/>
        <v>6.5619999999999998E-2</v>
      </c>
      <c r="AS44" s="726">
        <f t="shared" si="0"/>
        <v>1.7028872540482531E-3</v>
      </c>
      <c r="AT44" s="726">
        <f t="shared" si="1"/>
        <v>0.12259399999999999</v>
      </c>
      <c r="AU44" s="726">
        <f t="shared" si="2"/>
        <v>1.5525933144258995E-3</v>
      </c>
      <c r="AV44" s="726">
        <f t="shared" si="3"/>
        <v>6.1679999999999999E-3</v>
      </c>
      <c r="AW44" s="726">
        <f t="shared" si="4"/>
        <v>5.5038168574181323E-4</v>
      </c>
      <c r="AX44" s="726">
        <f t="shared" si="5"/>
        <v>5.6957999999999995E-2</v>
      </c>
      <c r="AY44" s="726">
        <f t="shared" si="6"/>
        <v>1.2507573705559365E-3</v>
      </c>
      <c r="AZ44" s="726">
        <f t="shared" si="7"/>
        <v>5.7828000000000004E-2</v>
      </c>
      <c r="BA44" s="726">
        <f t="shared" si="8"/>
        <v>1.2069602313249596E-3</v>
      </c>
      <c r="BB44" s="726">
        <f t="shared" si="9"/>
        <v>9.0580000000000001E-3</v>
      </c>
      <c r="BC44" s="726">
        <f t="shared" si="10"/>
        <v>5.6114525748686504E-4</v>
      </c>
      <c r="BD44" s="726">
        <f t="shared" si="11"/>
        <v>1.6639000000000001E-2</v>
      </c>
      <c r="BE44" s="726">
        <f t="shared" si="12"/>
        <v>7.2434798267131245E-4</v>
      </c>
      <c r="BF44" s="263"/>
      <c r="BG44" s="263"/>
      <c r="BH44" s="263"/>
      <c r="BI44" s="263"/>
      <c r="BJ44" s="263"/>
      <c r="BK44" s="263"/>
      <c r="BL44" s="263"/>
      <c r="BM44" s="263"/>
      <c r="BN44" s="263"/>
      <c r="BO44" s="263"/>
      <c r="BP44" s="263"/>
      <c r="BQ44" s="263"/>
      <c r="BR44" s="727">
        <f t="shared" si="90"/>
        <v>1.1347444144704986</v>
      </c>
      <c r="BS44" s="727">
        <f t="shared" si="91"/>
        <v>3.7789926898649157E-2</v>
      </c>
      <c r="BT44" s="727">
        <f t="shared" si="92"/>
        <v>2.1199764819810469</v>
      </c>
      <c r="BU44" s="727">
        <f t="shared" si="93"/>
        <v>5.1755728021992457E-2</v>
      </c>
      <c r="BV44" s="258"/>
      <c r="BW44" s="258"/>
      <c r="BX44" s="710"/>
      <c r="BY44" s="728"/>
      <c r="BZ44" s="263"/>
      <c r="CA44" s="263"/>
      <c r="CB44" s="263"/>
      <c r="CC44" s="263"/>
      <c r="CD44" s="263"/>
      <c r="CE44" s="263"/>
      <c r="CF44" s="263"/>
      <c r="CG44" s="263"/>
      <c r="CH44" s="263"/>
      <c r="CI44" s="263"/>
      <c r="CJ44" s="263"/>
      <c r="CK44" s="263"/>
      <c r="CL44" s="263"/>
      <c r="CM44" s="263"/>
      <c r="CN44" s="263"/>
      <c r="CO44" s="263"/>
      <c r="CP44" s="263"/>
      <c r="CQ44" s="263"/>
      <c r="CR44" s="263"/>
      <c r="CS44" s="263"/>
      <c r="CT44" s="263"/>
      <c r="CU44" s="263"/>
      <c r="CV44" s="263"/>
      <c r="CW44" s="263"/>
      <c r="CX44" s="263"/>
      <c r="CY44" s="263"/>
      <c r="CZ44" s="263"/>
      <c r="DA44" s="263"/>
      <c r="DC44" s="215"/>
      <c r="DD44" s="215"/>
      <c r="DE44" s="215"/>
      <c r="DF44" s="215"/>
      <c r="DG44" s="215"/>
      <c r="DH44" s="215"/>
      <c r="DI44" s="215"/>
      <c r="DJ44" s="215"/>
      <c r="DK44" s="215"/>
      <c r="DL44" s="215"/>
      <c r="DM44" s="215"/>
      <c r="DN44" s="215"/>
      <c r="DO44" s="215"/>
    </row>
    <row r="45" spans="2:119" s="63" customFormat="1">
      <c r="B45" s="721" t="s">
        <v>1023</v>
      </c>
      <c r="C45" s="258">
        <v>2.3600000000000001E-3</v>
      </c>
      <c r="D45" s="722">
        <v>2.2599999999999999E-4</v>
      </c>
      <c r="E45" s="723">
        <v>44708</v>
      </c>
      <c r="F45" s="258" t="s">
        <v>821</v>
      </c>
      <c r="G45" s="724" t="s">
        <v>901</v>
      </c>
      <c r="H45" s="258">
        <v>1</v>
      </c>
      <c r="I45" s="258"/>
      <c r="J45" s="724">
        <v>44644</v>
      </c>
      <c r="K45" s="258" t="s">
        <v>857</v>
      </c>
      <c r="L45" s="725">
        <v>0.1</v>
      </c>
      <c r="M45" s="258">
        <v>7.49</v>
      </c>
      <c r="N45" s="258" t="s">
        <v>322</v>
      </c>
      <c r="O45" s="258">
        <v>30</v>
      </c>
      <c r="P45" s="258">
        <v>0.123197</v>
      </c>
      <c r="Q45" s="258">
        <v>6.2519999999999997E-3</v>
      </c>
      <c r="R45" s="258">
        <v>0.317075</v>
      </c>
      <c r="S45" s="258">
        <v>2.418E-3</v>
      </c>
      <c r="T45" s="258">
        <v>2.1353E-2</v>
      </c>
      <c r="U45" s="258">
        <v>6.2100000000000002E-4</v>
      </c>
      <c r="V45" s="258">
        <v>0.16584599999999999</v>
      </c>
      <c r="W45" s="258">
        <v>1.673E-3</v>
      </c>
      <c r="X45" s="258">
        <v>0.15715699999999999</v>
      </c>
      <c r="Y45" s="258">
        <v>1.505E-3</v>
      </c>
      <c r="Z45" s="258">
        <v>3.2802999999999999E-2</v>
      </c>
      <c r="AA45" s="258">
        <v>8.2899999999999998E-4</v>
      </c>
      <c r="AB45" s="258">
        <v>5.0938999999999998E-2</v>
      </c>
      <c r="AC45" s="258">
        <v>1.0610000000000001E-3</v>
      </c>
      <c r="AD45" s="722">
        <v>2.0929999999999998E-3</v>
      </c>
      <c r="AE45" s="722">
        <v>5.3700000000000004E-4</v>
      </c>
      <c r="AF45" s="722">
        <v>4.5899999999999999E-4</v>
      </c>
      <c r="AG45" s="722">
        <v>2.05E-4</v>
      </c>
      <c r="AH45" s="722">
        <v>4.1100000000000002E-4</v>
      </c>
      <c r="AI45" s="722">
        <v>1.6200000000000001E-4</v>
      </c>
      <c r="AJ45" s="722">
        <v>6.1399999999999996E-4</v>
      </c>
      <c r="AK45" s="722">
        <v>1.85E-4</v>
      </c>
      <c r="AL45" s="722">
        <v>5.31E-4</v>
      </c>
      <c r="AM45" s="722">
        <v>3.0800000000000001E-4</v>
      </c>
      <c r="AN45" s="722">
        <v>7.4399999999999998E-4</v>
      </c>
      <c r="AO45" s="722">
        <v>1.9000000000000001E-4</v>
      </c>
      <c r="AP45" s="722">
        <v>4.2999999999999999E-4</v>
      </c>
      <c r="AQ45" s="722">
        <v>1.22E-4</v>
      </c>
      <c r="AR45" s="726">
        <f t="shared" si="15"/>
        <v>0.121104</v>
      </c>
      <c r="AS45" s="726">
        <f t="shared" si="0"/>
        <v>6.2750197609250597E-3</v>
      </c>
      <c r="AT45" s="726">
        <f t="shared" si="1"/>
        <v>0.31661600000000001</v>
      </c>
      <c r="AU45" s="726">
        <f t="shared" si="2"/>
        <v>2.426674473430666E-3</v>
      </c>
      <c r="AV45" s="726">
        <f t="shared" si="3"/>
        <v>2.0941999999999999E-2</v>
      </c>
      <c r="AW45" s="726">
        <f t="shared" si="4"/>
        <v>6.4178267349625456E-4</v>
      </c>
      <c r="AX45" s="726">
        <f t="shared" si="5"/>
        <v>0.16523199999999999</v>
      </c>
      <c r="AY45" s="726">
        <f t="shared" si="6"/>
        <v>1.6831975522795892E-3</v>
      </c>
      <c r="AZ45" s="726">
        <f t="shared" si="7"/>
        <v>0.15662599999999999</v>
      </c>
      <c r="BA45" s="726">
        <f t="shared" si="8"/>
        <v>1.5361930217261111E-3</v>
      </c>
      <c r="BB45" s="726">
        <f t="shared" si="9"/>
        <v>3.2058999999999997E-2</v>
      </c>
      <c r="BC45" s="726">
        <f t="shared" si="10"/>
        <v>8.5049456200495476E-4</v>
      </c>
      <c r="BD45" s="726">
        <f t="shared" si="11"/>
        <v>5.0508999999999998E-2</v>
      </c>
      <c r="BE45" s="726">
        <f t="shared" si="12"/>
        <v>1.067991104831871E-3</v>
      </c>
      <c r="BF45" s="263"/>
      <c r="BG45" s="263"/>
      <c r="BH45" s="263"/>
      <c r="BI45" s="263"/>
      <c r="BJ45" s="263"/>
      <c r="BK45" s="263"/>
      <c r="BL45" s="263"/>
      <c r="BM45" s="263"/>
      <c r="BN45" s="263"/>
      <c r="BO45" s="263"/>
      <c r="BP45" s="263"/>
      <c r="BQ45" s="263"/>
      <c r="BR45" s="727">
        <f t="shared" si="90"/>
        <v>0.77320495958525415</v>
      </c>
      <c r="BS45" s="727">
        <f t="shared" si="91"/>
        <v>4.0775148352675733E-2</v>
      </c>
      <c r="BT45" s="727">
        <f t="shared" si="92"/>
        <v>2.0214779155440352</v>
      </c>
      <c r="BU45" s="727">
        <f t="shared" si="93"/>
        <v>2.516238076559401E-2</v>
      </c>
      <c r="BV45" s="258"/>
      <c r="BW45" s="258" t="s">
        <v>1014</v>
      </c>
      <c r="BX45" s="729" cm="1">
        <f t="array" ref="BX45:BY49">LINEST(BT42:BT51,BR42:BR51,,TRUE)</f>
        <v>1.2984028902809075</v>
      </c>
      <c r="BY45" s="730">
        <v>0.84734060653667864</v>
      </c>
      <c r="BZ45" s="263" t="s">
        <v>1015</v>
      </c>
      <c r="CA45" s="263"/>
      <c r="CB45" s="263"/>
      <c r="CC45" s="263"/>
      <c r="CD45" s="263"/>
      <c r="CE45" s="263"/>
      <c r="CF45" s="263"/>
      <c r="CG45" s="263"/>
      <c r="CH45" s="263"/>
      <c r="CI45" s="263"/>
      <c r="CJ45" s="263"/>
      <c r="CK45" s="263"/>
      <c r="CL45" s="263"/>
      <c r="CM45" s="263"/>
      <c r="CN45" s="263"/>
      <c r="CO45" s="263"/>
      <c r="CP45" s="263"/>
      <c r="CQ45" s="263"/>
      <c r="CR45" s="263"/>
      <c r="CS45" s="263"/>
      <c r="CT45" s="263"/>
      <c r="CU45" s="263"/>
      <c r="CV45" s="263"/>
      <c r="CW45" s="263"/>
      <c r="CX45" s="263"/>
      <c r="CY45" s="263"/>
      <c r="CZ45" s="263"/>
      <c r="DA45" s="263"/>
      <c r="DC45" s="215"/>
      <c r="DD45" s="215"/>
      <c r="DE45" s="215"/>
      <c r="DF45" s="215"/>
      <c r="DG45" s="215"/>
      <c r="DH45" s="215"/>
      <c r="DI45" s="215"/>
      <c r="DJ45" s="215"/>
      <c r="DK45" s="215"/>
      <c r="DL45" s="215"/>
      <c r="DM45" s="215"/>
      <c r="DN45" s="215"/>
      <c r="DO45" s="215"/>
    </row>
    <row r="46" spans="2:119" s="63" customFormat="1">
      <c r="B46" s="721" t="s">
        <v>1024</v>
      </c>
      <c r="C46" s="258">
        <v>2.5000000000000001E-3</v>
      </c>
      <c r="D46" s="722">
        <f t="shared" ref="D46:D51" si="94">C46*0.1</f>
        <v>2.5000000000000001E-4</v>
      </c>
      <c r="E46" s="723">
        <v>44712</v>
      </c>
      <c r="F46" s="258" t="s">
        <v>821</v>
      </c>
      <c r="G46" s="724" t="s">
        <v>901</v>
      </c>
      <c r="H46" s="258">
        <v>1</v>
      </c>
      <c r="I46" s="258"/>
      <c r="J46" s="724">
        <v>44644</v>
      </c>
      <c r="K46" s="258" t="s">
        <v>857</v>
      </c>
      <c r="L46" s="725">
        <v>0.05</v>
      </c>
      <c r="M46" s="258">
        <v>4.2</v>
      </c>
      <c r="N46" s="258" t="s">
        <v>322</v>
      </c>
      <c r="O46" s="258">
        <v>30</v>
      </c>
      <c r="P46" s="258">
        <v>8.7391999999999997E-2</v>
      </c>
      <c r="Q46" s="258">
        <v>1.879E-3</v>
      </c>
      <c r="R46" s="258">
        <v>0.146925</v>
      </c>
      <c r="S46" s="258">
        <v>1.7520000000000001E-3</v>
      </c>
      <c r="T46" s="258">
        <v>6.888E-3</v>
      </c>
      <c r="U46" s="258">
        <v>5.5500000000000005E-4</v>
      </c>
      <c r="V46" s="258">
        <v>7.8319E-2</v>
      </c>
      <c r="W46" s="258">
        <v>1.335E-3</v>
      </c>
      <c r="X46" s="258">
        <v>5.3566999999999997E-2</v>
      </c>
      <c r="Y46" s="258">
        <v>1.1720000000000001E-3</v>
      </c>
      <c r="Z46" s="258">
        <v>1.3421000000000001E-2</v>
      </c>
      <c r="AA46" s="258">
        <v>7.18E-4</v>
      </c>
      <c r="AB46" s="258">
        <v>2.0787E-2</v>
      </c>
      <c r="AC46" s="258">
        <v>6.3599999999999996E-4</v>
      </c>
      <c r="AD46" s="722">
        <v>1.6329999999999999E-3</v>
      </c>
      <c r="AE46" s="722">
        <v>4.06E-4</v>
      </c>
      <c r="AF46" s="722">
        <v>3.2400000000000001E-4</v>
      </c>
      <c r="AG46" s="722">
        <v>1.22E-4</v>
      </c>
      <c r="AH46" s="722">
        <v>2.4499999999999999E-4</v>
      </c>
      <c r="AI46" s="722">
        <v>9.2E-5</v>
      </c>
      <c r="AJ46" s="722">
        <v>5.6300000000000002E-4</v>
      </c>
      <c r="AK46" s="722">
        <v>9.3999999999999994E-5</v>
      </c>
      <c r="AL46" s="722">
        <v>3.5599999999999998E-4</v>
      </c>
      <c r="AM46" s="722">
        <v>1.4200000000000001E-4</v>
      </c>
      <c r="AN46" s="722">
        <v>5.0600000000000005E-4</v>
      </c>
      <c r="AO46" s="722">
        <v>9.7E-5</v>
      </c>
      <c r="AP46" s="722">
        <v>2.13E-4</v>
      </c>
      <c r="AQ46" s="722">
        <v>9.8999999999999994E-5</v>
      </c>
      <c r="AR46" s="726">
        <f t="shared" si="15"/>
        <v>8.5759000000000002E-2</v>
      </c>
      <c r="AS46" s="726">
        <f t="shared" si="0"/>
        <v>1.9223623487781901E-3</v>
      </c>
      <c r="AT46" s="726">
        <f t="shared" si="1"/>
        <v>0.14660100000000001</v>
      </c>
      <c r="AU46" s="726">
        <f t="shared" si="2"/>
        <v>1.7562425800555002E-3</v>
      </c>
      <c r="AV46" s="726">
        <f t="shared" si="3"/>
        <v>6.6429999999999996E-3</v>
      </c>
      <c r="AW46" s="726">
        <f t="shared" si="4"/>
        <v>5.6257355074692237E-4</v>
      </c>
      <c r="AX46" s="726">
        <f t="shared" si="5"/>
        <v>7.7756000000000006E-2</v>
      </c>
      <c r="AY46" s="726">
        <f t="shared" si="6"/>
        <v>1.3383052716028582E-3</v>
      </c>
      <c r="AZ46" s="726">
        <f t="shared" si="7"/>
        <v>5.3210999999999994E-2</v>
      </c>
      <c r="BA46" s="726">
        <f t="shared" si="8"/>
        <v>1.1805710482643559E-3</v>
      </c>
      <c r="BB46" s="726">
        <f t="shared" si="9"/>
        <v>1.2915000000000001E-2</v>
      </c>
      <c r="BC46" s="726">
        <f t="shared" si="10"/>
        <v>7.2452260144180458E-4</v>
      </c>
      <c r="BD46" s="726">
        <f t="shared" si="11"/>
        <v>2.0573999999999999E-2</v>
      </c>
      <c r="BE46" s="726">
        <f t="shared" si="12"/>
        <v>6.4365907124812587E-4</v>
      </c>
      <c r="BF46" s="263"/>
      <c r="BG46" s="263"/>
      <c r="BH46" s="263"/>
      <c r="BI46" s="263"/>
      <c r="BJ46" s="263"/>
      <c r="BK46" s="263"/>
      <c r="BL46" s="263"/>
      <c r="BM46" s="263"/>
      <c r="BN46" s="263"/>
      <c r="BO46" s="263"/>
      <c r="BP46" s="263"/>
      <c r="BQ46" s="263"/>
      <c r="BR46" s="727">
        <f t="shared" si="90"/>
        <v>1.6116780364962133</v>
      </c>
      <c r="BS46" s="727">
        <f t="shared" si="91"/>
        <v>5.0830910174665379E-2</v>
      </c>
      <c r="BT46" s="727">
        <f t="shared" si="92"/>
        <v>2.7550882336359028</v>
      </c>
      <c r="BU46" s="727">
        <f t="shared" si="93"/>
        <v>6.9467538147616956E-2</v>
      </c>
      <c r="BV46" s="258"/>
      <c r="BW46" s="258" t="s">
        <v>1016</v>
      </c>
      <c r="BX46" s="731">
        <v>6.5505935252222008E-2</v>
      </c>
      <c r="BY46" s="732">
        <v>0.12314623611180633</v>
      </c>
      <c r="BZ46" s="263" t="s">
        <v>1017</v>
      </c>
      <c r="CA46" s="263"/>
      <c r="CB46" s="263"/>
      <c r="CC46" s="263"/>
      <c r="CD46" s="263"/>
      <c r="CE46" s="263"/>
      <c r="CF46" s="263"/>
      <c r="CG46" s="263"/>
      <c r="CH46" s="263"/>
      <c r="CI46" s="263"/>
      <c r="CJ46" s="263"/>
      <c r="CK46" s="263"/>
      <c r="CL46" s="263"/>
      <c r="CM46" s="263"/>
      <c r="CN46" s="263"/>
      <c r="CO46" s="263"/>
      <c r="CP46" s="263"/>
      <c r="CQ46" s="263"/>
      <c r="CR46" s="263"/>
      <c r="CS46" s="263"/>
      <c r="CT46" s="263"/>
      <c r="CU46" s="263"/>
      <c r="CV46" s="263"/>
      <c r="CW46" s="263"/>
      <c r="CX46" s="263"/>
      <c r="CY46" s="263"/>
      <c r="CZ46" s="263"/>
      <c r="DA46" s="263"/>
      <c r="DC46" s="215"/>
      <c r="DD46" s="215"/>
      <c r="DE46" s="215"/>
      <c r="DF46" s="215"/>
      <c r="DG46" s="215"/>
      <c r="DH46" s="215"/>
      <c r="DI46" s="215"/>
      <c r="DJ46" s="215"/>
      <c r="DK46" s="215"/>
      <c r="DL46" s="215"/>
      <c r="DM46" s="215"/>
      <c r="DN46" s="215"/>
      <c r="DO46" s="215"/>
    </row>
    <row r="47" spans="2:119" s="63" customFormat="1">
      <c r="B47" s="721" t="s">
        <v>1024</v>
      </c>
      <c r="C47" s="258">
        <v>2.5000000000000001E-3</v>
      </c>
      <c r="D47" s="722">
        <f t="shared" si="94"/>
        <v>2.5000000000000001E-4</v>
      </c>
      <c r="E47" s="723">
        <v>44712</v>
      </c>
      <c r="F47" s="258" t="s">
        <v>821</v>
      </c>
      <c r="G47" s="724" t="s">
        <v>901</v>
      </c>
      <c r="H47" s="258">
        <v>1</v>
      </c>
      <c r="I47" s="258"/>
      <c r="J47" s="724">
        <v>44644</v>
      </c>
      <c r="K47" s="258" t="s">
        <v>857</v>
      </c>
      <c r="L47" s="725">
        <v>0.06</v>
      </c>
      <c r="M47" s="258">
        <v>4.82</v>
      </c>
      <c r="N47" s="258" t="s">
        <v>322</v>
      </c>
      <c r="O47" s="258">
        <v>30</v>
      </c>
      <c r="P47" s="258">
        <v>0.22295000000000001</v>
      </c>
      <c r="Q47" s="258">
        <v>2.598E-3</v>
      </c>
      <c r="R47" s="258">
        <v>0.33327899999999999</v>
      </c>
      <c r="S47" s="258">
        <v>3.846E-3</v>
      </c>
      <c r="T47" s="258">
        <v>5.7670000000000004E-3</v>
      </c>
      <c r="U47" s="258">
        <v>2.8899999999999998E-4</v>
      </c>
      <c r="V47" s="258">
        <v>4.8141000000000003E-2</v>
      </c>
      <c r="W47" s="258">
        <v>1.1019999999999999E-3</v>
      </c>
      <c r="X47" s="258">
        <v>5.0953999999999999E-2</v>
      </c>
      <c r="Y47" s="258">
        <v>8.3600000000000005E-4</v>
      </c>
      <c r="Z47" s="258">
        <v>7.5100000000000002E-3</v>
      </c>
      <c r="AA47" s="258">
        <v>1.7100000000000001E-4</v>
      </c>
      <c r="AB47" s="258">
        <v>1.6521000000000001E-2</v>
      </c>
      <c r="AC47" s="258">
        <v>6.9999999999999999E-4</v>
      </c>
      <c r="AD47" s="722">
        <v>1.6329999999999999E-3</v>
      </c>
      <c r="AE47" s="722">
        <v>4.06E-4</v>
      </c>
      <c r="AF47" s="722">
        <v>3.2400000000000001E-4</v>
      </c>
      <c r="AG47" s="722">
        <v>1.22E-4</v>
      </c>
      <c r="AH47" s="722">
        <v>2.4499999999999999E-4</v>
      </c>
      <c r="AI47" s="722">
        <v>9.2E-5</v>
      </c>
      <c r="AJ47" s="722">
        <v>5.6300000000000002E-4</v>
      </c>
      <c r="AK47" s="722">
        <v>9.3999999999999994E-5</v>
      </c>
      <c r="AL47" s="722">
        <v>3.5599999999999998E-4</v>
      </c>
      <c r="AM47" s="722">
        <v>1.4200000000000001E-4</v>
      </c>
      <c r="AN47" s="722">
        <v>5.0600000000000005E-4</v>
      </c>
      <c r="AO47" s="722">
        <v>9.7E-5</v>
      </c>
      <c r="AP47" s="722">
        <v>2.13E-4</v>
      </c>
      <c r="AQ47" s="722">
        <v>9.8999999999999994E-5</v>
      </c>
      <c r="AR47" s="726">
        <f t="shared" si="15"/>
        <v>0.22131700000000001</v>
      </c>
      <c r="AS47" s="726">
        <f t="shared" si="0"/>
        <v>2.6295322778015105E-3</v>
      </c>
      <c r="AT47" s="726">
        <f t="shared" si="1"/>
        <v>0.332955</v>
      </c>
      <c r="AU47" s="726">
        <f t="shared" si="2"/>
        <v>3.8479345108772315E-3</v>
      </c>
      <c r="AV47" s="726">
        <f t="shared" si="3"/>
        <v>5.5220000000000009E-3</v>
      </c>
      <c r="AW47" s="726">
        <f t="shared" si="4"/>
        <v>3.0329028998634294E-4</v>
      </c>
      <c r="AX47" s="726">
        <f t="shared" si="5"/>
        <v>4.7578000000000002E-2</v>
      </c>
      <c r="AY47" s="726">
        <f t="shared" si="6"/>
        <v>1.1060018083167856E-3</v>
      </c>
      <c r="AZ47" s="726">
        <f t="shared" si="7"/>
        <v>5.0597999999999997E-2</v>
      </c>
      <c r="BA47" s="726">
        <f t="shared" si="8"/>
        <v>8.4797405620691015E-4</v>
      </c>
      <c r="BB47" s="726">
        <f t="shared" si="9"/>
        <v>7.0039999999999998E-3</v>
      </c>
      <c r="BC47" s="726">
        <f t="shared" si="10"/>
        <v>1.9659603251337502E-4</v>
      </c>
      <c r="BD47" s="726">
        <f t="shared" si="11"/>
        <v>1.6308E-2</v>
      </c>
      <c r="BE47" s="726">
        <f t="shared" si="12"/>
        <v>7.0696605293323663E-4</v>
      </c>
      <c r="BF47" s="263"/>
      <c r="BG47" s="263"/>
      <c r="BH47" s="263"/>
      <c r="BI47" s="263"/>
      <c r="BJ47" s="263"/>
      <c r="BK47" s="263"/>
      <c r="BL47" s="263"/>
      <c r="BM47" s="263"/>
      <c r="BN47" s="263"/>
      <c r="BO47" s="263"/>
      <c r="BP47" s="263"/>
      <c r="BQ47" s="263"/>
      <c r="BR47" s="727">
        <f t="shared" si="90"/>
        <v>4.374026641369225</v>
      </c>
      <c r="BS47" s="727">
        <f t="shared" si="91"/>
        <v>8.9857312655664073E-2</v>
      </c>
      <c r="BT47" s="727">
        <f t="shared" si="92"/>
        <v>6.58039843472074</v>
      </c>
      <c r="BU47" s="727">
        <f t="shared" si="93"/>
        <v>0.13396048208902639</v>
      </c>
      <c r="BV47" s="258"/>
      <c r="BW47" s="258" t="s">
        <v>1018</v>
      </c>
      <c r="BX47" s="731">
        <v>0.98004380086226506</v>
      </c>
      <c r="BY47" s="732">
        <v>0.25005027772033944</v>
      </c>
      <c r="BZ47" s="263" t="s">
        <v>1020</v>
      </c>
      <c r="CA47" s="263"/>
      <c r="CB47" s="263"/>
      <c r="CC47" s="263"/>
      <c r="CD47" s="263"/>
      <c r="CE47" s="263"/>
      <c r="CF47" s="263"/>
      <c r="CG47" s="263"/>
      <c r="CH47" s="263"/>
      <c r="CI47" s="263"/>
      <c r="CJ47" s="263"/>
      <c r="CK47" s="263"/>
      <c r="CL47" s="263"/>
      <c r="CM47" s="263"/>
      <c r="CN47" s="263"/>
      <c r="CO47" s="263"/>
      <c r="CP47" s="263"/>
      <c r="CQ47" s="263"/>
      <c r="CR47" s="263"/>
      <c r="CS47" s="263"/>
      <c r="CT47" s="263"/>
      <c r="CU47" s="263"/>
      <c r="CV47" s="263"/>
      <c r="CW47" s="263"/>
      <c r="CX47" s="263"/>
      <c r="CY47" s="263"/>
      <c r="CZ47" s="263"/>
      <c r="DA47" s="263"/>
      <c r="DC47" s="215"/>
      <c r="DD47" s="215"/>
      <c r="DE47" s="215"/>
      <c r="DF47" s="215"/>
      <c r="DG47" s="215"/>
      <c r="DH47" s="215"/>
      <c r="DI47" s="215"/>
      <c r="DJ47" s="215"/>
      <c r="DK47" s="215"/>
      <c r="DL47" s="215"/>
      <c r="DM47" s="215"/>
      <c r="DN47" s="215"/>
      <c r="DO47" s="215"/>
    </row>
    <row r="48" spans="2:119" s="63" customFormat="1">
      <c r="B48" s="721" t="s">
        <v>1024</v>
      </c>
      <c r="C48" s="258">
        <v>2.5000000000000001E-3</v>
      </c>
      <c r="D48" s="722">
        <f t="shared" si="94"/>
        <v>2.5000000000000001E-4</v>
      </c>
      <c r="E48" s="723">
        <v>44712</v>
      </c>
      <c r="F48" s="258" t="s">
        <v>821</v>
      </c>
      <c r="G48" s="724" t="s">
        <v>901</v>
      </c>
      <c r="H48" s="258">
        <v>1</v>
      </c>
      <c r="I48" s="258"/>
      <c r="J48" s="724">
        <v>44644</v>
      </c>
      <c r="K48" s="258" t="s">
        <v>857</v>
      </c>
      <c r="L48" s="725">
        <v>0.1</v>
      </c>
      <c r="M48" s="258">
        <v>7.49</v>
      </c>
      <c r="N48" s="258" t="s">
        <v>322</v>
      </c>
      <c r="O48" s="258">
        <v>30</v>
      </c>
      <c r="P48" s="258">
        <v>3.2162000000000003E-2</v>
      </c>
      <c r="Q48" s="258">
        <v>8.5599999999999999E-4</v>
      </c>
      <c r="R48" s="258">
        <v>0.105739</v>
      </c>
      <c r="S48" s="258">
        <v>1.256E-3</v>
      </c>
      <c r="T48" s="258">
        <v>6.071E-3</v>
      </c>
      <c r="U48" s="258">
        <v>2.6699999999999998E-4</v>
      </c>
      <c r="V48" s="258">
        <v>4.829E-2</v>
      </c>
      <c r="W48" s="258">
        <v>9.1699999999999995E-4</v>
      </c>
      <c r="X48" s="258">
        <v>5.3990000000000003E-2</v>
      </c>
      <c r="Y48" s="258">
        <v>1.1950000000000001E-3</v>
      </c>
      <c r="Z48" s="258">
        <v>9.1859999999999997E-3</v>
      </c>
      <c r="AA48" s="258">
        <v>3.6900000000000002E-4</v>
      </c>
      <c r="AB48" s="258">
        <v>1.8301999999999999E-2</v>
      </c>
      <c r="AC48" s="258">
        <v>7.4799999999999997E-4</v>
      </c>
      <c r="AD48" s="722">
        <v>1.6329999999999999E-3</v>
      </c>
      <c r="AE48" s="722">
        <v>4.06E-4</v>
      </c>
      <c r="AF48" s="722">
        <v>3.2400000000000001E-4</v>
      </c>
      <c r="AG48" s="722">
        <v>1.22E-4</v>
      </c>
      <c r="AH48" s="722">
        <v>2.4499999999999999E-4</v>
      </c>
      <c r="AI48" s="722">
        <v>9.2E-5</v>
      </c>
      <c r="AJ48" s="722">
        <v>5.6300000000000002E-4</v>
      </c>
      <c r="AK48" s="722">
        <v>9.3999999999999994E-5</v>
      </c>
      <c r="AL48" s="722">
        <v>3.5599999999999998E-4</v>
      </c>
      <c r="AM48" s="722">
        <v>1.4200000000000001E-4</v>
      </c>
      <c r="AN48" s="722">
        <v>5.0600000000000005E-4</v>
      </c>
      <c r="AO48" s="722">
        <v>9.7E-5</v>
      </c>
      <c r="AP48" s="722">
        <v>2.13E-4</v>
      </c>
      <c r="AQ48" s="722">
        <v>9.8999999999999994E-5</v>
      </c>
      <c r="AR48" s="726">
        <f t="shared" si="15"/>
        <v>3.0529000000000004E-2</v>
      </c>
      <c r="AS48" s="726">
        <f t="shared" si="0"/>
        <v>9.4740276545933727E-4</v>
      </c>
      <c r="AT48" s="726">
        <f t="shared" si="1"/>
        <v>0.10541499999999999</v>
      </c>
      <c r="AU48" s="726">
        <f t="shared" si="2"/>
        <v>1.2619112488602357E-3</v>
      </c>
      <c r="AV48" s="726">
        <f t="shared" si="3"/>
        <v>5.8259999999999996E-3</v>
      </c>
      <c r="AW48" s="726">
        <f t="shared" si="4"/>
        <v>2.8240573648564575E-4</v>
      </c>
      <c r="AX48" s="726">
        <f t="shared" si="5"/>
        <v>4.7726999999999999E-2</v>
      </c>
      <c r="AY48" s="726">
        <f t="shared" si="6"/>
        <v>9.2180529397481751E-4</v>
      </c>
      <c r="AZ48" s="726">
        <f t="shared" si="7"/>
        <v>5.3634000000000001E-2</v>
      </c>
      <c r="BA48" s="726">
        <f t="shared" si="8"/>
        <v>1.2034072461141324E-3</v>
      </c>
      <c r="BB48" s="726">
        <f t="shared" si="9"/>
        <v>8.6800000000000002E-3</v>
      </c>
      <c r="BC48" s="726">
        <f t="shared" si="10"/>
        <v>3.8153636786026051E-4</v>
      </c>
      <c r="BD48" s="726">
        <f t="shared" si="11"/>
        <v>1.8088999999999997E-2</v>
      </c>
      <c r="BE48" s="726">
        <f t="shared" si="12"/>
        <v>7.5452302814427066E-4</v>
      </c>
      <c r="BF48" s="263"/>
      <c r="BG48" s="263"/>
      <c r="BH48" s="263"/>
      <c r="BI48" s="263"/>
      <c r="BJ48" s="263"/>
      <c r="BK48" s="263"/>
      <c r="BL48" s="263"/>
      <c r="BM48" s="263"/>
      <c r="BN48" s="263"/>
      <c r="BO48" s="263"/>
      <c r="BP48" s="263"/>
      <c r="BQ48" s="263"/>
      <c r="BR48" s="727">
        <f t="shared" si="90"/>
        <v>0.56920982958571065</v>
      </c>
      <c r="BS48" s="727">
        <f t="shared" si="91"/>
        <v>2.1797661933820701E-2</v>
      </c>
      <c r="BT48" s="727">
        <f t="shared" si="92"/>
        <v>1.965451019875452</v>
      </c>
      <c r="BU48" s="727">
        <f t="shared" si="93"/>
        <v>4.9983505284126893E-2</v>
      </c>
      <c r="BV48" s="258"/>
      <c r="BW48" s="258" t="s">
        <v>57</v>
      </c>
      <c r="BX48" s="731">
        <v>392.87793997169086</v>
      </c>
      <c r="BY48" s="732">
        <v>8</v>
      </c>
      <c r="BZ48" s="263" t="s">
        <v>1021</v>
      </c>
      <c r="CA48" s="263"/>
      <c r="CB48" s="263"/>
      <c r="CC48" s="263"/>
      <c r="CD48" s="263"/>
      <c r="CE48" s="263"/>
      <c r="CF48" s="263"/>
      <c r="CG48" s="263"/>
      <c r="CH48" s="263"/>
      <c r="CI48" s="263"/>
      <c r="CJ48" s="263"/>
      <c r="CK48" s="263"/>
      <c r="CL48" s="263"/>
      <c r="CM48" s="263"/>
      <c r="CN48" s="263"/>
      <c r="CO48" s="263"/>
      <c r="CP48" s="263"/>
      <c r="CQ48" s="263"/>
      <c r="CR48" s="263"/>
      <c r="CS48" s="263"/>
      <c r="CT48" s="263"/>
      <c r="CU48" s="263"/>
      <c r="CV48" s="263"/>
      <c r="CW48" s="263"/>
      <c r="CX48" s="263"/>
      <c r="CY48" s="263"/>
      <c r="CZ48" s="263"/>
      <c r="DA48" s="263"/>
      <c r="DC48" s="215"/>
      <c r="DD48" s="215"/>
      <c r="DE48" s="215"/>
      <c r="DF48" s="215"/>
      <c r="DG48" s="215"/>
      <c r="DH48" s="215"/>
      <c r="DI48" s="215"/>
      <c r="DJ48" s="215"/>
      <c r="DK48" s="215"/>
      <c r="DL48" s="215"/>
      <c r="DM48" s="215"/>
      <c r="DN48" s="215"/>
      <c r="DO48" s="215"/>
    </row>
    <row r="49" spans="2:119" s="63" customFormat="1" ht="18.600000000000001" thickBot="1">
      <c r="B49" s="721" t="s">
        <v>1025</v>
      </c>
      <c r="C49" s="258">
        <v>2.15E-3</v>
      </c>
      <c r="D49" s="722">
        <f t="shared" si="94"/>
        <v>2.1500000000000002E-4</v>
      </c>
      <c r="E49" s="723">
        <v>44713</v>
      </c>
      <c r="F49" s="258" t="s">
        <v>821</v>
      </c>
      <c r="G49" s="724" t="s">
        <v>901</v>
      </c>
      <c r="H49" s="258">
        <v>1</v>
      </c>
      <c r="I49" s="258"/>
      <c r="J49" s="724">
        <v>44644</v>
      </c>
      <c r="K49" s="258" t="s">
        <v>857</v>
      </c>
      <c r="L49" s="725">
        <v>0.05</v>
      </c>
      <c r="M49" s="258">
        <v>4.2</v>
      </c>
      <c r="N49" s="258" t="s">
        <v>322</v>
      </c>
      <c r="O49" s="258">
        <v>30</v>
      </c>
      <c r="P49" s="258">
        <v>2.6138000000000002E-2</v>
      </c>
      <c r="Q49" s="258">
        <v>9.9599999999999992E-4</v>
      </c>
      <c r="R49" s="258">
        <v>6.7387000000000002E-2</v>
      </c>
      <c r="S49" s="258">
        <v>1.5870000000000001E-3</v>
      </c>
      <c r="T49" s="258">
        <v>4.3819999999999996E-3</v>
      </c>
      <c r="U49" s="258">
        <v>4.8799999999999999E-4</v>
      </c>
      <c r="V49" s="258">
        <v>3.8953000000000002E-2</v>
      </c>
      <c r="W49" s="258">
        <v>1.165E-3</v>
      </c>
      <c r="X49" s="258">
        <v>3.1230999999999998E-2</v>
      </c>
      <c r="Y49" s="258">
        <v>7.2300000000000001E-4</v>
      </c>
      <c r="Z49" s="258">
        <v>1.0663000000000001E-2</v>
      </c>
      <c r="AA49" s="258">
        <v>5.1999999999999995E-4</v>
      </c>
      <c r="AB49" s="258">
        <v>9.6340000000000002E-3</v>
      </c>
      <c r="AC49" s="258">
        <v>2.2800000000000001E-4</v>
      </c>
      <c r="AD49" s="722">
        <v>1.64E-3</v>
      </c>
      <c r="AE49" s="722">
        <v>2.4399999999999999E-4</v>
      </c>
      <c r="AF49" s="722">
        <v>2.72E-4</v>
      </c>
      <c r="AG49" s="722">
        <v>1.83E-4</v>
      </c>
      <c r="AH49" s="722">
        <v>1.0399999999999999E-4</v>
      </c>
      <c r="AI49" s="722">
        <v>6.2600000000000004E-4</v>
      </c>
      <c r="AJ49" s="722">
        <v>1.47E-4</v>
      </c>
      <c r="AK49" s="722">
        <v>1.16E-4</v>
      </c>
      <c r="AL49" s="722">
        <v>3.2499999999999999E-4</v>
      </c>
      <c r="AM49" s="722">
        <v>1.16E-4</v>
      </c>
      <c r="AN49" s="722">
        <v>2.02E-4</v>
      </c>
      <c r="AO49" s="722">
        <v>1.7100000000000001E-4</v>
      </c>
      <c r="AP49" s="722">
        <v>2.5999999999999998E-4</v>
      </c>
      <c r="AQ49" s="722">
        <v>1.6699999999999999E-4</v>
      </c>
      <c r="AR49" s="726">
        <f t="shared" si="15"/>
        <v>2.4498000000000002E-2</v>
      </c>
      <c r="AS49" s="726">
        <f t="shared" si="0"/>
        <v>1.0254520954193812E-3</v>
      </c>
      <c r="AT49" s="726">
        <f t="shared" si="1"/>
        <v>6.7115000000000008E-2</v>
      </c>
      <c r="AU49" s="726">
        <f t="shared" si="2"/>
        <v>1.5975161971009872E-3</v>
      </c>
      <c r="AV49" s="726">
        <f t="shared" si="3"/>
        <v>4.2779999999999997E-3</v>
      </c>
      <c r="AW49" s="726">
        <f t="shared" si="4"/>
        <v>7.9373799203515517E-4</v>
      </c>
      <c r="AX49" s="726">
        <f t="shared" si="5"/>
        <v>3.8806E-2</v>
      </c>
      <c r="AY49" s="726">
        <f t="shared" si="6"/>
        <v>1.1707608637121416E-3</v>
      </c>
      <c r="AZ49" s="726">
        <f t="shared" si="7"/>
        <v>3.0905999999999999E-2</v>
      </c>
      <c r="BA49" s="726">
        <f t="shared" si="8"/>
        <v>7.3224654318064216E-4</v>
      </c>
      <c r="BB49" s="726">
        <f t="shared" si="9"/>
        <v>1.0461E-2</v>
      </c>
      <c r="BC49" s="726">
        <f t="shared" si="10"/>
        <v>5.4739473873978721E-4</v>
      </c>
      <c r="BD49" s="726">
        <f t="shared" si="11"/>
        <v>9.3740000000000004E-3</v>
      </c>
      <c r="BE49" s="726">
        <f t="shared" si="12"/>
        <v>2.8261811689981941E-4</v>
      </c>
      <c r="BF49" s="263"/>
      <c r="BG49" s="263"/>
      <c r="BH49" s="263"/>
      <c r="BI49" s="263"/>
      <c r="BJ49" s="263"/>
      <c r="BK49" s="263"/>
      <c r="BL49" s="263"/>
      <c r="BM49" s="263"/>
      <c r="BN49" s="263"/>
      <c r="BO49" s="263"/>
      <c r="BP49" s="263"/>
      <c r="BQ49" s="263"/>
      <c r="BR49" s="727">
        <f t="shared" si="90"/>
        <v>0.79266161910308686</v>
      </c>
      <c r="BS49" s="727">
        <f t="shared" si="91"/>
        <v>3.8126008287386388E-2</v>
      </c>
      <c r="BT49" s="727">
        <f t="shared" si="92"/>
        <v>2.1715848055393776</v>
      </c>
      <c r="BU49" s="727">
        <f t="shared" si="93"/>
        <v>7.2931345040558399E-2</v>
      </c>
      <c r="BV49" s="258"/>
      <c r="BW49" s="258" t="s">
        <v>1019</v>
      </c>
      <c r="BX49" s="733">
        <v>24.56474874496357</v>
      </c>
      <c r="BY49" s="734">
        <v>0.5002011311041511</v>
      </c>
      <c r="BZ49" s="263" t="s">
        <v>1022</v>
      </c>
      <c r="CA49" s="263"/>
      <c r="CB49" s="263"/>
      <c r="CC49" s="263"/>
      <c r="CD49" s="263"/>
      <c r="CE49" s="263"/>
      <c r="CF49" s="263"/>
      <c r="CG49" s="263"/>
      <c r="CH49" s="263"/>
      <c r="CI49" s="263"/>
      <c r="CJ49" s="263"/>
      <c r="CK49" s="263"/>
      <c r="CL49" s="263"/>
      <c r="CM49" s="263"/>
      <c r="CN49" s="263"/>
      <c r="CO49" s="263"/>
      <c r="CP49" s="263"/>
      <c r="CQ49" s="263"/>
      <c r="CR49" s="263"/>
      <c r="CS49" s="263"/>
      <c r="CT49" s="263"/>
      <c r="CU49" s="263"/>
      <c r="CV49" s="263"/>
      <c r="CW49" s="263"/>
      <c r="CX49" s="263"/>
      <c r="CY49" s="263"/>
      <c r="CZ49" s="263"/>
      <c r="DA49" s="263"/>
      <c r="DC49" s="215"/>
      <c r="DD49" s="215"/>
      <c r="DE49" s="215"/>
      <c r="DF49" s="215"/>
      <c r="DG49" s="215"/>
      <c r="DH49" s="215"/>
      <c r="DI49" s="215"/>
      <c r="DJ49" s="215"/>
      <c r="DK49" s="215"/>
      <c r="DL49" s="215"/>
      <c r="DM49" s="215"/>
      <c r="DN49" s="215"/>
      <c r="DO49" s="215"/>
    </row>
    <row r="50" spans="2:119" s="63" customFormat="1">
      <c r="B50" s="721" t="s">
        <v>1025</v>
      </c>
      <c r="C50" s="258">
        <v>2.15E-3</v>
      </c>
      <c r="D50" s="722">
        <f t="shared" si="94"/>
        <v>2.1500000000000002E-4</v>
      </c>
      <c r="E50" s="723">
        <v>44713</v>
      </c>
      <c r="F50" s="258" t="s">
        <v>821</v>
      </c>
      <c r="G50" s="724" t="s">
        <v>901</v>
      </c>
      <c r="H50" s="258">
        <v>1</v>
      </c>
      <c r="I50" s="258"/>
      <c r="J50" s="724">
        <v>44644</v>
      </c>
      <c r="K50" s="258" t="s">
        <v>857</v>
      </c>
      <c r="L50" s="725">
        <v>0.06</v>
      </c>
      <c r="M50" s="258">
        <v>4.82</v>
      </c>
      <c r="N50" s="258" t="s">
        <v>322</v>
      </c>
      <c r="O50" s="258">
        <v>30</v>
      </c>
      <c r="P50" s="258">
        <v>3.0980000000000001E-2</v>
      </c>
      <c r="Q50" s="258">
        <v>1.1839999999999999E-3</v>
      </c>
      <c r="R50" s="258">
        <v>5.2109000000000003E-2</v>
      </c>
      <c r="S50" s="258">
        <v>1.2589999999999999E-3</v>
      </c>
      <c r="T50" s="258">
        <v>4.1149999999999997E-3</v>
      </c>
      <c r="U50" s="258">
        <v>2.72E-4</v>
      </c>
      <c r="V50" s="258">
        <v>3.8219000000000003E-2</v>
      </c>
      <c r="W50" s="258">
        <v>7.18E-4</v>
      </c>
      <c r="X50" s="258">
        <v>2.879E-2</v>
      </c>
      <c r="Y50" s="258">
        <v>7.8200000000000003E-4</v>
      </c>
      <c r="Z50" s="258">
        <v>5.3600000000000002E-3</v>
      </c>
      <c r="AA50" s="258">
        <v>2.13E-4</v>
      </c>
      <c r="AB50" s="258">
        <v>1.0461E-2</v>
      </c>
      <c r="AC50" s="258">
        <v>4.2499999999999998E-4</v>
      </c>
      <c r="AD50" s="722">
        <v>1.64E-3</v>
      </c>
      <c r="AE50" s="722">
        <v>2.4399999999999999E-4</v>
      </c>
      <c r="AF50" s="722">
        <v>2.72E-4</v>
      </c>
      <c r="AG50" s="722">
        <v>1.83E-4</v>
      </c>
      <c r="AH50" s="722">
        <v>1.0399999999999999E-4</v>
      </c>
      <c r="AI50" s="722">
        <v>6.2600000000000004E-4</v>
      </c>
      <c r="AJ50" s="722">
        <v>1.47E-4</v>
      </c>
      <c r="AK50" s="722">
        <v>1.16E-4</v>
      </c>
      <c r="AL50" s="722">
        <v>3.2499999999999999E-4</v>
      </c>
      <c r="AM50" s="722">
        <v>1.16E-4</v>
      </c>
      <c r="AN50" s="722">
        <v>2.02E-4</v>
      </c>
      <c r="AO50" s="722">
        <v>1.7100000000000001E-4</v>
      </c>
      <c r="AP50" s="722">
        <v>2.5999999999999998E-4</v>
      </c>
      <c r="AQ50" s="722">
        <v>1.6699999999999999E-4</v>
      </c>
      <c r="AR50" s="726">
        <f t="shared" si="15"/>
        <v>2.9340000000000001E-2</v>
      </c>
      <c r="AS50" s="726">
        <f t="shared" si="0"/>
        <v>1.2088804738269205E-3</v>
      </c>
      <c r="AT50" s="726">
        <f t="shared" si="1"/>
        <v>5.1837000000000001E-2</v>
      </c>
      <c r="AU50" s="726">
        <f t="shared" si="2"/>
        <v>1.2722303250591064E-3</v>
      </c>
      <c r="AV50" s="726">
        <f t="shared" si="3"/>
        <v>4.0109999999999998E-3</v>
      </c>
      <c r="AW50" s="726">
        <f t="shared" si="4"/>
        <v>6.8253937615349346E-4</v>
      </c>
      <c r="AX50" s="726">
        <f t="shared" si="5"/>
        <v>3.8072000000000002E-2</v>
      </c>
      <c r="AY50" s="726">
        <f t="shared" si="6"/>
        <v>7.2731011267546661E-4</v>
      </c>
      <c r="AZ50" s="726">
        <f t="shared" si="7"/>
        <v>2.8465000000000001E-2</v>
      </c>
      <c r="BA50" s="726">
        <f t="shared" si="8"/>
        <v>7.9055676583025965E-4</v>
      </c>
      <c r="BB50" s="726">
        <f t="shared" si="9"/>
        <v>5.1580000000000003E-3</v>
      </c>
      <c r="BC50" s="726">
        <f t="shared" si="10"/>
        <v>2.731483113621609E-4</v>
      </c>
      <c r="BD50" s="726">
        <f t="shared" si="11"/>
        <v>1.0201E-2</v>
      </c>
      <c r="BE50" s="726">
        <f t="shared" si="12"/>
        <v>4.566333321166995E-4</v>
      </c>
      <c r="BF50" s="263"/>
      <c r="BG50" s="263"/>
      <c r="BH50" s="263"/>
      <c r="BI50" s="263"/>
      <c r="BJ50" s="263"/>
      <c r="BK50" s="263"/>
      <c r="BL50" s="263"/>
      <c r="BM50" s="263"/>
      <c r="BN50" s="263"/>
      <c r="BO50" s="263"/>
      <c r="BP50" s="263"/>
      <c r="BQ50" s="263"/>
      <c r="BR50" s="727">
        <f t="shared" si="90"/>
        <v>1.0307395046548393</v>
      </c>
      <c r="BS50" s="727">
        <f t="shared" si="91"/>
        <v>5.1216239719765196E-2</v>
      </c>
      <c r="BT50" s="727">
        <f t="shared" si="92"/>
        <v>1.8210785174776041</v>
      </c>
      <c r="BU50" s="727">
        <f t="shared" si="93"/>
        <v>6.7495228616035782E-2</v>
      </c>
      <c r="BV50" s="258"/>
      <c r="BW50" s="258"/>
      <c r="BX50" s="710"/>
      <c r="BY50" s="710"/>
      <c r="BZ50" s="263"/>
      <c r="CA50" s="263"/>
      <c r="CB50" s="263"/>
      <c r="CC50" s="263"/>
      <c r="CD50" s="263"/>
      <c r="CE50" s="263"/>
      <c r="CF50" s="263"/>
      <c r="CG50" s="263"/>
      <c r="CH50" s="263"/>
      <c r="CI50" s="263"/>
      <c r="CJ50" s="263"/>
      <c r="CK50" s="263"/>
      <c r="CL50" s="263"/>
      <c r="CM50" s="263"/>
      <c r="CN50" s="263"/>
      <c r="CO50" s="263"/>
      <c r="CP50" s="263"/>
      <c r="CQ50" s="263"/>
      <c r="CR50" s="263"/>
      <c r="CS50" s="263"/>
      <c r="CT50" s="263"/>
      <c r="CU50" s="263"/>
      <c r="CV50" s="263"/>
      <c r="CW50" s="263"/>
      <c r="CX50" s="263"/>
      <c r="CY50" s="263"/>
      <c r="CZ50" s="263"/>
      <c r="DA50" s="263"/>
      <c r="DC50" s="215"/>
      <c r="DD50" s="215"/>
      <c r="DE50" s="215"/>
      <c r="DF50" s="215"/>
      <c r="DG50" s="215"/>
      <c r="DH50" s="215"/>
      <c r="DI50" s="215"/>
      <c r="DJ50" s="215"/>
      <c r="DK50" s="215"/>
      <c r="DL50" s="215"/>
      <c r="DM50" s="215"/>
      <c r="DN50" s="215"/>
      <c r="DO50" s="215"/>
    </row>
    <row r="51" spans="2:119" s="63" customFormat="1">
      <c r="B51" s="721" t="s">
        <v>1025</v>
      </c>
      <c r="C51" s="258">
        <v>2.15E-3</v>
      </c>
      <c r="D51" s="722">
        <f t="shared" si="94"/>
        <v>2.1500000000000002E-4</v>
      </c>
      <c r="E51" s="723">
        <v>44713</v>
      </c>
      <c r="F51" s="258" t="s">
        <v>821</v>
      </c>
      <c r="G51" s="724" t="s">
        <v>901</v>
      </c>
      <c r="H51" s="258">
        <v>1</v>
      </c>
      <c r="I51" s="258"/>
      <c r="J51" s="724">
        <v>44644</v>
      </c>
      <c r="K51" s="258" t="s">
        <v>857</v>
      </c>
      <c r="L51" s="725">
        <v>0.1</v>
      </c>
      <c r="M51" s="258"/>
      <c r="N51" s="258" t="s">
        <v>322</v>
      </c>
      <c r="O51" s="258">
        <v>30</v>
      </c>
      <c r="P51" s="258">
        <v>5.2338000000000003E-2</v>
      </c>
      <c r="Q51" s="258">
        <v>2.604E-3</v>
      </c>
      <c r="R51" s="258">
        <v>0.168409</v>
      </c>
      <c r="S51" s="258">
        <v>1.7520000000000001E-3</v>
      </c>
      <c r="T51" s="258">
        <v>1.6407999999999999E-2</v>
      </c>
      <c r="U51" s="258">
        <v>6.9499999999999998E-4</v>
      </c>
      <c r="V51" s="258">
        <v>0.16105800000000001</v>
      </c>
      <c r="W51" s="258">
        <v>2.3640000000000002E-3</v>
      </c>
      <c r="X51" s="258">
        <v>0.13530800000000001</v>
      </c>
      <c r="Y51" s="258">
        <v>2.2599999999999999E-3</v>
      </c>
      <c r="Z51" s="258">
        <v>2.3282000000000001E-2</v>
      </c>
      <c r="AA51" s="258">
        <v>2.3282000000000001E-2</v>
      </c>
      <c r="AB51" s="258">
        <v>4.7704000000000003E-2</v>
      </c>
      <c r="AC51" s="258">
        <v>6.9399999999999996E-4</v>
      </c>
      <c r="AD51" s="722">
        <v>1.64E-3</v>
      </c>
      <c r="AE51" s="722">
        <v>2.4399999999999999E-4</v>
      </c>
      <c r="AF51" s="722">
        <v>2.72E-4</v>
      </c>
      <c r="AG51" s="722">
        <v>1.83E-4</v>
      </c>
      <c r="AH51" s="722">
        <v>1.0399999999999999E-4</v>
      </c>
      <c r="AI51" s="722">
        <v>6.2600000000000004E-4</v>
      </c>
      <c r="AJ51" s="722">
        <v>1.47E-4</v>
      </c>
      <c r="AK51" s="722">
        <v>1.16E-4</v>
      </c>
      <c r="AL51" s="722">
        <v>3.2499999999999999E-4</v>
      </c>
      <c r="AM51" s="722">
        <v>1.16E-4</v>
      </c>
      <c r="AN51" s="722">
        <v>2.02E-4</v>
      </c>
      <c r="AO51" s="722">
        <v>1.7100000000000001E-4</v>
      </c>
      <c r="AP51" s="722">
        <v>2.5999999999999998E-4</v>
      </c>
      <c r="AQ51" s="722">
        <v>1.6699999999999999E-4</v>
      </c>
      <c r="AR51" s="726">
        <f t="shared" si="15"/>
        <v>5.0698E-2</v>
      </c>
      <c r="AS51" s="726">
        <f t="shared" si="0"/>
        <v>2.6154066605405747E-3</v>
      </c>
      <c r="AT51" s="726">
        <f t="shared" si="1"/>
        <v>0.16813700000000001</v>
      </c>
      <c r="AU51" s="726">
        <f t="shared" si="2"/>
        <v>1.7615314359953956E-3</v>
      </c>
      <c r="AV51" s="726">
        <f t="shared" si="3"/>
        <v>1.6303999999999999E-2</v>
      </c>
      <c r="AW51" s="726">
        <f t="shared" si="4"/>
        <v>9.3536142747068624E-4</v>
      </c>
      <c r="AX51" s="726">
        <f t="shared" si="5"/>
        <v>0.160911</v>
      </c>
      <c r="AY51" s="726">
        <f t="shared" si="6"/>
        <v>2.3668443125816284E-3</v>
      </c>
      <c r="AZ51" s="726">
        <f t="shared" si="7"/>
        <v>0.13498300000000002</v>
      </c>
      <c r="BA51" s="726">
        <f t="shared" si="8"/>
        <v>2.2629750330041202E-3</v>
      </c>
      <c r="BB51" s="726">
        <f t="shared" si="9"/>
        <v>2.308E-2</v>
      </c>
      <c r="BC51" s="726">
        <f t="shared" si="10"/>
        <v>2.3282627965932026E-2</v>
      </c>
      <c r="BD51" s="726">
        <f t="shared" si="11"/>
        <v>4.7444E-2</v>
      </c>
      <c r="BE51" s="726">
        <f t="shared" si="12"/>
        <v>7.1381019886241465E-4</v>
      </c>
      <c r="BF51" s="263"/>
      <c r="BG51" s="263"/>
      <c r="BH51" s="263"/>
      <c r="BI51" s="263"/>
      <c r="BJ51" s="263"/>
      <c r="BK51" s="263"/>
      <c r="BL51" s="263"/>
      <c r="BM51" s="263"/>
      <c r="BN51" s="263"/>
      <c r="BO51" s="263"/>
      <c r="BP51" s="263"/>
      <c r="BQ51" s="263"/>
      <c r="BR51" s="727">
        <f t="shared" si="90"/>
        <v>0.37558803701206811</v>
      </c>
      <c r="BS51" s="727">
        <f t="shared" si="91"/>
        <v>2.0373287136360638E-2</v>
      </c>
      <c r="BT51" s="727">
        <f t="shared" si="92"/>
        <v>1.2456161146218412</v>
      </c>
      <c r="BU51" s="727">
        <f t="shared" si="93"/>
        <v>2.4624922137246139E-2</v>
      </c>
      <c r="BV51" s="735">
        <f>AVERAGE(BV19:BV40)</f>
        <v>1.1570373230760935E+19</v>
      </c>
      <c r="BW51" s="258">
        <f>STDEV(BV19:BV40)</f>
        <v>5.0311076091747514E+17</v>
      </c>
      <c r="BX51" s="710">
        <v>1.2984028902809075</v>
      </c>
      <c r="BY51" s="710">
        <v>6.5505935252222008E-2</v>
      </c>
      <c r="BZ51" s="736">
        <f>IF(Heating_Type = "Stepped", 1/Slope_SW, Xe128AC/Xe129AC)</f>
        <v>0.77017696701495442</v>
      </c>
      <c r="CA51" s="737">
        <f>IF(Heating_Type="Stepped",Xe128Xe129*(Slope_SWerr/Slope_SW), Xe128Xe129*SQRT((Xe129ACerr/Xe129AC)^2+(Xe128ACerr/Xe128AC)^2))</f>
        <v>3.8856323342841066E-2</v>
      </c>
      <c r="CB51" s="738">
        <f>Xe128Xe129*SW_Initial</f>
        <v>8.256297086400311E-5</v>
      </c>
      <c r="CC51" s="739">
        <f t="shared" ref="CC51" si="95">I127_Prod*SQRT((Xe128Xe129err/Xe128Xe129)^2+(SW_Initialerr/SW_Initial)^2)</f>
        <v>4.7264278885504508E-6</v>
      </c>
      <c r="CD51" s="739">
        <f>Therm_CS_127I*Therm_Flux*Y_127I*I127_Abun</f>
        <v>6.6997089155398121E-5</v>
      </c>
      <c r="CE51" s="739">
        <f t="shared" ref="CE51" si="96">I127_Th*SQRT((Therm_CS_127Ierr/Therm_CS_127I)^2+(Therm_Fluxerr/Therm_Flux)^2)</f>
        <v>2.9455173421349349E-6</v>
      </c>
      <c r="CF51" s="728">
        <f>I127_Prod/I127_Th</f>
        <v>1.2323366866357477</v>
      </c>
      <c r="CG51" s="740">
        <f>I_Factor*SQRT((I127_Therr/I127_Th)^2+(I127_Proderr/I127_Prod)^2)</f>
        <v>8.8950911788040848E-2</v>
      </c>
      <c r="CH51" s="738">
        <f>(I127_Prod/Y_127I-(Therm_CS_127I*Therm_Flux))/Epitherm_CS_127I</f>
        <v>1.0794946953178302E+17</v>
      </c>
      <c r="CI51" s="739">
        <f t="shared" ref="CI51" si="97">SQRT(((Therm_Flux*Therm_CS_127I/Epitherm_CS_127I)^2*((Therm_CS_127Ierr/Therm_CS_127I)^2+(Epitherm_CS_127Ierr/Epitherm_CS_127I)^2+(Therm_Fluxerr/Therm_Flux)^2))+((I127_Prod/Epitherm_CS_127I)^2*((I127_Proderr/I127_Prod)^2+(Epitherm_CS_127Ierr/Epitherm_CS_127I)^2)))</f>
        <v>4.1150585630963368E+16</v>
      </c>
      <c r="CJ51" s="739">
        <f t="shared" ref="CJ51" si="98">Y_79Br*(Therm_CS_79Br*Therm_Flux+Epitherm_CS_79Br*EpiTherm_Flux)*Br79_Abun</f>
        <v>6.5071924764414839E-5</v>
      </c>
      <c r="CK51" s="739">
        <f t="shared" ref="CK51" si="99">Br79_Abun*Y_79Br*SQRT(Therm_CS_79Br^2*Epitherm_CS_79Brerr^2*EpiTherm_Flux^2+Therm_Flux^2*Therm_CS_79Brerr^2+Therm_Fluxerr^2*Therm_CS_79Br^2)</f>
        <v>2.5608891426411545E-6</v>
      </c>
      <c r="CL51" s="739">
        <f t="shared" ref="CL51" si="100">Therm_CS_79Br*Therm_Flux*Y_79Br*Br79_Abun</f>
        <v>5.856887404894257E-5</v>
      </c>
      <c r="CM51" s="739">
        <f t="shared" ref="CM51" si="101">Br79_Th*SQRT((Therm_CS_79Brerr/Therm_CS_79Br)^2+(Therm_Fluxerr/Therm_Flux)^2)</f>
        <v>2.5608891426411545E-6</v>
      </c>
      <c r="CN51" s="740">
        <f t="shared" ref="CN51" si="102">Br79_ETh/Br79_Th</f>
        <v>1.11103253769294</v>
      </c>
      <c r="CO51" s="740">
        <f t="shared" ref="CO51" si="103">Br79_Factor*SQRT((Br79_Therr/Br79_Th)^2+(Br79_ETherr/Br79_ETh)^2)</f>
        <v>6.535874644427013E-2</v>
      </c>
      <c r="CP51" s="739">
        <f t="shared" ref="CP51" si="104">Y_81Br*(Therm_CS_81Br*Therm_Flux+Epitherm_CS_81Br*CH51)*Br81_Abun</f>
        <v>1.5929172057237652E-5</v>
      </c>
      <c r="CQ51" s="739">
        <f t="shared" ref="CQ51" si="105">Br81_Abun*Y_81Br*SQRT(Therm_CS_81Br^2*Epitherm_CS_81Brerr^2*CH51^2+Therm_Flux^2*Therm_CS_81Brerr^2+Therm_Fluxerr^2*Therm_CS_81Br^2)</f>
        <v>6.0998398782313955E-7</v>
      </c>
      <c r="CR51" s="739">
        <f t="shared" ref="CR51" si="106">Therm_CS_81Br*Therm_Flux*Y_81Br*Br81_Abun</f>
        <v>1.3464628454608195E-5</v>
      </c>
      <c r="CS51" s="739">
        <f t="shared" ref="CS51" si="107">Br81_Th*SQRT((Therm_CS_81Brerr/Therm_CS_81Br)^2+(Therm_Fluxerr/Therm_Flux)^2)</f>
        <v>6.0998398782313965E-7</v>
      </c>
      <c r="CT51" s="740">
        <f t="shared" ref="CT51" si="108">Br81_ETh/Br81_Th</f>
        <v>1.1830383668541542</v>
      </c>
      <c r="CU51" s="740">
        <f t="shared" ref="CU51" si="109">Br81_Factor*SQRT((Br81_ETherr/Br81_ETh)^2+(Br81_Therr/Br79_Th)^2)</f>
        <v>4.6948317610152723E-2</v>
      </c>
      <c r="CV51" s="739">
        <f t="shared" ref="CV51" si="110">Y_130Ba*(Therm_CS_130Ba*Therm_Flux+Epitherm_CS_130Ba*CH51)*Ba130_Abun</f>
        <v>1.1757789386714072E-7</v>
      </c>
      <c r="CW51" s="739">
        <f t="shared" ref="CW51" si="111">Ba130_Abun*Y_130Ba*SQRT(Therm_CS_130Ba^2*Epitherm_CS_130Baerr^2*CH51^2+Therm_Flux^2*Therm_CS_130Baerr^2+Therm_Fluxerr^2*Therm_CS_130Ba^2)</f>
        <v>5.8871278936912501E-9</v>
      </c>
      <c r="CX51" s="739">
        <f t="shared" ref="CX51" si="112">Therm_CS_130Ba*Therm_Flux*Y_130Ba*Ba130_Abun</f>
        <v>9.5001557708202686E-8</v>
      </c>
      <c r="CY51" s="739">
        <f t="shared" ref="CY51" si="113">Ba130_Th*SQRT((Therm_CS_81Brerr/Therm_CS_81Br)^2+(Therm_Fluxerr/Therm_Flux)^2)</f>
        <v>4.30382681673082E-9</v>
      </c>
      <c r="CZ51" s="740">
        <f t="shared" ref="CZ51" si="114">CV51/CX51</f>
        <v>1.2376417471835699</v>
      </c>
      <c r="DA51" s="740">
        <f t="shared" ref="DA51" si="115">Ba_Factor*SQRT((Ba130_Therr/Ba130_Th)^2+(Ba130_ETherr/Ba130_ETh)^2)</f>
        <v>8.3569156293596486E-2</v>
      </c>
      <c r="DC51" s="215"/>
      <c r="DD51" s="215"/>
      <c r="DE51" s="215"/>
      <c r="DF51" s="215"/>
      <c r="DG51" s="215"/>
      <c r="DH51" s="215"/>
      <c r="DI51" s="215"/>
      <c r="DJ51" s="215"/>
      <c r="DK51" s="215"/>
      <c r="DL51" s="215"/>
      <c r="DM51" s="215"/>
      <c r="DN51" s="215"/>
      <c r="DO51" s="215"/>
    </row>
  </sheetData>
  <mergeCells count="17">
    <mergeCell ref="CH5:CI5"/>
    <mergeCell ref="B5:F5"/>
    <mergeCell ref="G5:K5"/>
    <mergeCell ref="L5:O5"/>
    <mergeCell ref="P5:AC5"/>
    <mergeCell ref="AD5:AQ5"/>
    <mergeCell ref="AR5:BE5"/>
    <mergeCell ref="BF5:BQ5"/>
    <mergeCell ref="BR5:BU5"/>
    <mergeCell ref="BV5:BW5"/>
    <mergeCell ref="BX5:BY5"/>
    <mergeCell ref="BZ5:CG5"/>
    <mergeCell ref="CJ5:CO5"/>
    <mergeCell ref="CP5:CU5"/>
    <mergeCell ref="CV5:DA5"/>
    <mergeCell ref="DC5:DE5"/>
    <mergeCell ref="DF5:DO5"/>
  </mergeCells>
  <pageMargins left="0.25" right="0.25" top="0.75" bottom="0.75" header="0.3" footer="0.3"/>
  <pageSetup paperSize="9" orientation="landscape" horizontalDpi="4294967292" verticalDpi="429496729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0000"/>
  </sheetPr>
  <dimension ref="C1:AL118"/>
  <sheetViews>
    <sheetView zoomScale="71" zoomScaleNormal="71" workbookViewId="0">
      <selection activeCell="AC35" sqref="AC35"/>
    </sheetView>
  </sheetViews>
  <sheetFormatPr defaultColWidth="8.88671875" defaultRowHeight="14.4"/>
  <cols>
    <col min="16" max="17" width="14.6640625" bestFit="1" customWidth="1"/>
    <col min="18" max="19" width="12.109375" bestFit="1" customWidth="1"/>
    <col min="20" max="20" width="14.33203125" customWidth="1"/>
    <col min="23" max="23" width="9.44140625" bestFit="1" customWidth="1"/>
    <col min="26" max="26" width="14" bestFit="1" customWidth="1"/>
    <col min="34" max="34" width="12.109375" bestFit="1" customWidth="1"/>
    <col min="35" max="35" width="15.33203125" customWidth="1"/>
  </cols>
  <sheetData>
    <row r="1" spans="3:38">
      <c r="C1" s="295"/>
    </row>
    <row r="3" spans="3:38" ht="15.6">
      <c r="O3" s="291"/>
      <c r="P3" s="293"/>
      <c r="Q3" s="293"/>
      <c r="R3" s="291"/>
      <c r="S3" s="293"/>
      <c r="T3" s="293"/>
      <c r="Z3" t="s">
        <v>436</v>
      </c>
      <c r="AC3" t="s">
        <v>777</v>
      </c>
    </row>
    <row r="4" spans="3:38" ht="15.6">
      <c r="O4" s="287"/>
      <c r="P4" s="287"/>
      <c r="Q4" s="287"/>
      <c r="R4" s="287"/>
      <c r="S4" s="287"/>
      <c r="T4" s="287"/>
      <c r="Z4" t="s">
        <v>776</v>
      </c>
      <c r="AA4" t="s">
        <v>0</v>
      </c>
      <c r="AB4" t="s">
        <v>908</v>
      </c>
      <c r="AC4" t="s">
        <v>18</v>
      </c>
      <c r="AD4" t="s">
        <v>127</v>
      </c>
      <c r="AE4" t="s">
        <v>909</v>
      </c>
      <c r="AF4" t="s">
        <v>910</v>
      </c>
      <c r="AG4" t="s">
        <v>911</v>
      </c>
      <c r="AH4" t="s">
        <v>912</v>
      </c>
      <c r="AI4" t="s">
        <v>63</v>
      </c>
      <c r="AJ4" t="s">
        <v>64</v>
      </c>
      <c r="AK4" t="s">
        <v>65</v>
      </c>
      <c r="AL4" t="s">
        <v>209</v>
      </c>
    </row>
    <row r="5" spans="3:38" ht="15.6">
      <c r="O5" s="287"/>
      <c r="P5" s="286"/>
      <c r="Q5" s="286"/>
      <c r="R5" s="287"/>
      <c r="S5" s="286"/>
      <c r="T5" s="286"/>
      <c r="Z5" t="s">
        <v>892</v>
      </c>
      <c r="AA5">
        <v>1</v>
      </c>
      <c r="AB5">
        <v>3</v>
      </c>
      <c r="AC5">
        <v>4.7426911939066315E-3</v>
      </c>
      <c r="AD5">
        <v>9.7091489596462922E-6</v>
      </c>
      <c r="AE5" s="470">
        <v>1.2202773753242186E+19</v>
      </c>
      <c r="AF5" s="470">
        <v>2.8090950300864685E+17</v>
      </c>
      <c r="AG5">
        <v>8.8153803827926886E+17</v>
      </c>
      <c r="AH5">
        <v>8743906032777201</v>
      </c>
      <c r="AI5">
        <v>0.55128114895713265</v>
      </c>
      <c r="AJ5">
        <v>7.5550795824763902E-3</v>
      </c>
      <c r="AK5">
        <v>24.544732038990023</v>
      </c>
      <c r="AL5">
        <v>0.36613101239401247</v>
      </c>
    </row>
    <row r="6" spans="3:38" ht="15.6">
      <c r="O6" s="287"/>
      <c r="P6" s="286"/>
      <c r="Q6" s="286"/>
      <c r="R6" s="287"/>
      <c r="S6" s="286"/>
      <c r="T6" s="286"/>
      <c r="Z6" t="s">
        <v>864</v>
      </c>
      <c r="AA6">
        <v>1</v>
      </c>
      <c r="AB6">
        <v>19</v>
      </c>
      <c r="AC6">
        <v>4.4050728368799042E-3</v>
      </c>
      <c r="AD6">
        <v>8.4571157406964633E-6</v>
      </c>
      <c r="AE6" s="470">
        <v>1.1103370306921454E+19</v>
      </c>
      <c r="AF6" s="470">
        <v>2.5542646608316826E+17</v>
      </c>
      <c r="AG6">
        <v>8.1878391578383949E+17</v>
      </c>
      <c r="AH6">
        <v>8100578801385138</v>
      </c>
      <c r="AI6">
        <v>0.46591318421162448</v>
      </c>
      <c r="AJ6">
        <v>6.3816104537310616E-3</v>
      </c>
      <c r="AK6">
        <v>24.045084856739152</v>
      </c>
      <c r="AL6">
        <v>0.35850150288921329</v>
      </c>
    </row>
    <row r="7" spans="3:38" ht="15.6">
      <c r="O7" s="287"/>
      <c r="P7" s="286"/>
      <c r="Q7" s="286"/>
      <c r="R7" s="287"/>
      <c r="S7" s="286"/>
      <c r="T7" s="286"/>
      <c r="Z7" t="s">
        <v>865</v>
      </c>
      <c r="AA7">
        <v>1</v>
      </c>
      <c r="AB7">
        <v>36</v>
      </c>
      <c r="AC7">
        <v>3.8350333275558941E-3</v>
      </c>
      <c r="AD7">
        <v>7.6676428222284996E-6</v>
      </c>
      <c r="AE7" s="470">
        <v>1.0113071561336437E+19</v>
      </c>
      <c r="AF7" s="470">
        <v>2.3277435056492074E+17</v>
      </c>
      <c r="AG7">
        <v>7.1282898634698573E+17</v>
      </c>
      <c r="AH7">
        <v>7063538631279223</v>
      </c>
      <c r="AI7">
        <v>0.47923995966916078</v>
      </c>
      <c r="AJ7">
        <v>6.5673979999256492E-3</v>
      </c>
      <c r="AK7">
        <v>25.155822496231</v>
      </c>
      <c r="AL7">
        <v>0.37529485176746119</v>
      </c>
    </row>
    <row r="8" spans="3:38" ht="15.6">
      <c r="O8" s="287"/>
      <c r="P8" s="286"/>
      <c r="Q8" s="286"/>
      <c r="R8" s="287"/>
      <c r="S8" s="286"/>
      <c r="T8" s="286"/>
      <c r="Z8" t="s">
        <v>866</v>
      </c>
      <c r="AA8">
        <v>2</v>
      </c>
      <c r="AB8">
        <v>2</v>
      </c>
      <c r="AC8">
        <v>5.1652121644352933E-3</v>
      </c>
      <c r="AD8">
        <v>1.1007046531671943E-5</v>
      </c>
      <c r="AE8" s="470">
        <v>1.293573740858393E+19</v>
      </c>
      <c r="AF8" s="470">
        <v>2.9794493559575206E+17</v>
      </c>
      <c r="AG8">
        <v>9.6007326063788096E+17</v>
      </c>
      <c r="AH8">
        <v>9539823570021078</v>
      </c>
      <c r="AI8">
        <v>0.48321021949912618</v>
      </c>
      <c r="AJ8">
        <v>6.6263817731421169E-3</v>
      </c>
      <c r="AK8">
        <v>23.890630393973385</v>
      </c>
      <c r="AL8">
        <v>0.35655667620572851</v>
      </c>
    </row>
    <row r="9" spans="3:38" ht="15.6">
      <c r="O9" s="287"/>
      <c r="P9" s="286"/>
      <c r="Q9" s="286"/>
      <c r="R9" s="287"/>
      <c r="S9" s="286"/>
      <c r="T9" s="286"/>
      <c r="W9" s="292"/>
      <c r="Z9" t="s">
        <v>867</v>
      </c>
      <c r="AA9">
        <v>2</v>
      </c>
      <c r="AB9">
        <v>18</v>
      </c>
      <c r="AC9">
        <v>4.8741710177054838E-3</v>
      </c>
      <c r="AD9">
        <v>9.1104199141465224E-6</v>
      </c>
      <c r="AE9" s="470">
        <v>1.0273915887354728E+19</v>
      </c>
      <c r="AF9" s="470">
        <v>2.3635273232957626E+17</v>
      </c>
      <c r="AG9">
        <v>9.059765819681047E+17</v>
      </c>
      <c r="AH9">
        <v>8954406725993319</v>
      </c>
      <c r="AI9">
        <v>0.3782326302286243</v>
      </c>
      <c r="AJ9">
        <v>5.1815661734152668E-3</v>
      </c>
      <c r="AK9">
        <v>20.107580984108967</v>
      </c>
      <c r="AL9">
        <v>0.29994693591332733</v>
      </c>
    </row>
    <row r="10" spans="3:38" ht="15.6">
      <c r="O10" s="287"/>
      <c r="P10" s="286"/>
      <c r="Q10" s="286"/>
      <c r="R10" s="287"/>
      <c r="S10" s="286"/>
      <c r="T10" s="286"/>
      <c r="Z10" t="s">
        <v>868</v>
      </c>
      <c r="AA10">
        <v>2</v>
      </c>
      <c r="AB10">
        <v>39</v>
      </c>
      <c r="AC10">
        <v>4.3422657953273566E-3</v>
      </c>
      <c r="AD10">
        <v>9.2200779856894934E-6</v>
      </c>
      <c r="AE10" s="470">
        <v>1.1304215383147203E+19</v>
      </c>
      <c r="AF10" s="470">
        <v>2.6030293318997315E+17</v>
      </c>
      <c r="AG10">
        <v>8.0710978522448691E+17</v>
      </c>
      <c r="AH10">
        <v>8018569066490475</v>
      </c>
      <c r="AI10">
        <v>0.505182491855103</v>
      </c>
      <c r="AJ10">
        <v>6.9276368828200671E-3</v>
      </c>
      <c r="AK10">
        <v>24.834110188627339</v>
      </c>
      <c r="AL10">
        <v>0.37044898629129219</v>
      </c>
    </row>
    <row r="11" spans="3:38" ht="15.6">
      <c r="O11" s="287"/>
      <c r="P11" s="286"/>
      <c r="Q11" s="286"/>
      <c r="R11" s="287"/>
      <c r="S11" s="286"/>
      <c r="T11" s="286"/>
      <c r="Z11" t="s">
        <v>869</v>
      </c>
      <c r="AA11">
        <v>3</v>
      </c>
      <c r="AB11">
        <v>2</v>
      </c>
      <c r="AC11">
        <v>5.3121668012560807E-3</v>
      </c>
      <c r="AD11">
        <v>9.7648362394268647E-6</v>
      </c>
      <c r="AE11" s="470">
        <v>1.2866590220152021E+19</v>
      </c>
      <c r="AF11" s="470">
        <v>2.9592070556887174E+17</v>
      </c>
      <c r="AG11">
        <v>9.873881535884233E+17</v>
      </c>
      <c r="AH11">
        <v>9753327342786306</v>
      </c>
      <c r="AI11">
        <v>0.47009954833574208</v>
      </c>
      <c r="AJ11">
        <v>6.4440112340063416E-3</v>
      </c>
      <c r="AK11">
        <v>23.105552080233398</v>
      </c>
      <c r="AL11">
        <v>0.34454400469054064</v>
      </c>
    </row>
    <row r="12" spans="3:38" ht="15.6">
      <c r="O12" s="287"/>
      <c r="P12" s="286"/>
      <c r="Q12" s="286"/>
      <c r="R12" s="287"/>
      <c r="S12" s="286"/>
      <c r="T12" s="286"/>
      <c r="Z12" t="s">
        <v>903</v>
      </c>
      <c r="AA12">
        <v>3</v>
      </c>
      <c r="AB12">
        <v>24</v>
      </c>
      <c r="AC12">
        <v>4.8996499783353319E-3</v>
      </c>
      <c r="AD12">
        <v>9.0305250053169557E-6</v>
      </c>
      <c r="AE12" s="470">
        <v>1.2103126492332728E+19</v>
      </c>
      <c r="AF12" s="470">
        <v>2.7836674059333005E+17</v>
      </c>
      <c r="AG12">
        <v>9.1071243173202944E+17</v>
      </c>
      <c r="AH12">
        <v>8996762227094746</v>
      </c>
      <c r="AI12">
        <v>0.50478819776216999</v>
      </c>
      <c r="AJ12">
        <v>6.9147899672432935E-3</v>
      </c>
      <c r="AK12">
        <v>23.564438728217279</v>
      </c>
      <c r="AL12">
        <v>0.35138775102940895</v>
      </c>
    </row>
    <row r="13" spans="3:38" ht="15.6">
      <c r="O13" s="287"/>
      <c r="P13" s="286"/>
      <c r="Q13" s="286"/>
      <c r="R13" s="287"/>
      <c r="S13" s="286"/>
      <c r="T13" s="286"/>
      <c r="Z13" t="s">
        <v>904</v>
      </c>
      <c r="AA13">
        <v>3</v>
      </c>
      <c r="AB13">
        <v>41</v>
      </c>
      <c r="AC13">
        <v>4.2112251639609289E-3</v>
      </c>
      <c r="AD13">
        <v>9.2476666105502997E-6</v>
      </c>
      <c r="AE13" s="470">
        <v>1.1060018658455095E+19</v>
      </c>
      <c r="AF13" s="470">
        <v>2.5488958611692358E+17</v>
      </c>
      <c r="AG13">
        <v>7.8275287553193664E+17</v>
      </c>
      <c r="AH13">
        <v>7788932479180217</v>
      </c>
      <c r="AI13">
        <v>0.50900385722249708</v>
      </c>
      <c r="AJ13">
        <v>6.9882843350043567E-3</v>
      </c>
      <c r="AK13">
        <v>25.053706221835235</v>
      </c>
      <c r="AL13">
        <v>0.37419486599034318</v>
      </c>
    </row>
    <row r="14" spans="3:38" ht="15.6">
      <c r="O14" s="287"/>
      <c r="P14" s="286"/>
      <c r="Q14" s="286"/>
      <c r="R14" s="287"/>
      <c r="S14" s="286"/>
      <c r="T14" s="286"/>
      <c r="AC14">
        <v>4.6430542532625452E-3</v>
      </c>
      <c r="AD14">
        <v>4.7906515223313011E-4</v>
      </c>
      <c r="AE14" s="470">
        <v>1.1551424407947309E+19</v>
      </c>
      <c r="AF14" s="470">
        <v>1.0355461166950679E+18</v>
      </c>
      <c r="AG14">
        <v>8.6301822545477286E+17</v>
      </c>
      <c r="AH14">
        <v>8.9045256636177008E+16</v>
      </c>
      <c r="AI14">
        <v>0.48299458197124223</v>
      </c>
      <c r="AJ14">
        <v>4.7109007799797716E-2</v>
      </c>
      <c r="AK14">
        <v>23.811295332106198</v>
      </c>
      <c r="AL14">
        <v>1.5521308350775966</v>
      </c>
    </row>
    <row r="32" spans="16:19" ht="15.6">
      <c r="P32" s="291"/>
      <c r="Q32" s="291"/>
      <c r="R32" s="290"/>
      <c r="S32" s="290"/>
    </row>
    <row r="33" spans="15:35" ht="15.6">
      <c r="O33" s="287"/>
      <c r="P33" s="287"/>
      <c r="Q33" s="287"/>
      <c r="R33" s="287"/>
      <c r="S33" s="287"/>
      <c r="U33" s="289"/>
      <c r="V33" s="288"/>
      <c r="W33" s="288"/>
      <c r="X33" s="288"/>
    </row>
    <row r="34" spans="15:35" ht="15.6">
      <c r="O34" s="287"/>
      <c r="P34" s="286"/>
      <c r="Q34" s="286"/>
      <c r="R34" s="286"/>
      <c r="S34" s="286"/>
      <c r="U34" s="288"/>
      <c r="V34" s="294"/>
      <c r="W34" s="294"/>
      <c r="X34" s="294"/>
    </row>
    <row r="35" spans="15:35" ht="15.6">
      <c r="O35" s="287"/>
      <c r="P35" s="286"/>
      <c r="Q35" s="286"/>
      <c r="R35" s="286"/>
      <c r="S35" s="286"/>
      <c r="U35" s="288"/>
      <c r="V35" s="294"/>
      <c r="W35" s="294"/>
      <c r="X35" s="294"/>
    </row>
    <row r="36" spans="15:35" ht="15.6">
      <c r="O36" s="287"/>
      <c r="P36" s="286"/>
      <c r="Q36" s="286"/>
      <c r="R36" s="286"/>
      <c r="S36" s="286"/>
      <c r="U36" s="288"/>
      <c r="V36" s="288"/>
      <c r="W36" s="288"/>
      <c r="X36" s="288"/>
    </row>
    <row r="37" spans="15:35" ht="15.6">
      <c r="O37" s="287"/>
      <c r="P37" s="286"/>
      <c r="Q37" s="286"/>
      <c r="R37" s="286"/>
      <c r="S37" s="286"/>
      <c r="U37" s="288"/>
      <c r="V37" s="288"/>
      <c r="W37" s="288"/>
      <c r="X37" s="288"/>
    </row>
    <row r="38" spans="15:35" ht="15.6">
      <c r="O38" s="287"/>
      <c r="P38" s="286"/>
      <c r="Q38" s="286"/>
      <c r="R38" s="286"/>
      <c r="S38" s="286"/>
      <c r="U38" s="288"/>
      <c r="V38" s="294"/>
      <c r="W38" s="294"/>
      <c r="X38" s="294"/>
    </row>
    <row r="39" spans="15:35" ht="15.6">
      <c r="O39" s="287"/>
      <c r="P39" s="286"/>
      <c r="Q39" s="286"/>
      <c r="R39" s="286"/>
      <c r="S39" s="286"/>
      <c r="U39" s="288"/>
      <c r="V39" s="294"/>
      <c r="W39" s="294"/>
      <c r="X39" s="294"/>
    </row>
    <row r="40" spans="15:35" ht="15.6">
      <c r="O40" s="287"/>
      <c r="P40" s="286"/>
      <c r="Q40" s="286"/>
      <c r="R40" s="286"/>
      <c r="S40" s="286"/>
    </row>
    <row r="41" spans="15:35" ht="15.6">
      <c r="O41" s="287"/>
      <c r="P41" s="286"/>
      <c r="Q41" s="286"/>
      <c r="R41" s="286"/>
      <c r="S41" s="286"/>
      <c r="U41" s="288"/>
      <c r="V41" s="288"/>
      <c r="W41" s="288"/>
      <c r="X41" s="288"/>
      <c r="AG41" s="287"/>
      <c r="AH41" s="286"/>
      <c r="AI41" s="286"/>
    </row>
    <row r="42" spans="15:35" ht="15.6">
      <c r="O42" s="287"/>
      <c r="P42" s="286"/>
      <c r="Q42" s="286"/>
      <c r="R42" s="286"/>
      <c r="S42" s="286"/>
      <c r="U42" s="288"/>
      <c r="V42" s="294"/>
      <c r="W42" s="294"/>
      <c r="X42" s="294"/>
      <c r="AB42" s="287"/>
      <c r="AC42" s="286"/>
      <c r="AD42" s="286"/>
    </row>
    <row r="43" spans="15:35" ht="15.6">
      <c r="O43" s="287"/>
      <c r="P43" s="286"/>
      <c r="Q43" s="286"/>
      <c r="R43" s="286"/>
      <c r="S43" s="286"/>
      <c r="U43" s="288"/>
      <c r="V43" s="294"/>
      <c r="W43" s="294"/>
      <c r="X43" s="294"/>
      <c r="AB43" s="287"/>
      <c r="AC43" s="286"/>
      <c r="AD43" s="286"/>
    </row>
    <row r="44" spans="15:35" ht="15.6">
      <c r="O44" s="287"/>
      <c r="P44" s="286"/>
      <c r="Q44" s="286"/>
      <c r="R44" s="286"/>
      <c r="S44" s="286"/>
      <c r="AB44" s="287"/>
      <c r="AC44" s="286"/>
      <c r="AD44" s="286"/>
    </row>
    <row r="45" spans="15:35" ht="15.6">
      <c r="O45" s="287"/>
      <c r="P45" s="286"/>
      <c r="Q45" s="286"/>
      <c r="R45" s="286"/>
      <c r="S45" s="286"/>
    </row>
    <row r="46" spans="15:35" ht="15.6">
      <c r="O46" s="287"/>
      <c r="P46" s="286"/>
      <c r="Q46" s="286"/>
      <c r="R46" s="286"/>
      <c r="S46" s="286"/>
    </row>
    <row r="47" spans="15:35" ht="15.6">
      <c r="O47" s="287"/>
      <c r="P47" s="286"/>
      <c r="Q47" s="286"/>
      <c r="R47" s="286"/>
      <c r="S47" s="286"/>
    </row>
    <row r="48" spans="15:35" ht="15.6">
      <c r="O48" s="287"/>
      <c r="P48" s="286"/>
      <c r="Q48" s="286"/>
      <c r="R48" s="286"/>
      <c r="S48" s="286"/>
    </row>
    <row r="49" spans="15:19" ht="15.6">
      <c r="O49" s="287"/>
      <c r="P49" s="286"/>
      <c r="Q49" s="286"/>
      <c r="R49" s="286"/>
      <c r="S49" s="286"/>
    </row>
    <row r="50" spans="15:19" ht="15.6">
      <c r="O50" s="287"/>
      <c r="P50" s="286"/>
      <c r="Q50" s="286"/>
      <c r="R50" s="286"/>
      <c r="S50" s="286"/>
    </row>
    <row r="51" spans="15:19" ht="15.6">
      <c r="O51" s="287"/>
      <c r="P51" s="286"/>
      <c r="Q51" s="286"/>
      <c r="R51" s="286"/>
      <c r="S51" s="286"/>
    </row>
    <row r="52" spans="15:19" ht="15.6">
      <c r="O52" s="287"/>
      <c r="P52" s="286"/>
      <c r="Q52" s="286"/>
      <c r="R52" s="286"/>
      <c r="S52" s="286"/>
    </row>
    <row r="53" spans="15:19" ht="15.6">
      <c r="O53" s="287"/>
      <c r="P53" s="286"/>
      <c r="Q53" s="286"/>
      <c r="R53" s="286"/>
      <c r="S53" s="286"/>
    </row>
    <row r="54" spans="15:19" ht="15.6">
      <c r="O54" s="287"/>
      <c r="P54" s="286"/>
      <c r="Q54" s="286"/>
      <c r="R54" s="286"/>
      <c r="S54" s="286"/>
    </row>
    <row r="55" spans="15:19" ht="15.6">
      <c r="O55" s="287"/>
      <c r="P55" s="286"/>
      <c r="Q55" s="286"/>
      <c r="R55" s="286"/>
      <c r="S55" s="286"/>
    </row>
    <row r="56" spans="15:19" ht="15.6">
      <c r="O56" s="287"/>
      <c r="P56" s="286"/>
      <c r="Q56" s="286"/>
      <c r="R56" s="286"/>
      <c r="S56" s="286"/>
    </row>
    <row r="57" spans="15:19" ht="15.6">
      <c r="O57" s="287"/>
      <c r="P57" s="286"/>
      <c r="Q57" s="286"/>
      <c r="R57" s="286"/>
      <c r="S57" s="286"/>
    </row>
    <row r="58" spans="15:19" ht="15.6">
      <c r="O58" s="287"/>
      <c r="P58" s="286"/>
      <c r="Q58" s="286"/>
      <c r="R58" s="286"/>
      <c r="S58" s="286"/>
    </row>
    <row r="59" spans="15:19" ht="15.6">
      <c r="O59" s="287"/>
      <c r="P59" s="286"/>
      <c r="Q59" s="286"/>
      <c r="R59" s="286"/>
      <c r="S59" s="286"/>
    </row>
    <row r="60" spans="15:19" ht="15.6">
      <c r="O60" s="287"/>
      <c r="P60" s="286"/>
      <c r="Q60" s="286"/>
      <c r="R60" s="286"/>
      <c r="S60" s="286"/>
    </row>
    <row r="61" spans="15:19" ht="15.6">
      <c r="O61" s="287"/>
      <c r="P61" s="286"/>
      <c r="Q61" s="286"/>
      <c r="R61" s="286"/>
      <c r="S61" s="286"/>
    </row>
    <row r="62" spans="15:19" ht="15.6">
      <c r="O62" s="287"/>
      <c r="P62" s="286"/>
      <c r="Q62" s="286"/>
      <c r="R62" s="286"/>
      <c r="S62" s="286"/>
    </row>
    <row r="63" spans="15:19" ht="15.6">
      <c r="O63" s="287"/>
      <c r="P63" s="286"/>
      <c r="Q63" s="286"/>
      <c r="R63" s="286"/>
      <c r="S63" s="286"/>
    </row>
    <row r="64" spans="15:19" ht="15.6">
      <c r="O64" s="287"/>
      <c r="P64" s="286"/>
      <c r="Q64" s="286"/>
      <c r="R64" s="286"/>
      <c r="S64" s="286"/>
    </row>
    <row r="65" spans="15:19" ht="15.6">
      <c r="O65" s="287"/>
      <c r="P65" s="286"/>
      <c r="Q65" s="286"/>
      <c r="R65" s="286"/>
      <c r="S65" s="286"/>
    </row>
    <row r="66" spans="15:19" ht="15.6">
      <c r="O66" s="287"/>
      <c r="P66" s="286"/>
      <c r="Q66" s="286"/>
      <c r="R66" s="286"/>
      <c r="S66" s="286"/>
    </row>
    <row r="67" spans="15:19" ht="15.6">
      <c r="O67" s="287"/>
      <c r="P67" s="286"/>
      <c r="Q67" s="286"/>
      <c r="R67" s="286"/>
      <c r="S67" s="286"/>
    </row>
    <row r="68" spans="15:19" ht="15.6">
      <c r="O68" s="287"/>
      <c r="P68" s="286"/>
      <c r="Q68" s="286"/>
      <c r="R68" s="286"/>
      <c r="S68" s="286"/>
    </row>
    <row r="69" spans="15:19" ht="15.6">
      <c r="O69" s="287"/>
      <c r="P69" s="286"/>
      <c r="Q69" s="286"/>
      <c r="R69" s="286"/>
      <c r="S69" s="286"/>
    </row>
    <row r="70" spans="15:19" ht="15.6">
      <c r="O70" s="287"/>
      <c r="P70" s="286"/>
      <c r="Q70" s="286"/>
      <c r="R70" s="286"/>
      <c r="S70" s="286"/>
    </row>
    <row r="71" spans="15:19" ht="15.6">
      <c r="O71" s="287"/>
      <c r="P71" s="286"/>
      <c r="Q71" s="286"/>
      <c r="R71" s="286"/>
      <c r="S71" s="286"/>
    </row>
    <row r="72" spans="15:19" ht="15.6">
      <c r="O72" s="287"/>
      <c r="P72" s="286"/>
      <c r="Q72" s="286"/>
      <c r="R72" s="286"/>
      <c r="S72" s="286"/>
    </row>
    <row r="73" spans="15:19" ht="15.6">
      <c r="O73" s="287"/>
      <c r="P73" s="286"/>
      <c r="Q73" s="286"/>
      <c r="R73" s="286"/>
      <c r="S73" s="286"/>
    </row>
    <row r="74" spans="15:19" ht="15.6">
      <c r="O74" s="287"/>
      <c r="P74" s="286"/>
      <c r="Q74" s="286"/>
      <c r="R74" s="286"/>
      <c r="S74" s="286"/>
    </row>
    <row r="75" spans="15:19" ht="15.6">
      <c r="O75" s="287"/>
      <c r="P75" s="286"/>
      <c r="Q75" s="286"/>
      <c r="R75" s="286"/>
      <c r="S75" s="286"/>
    </row>
    <row r="76" spans="15:19" ht="15.6">
      <c r="O76" s="287"/>
      <c r="P76" s="286"/>
      <c r="Q76" s="286"/>
      <c r="R76" s="286"/>
      <c r="S76" s="286"/>
    </row>
    <row r="77" spans="15:19" ht="15.6">
      <c r="O77" s="287"/>
      <c r="P77" s="286"/>
      <c r="Q77" s="286"/>
      <c r="R77" s="286"/>
      <c r="S77" s="286"/>
    </row>
    <row r="78" spans="15:19" ht="15.6">
      <c r="O78" s="287"/>
      <c r="P78" s="286"/>
      <c r="Q78" s="286"/>
      <c r="R78" s="286"/>
      <c r="S78" s="286"/>
    </row>
    <row r="79" spans="15:19" ht="15.6">
      <c r="O79" s="287"/>
      <c r="P79" s="286"/>
      <c r="Q79" s="286"/>
      <c r="R79" s="286"/>
      <c r="S79" s="286"/>
    </row>
    <row r="80" spans="15:19" ht="15.6">
      <c r="O80" s="287"/>
      <c r="P80" s="286"/>
      <c r="Q80" s="286"/>
      <c r="R80" s="286"/>
      <c r="S80" s="286"/>
    </row>
    <row r="81" spans="15:19" ht="15.6">
      <c r="O81" s="287"/>
      <c r="P81" s="286"/>
      <c r="Q81" s="286"/>
      <c r="R81" s="286"/>
      <c r="S81" s="286"/>
    </row>
    <row r="82" spans="15:19" ht="15.6">
      <c r="O82" s="287"/>
      <c r="P82" s="286"/>
      <c r="Q82" s="286"/>
      <c r="R82" s="286"/>
      <c r="S82" s="286"/>
    </row>
    <row r="83" spans="15:19" ht="15.6">
      <c r="O83" s="287"/>
      <c r="P83" s="286"/>
      <c r="Q83" s="286"/>
      <c r="R83" s="286"/>
      <c r="S83" s="286"/>
    </row>
    <row r="84" spans="15:19" ht="15.6">
      <c r="O84" s="287"/>
      <c r="P84" s="286"/>
      <c r="Q84" s="286"/>
      <c r="R84" s="286"/>
      <c r="S84" s="286"/>
    </row>
    <row r="85" spans="15:19" ht="15.6">
      <c r="O85" s="287"/>
      <c r="P85" s="286"/>
      <c r="Q85" s="286"/>
      <c r="R85" s="286"/>
      <c r="S85" s="286"/>
    </row>
    <row r="86" spans="15:19" ht="15.6">
      <c r="O86" s="287"/>
      <c r="P86" s="286"/>
      <c r="Q86" s="286"/>
      <c r="R86" s="286"/>
      <c r="S86" s="286"/>
    </row>
    <row r="87" spans="15:19" ht="15.6">
      <c r="O87" s="287"/>
      <c r="P87" s="286"/>
      <c r="Q87" s="286"/>
      <c r="R87" s="286"/>
      <c r="S87" s="286"/>
    </row>
    <row r="88" spans="15:19" ht="15.6">
      <c r="O88" s="287"/>
      <c r="P88" s="286"/>
      <c r="Q88" s="286"/>
      <c r="R88" s="286"/>
      <c r="S88" s="286"/>
    </row>
    <row r="89" spans="15:19" ht="15.6">
      <c r="O89" s="287"/>
      <c r="P89" s="286"/>
      <c r="Q89" s="286"/>
      <c r="R89" s="286"/>
      <c r="S89" s="286"/>
    </row>
    <row r="90" spans="15:19" ht="15.6">
      <c r="O90" s="287"/>
      <c r="P90" s="286"/>
      <c r="Q90" s="286"/>
      <c r="R90" s="286"/>
      <c r="S90" s="286"/>
    </row>
    <row r="91" spans="15:19" ht="15.6">
      <c r="O91" s="287"/>
      <c r="P91" s="286"/>
      <c r="Q91" s="286"/>
      <c r="R91" s="286"/>
      <c r="S91" s="286"/>
    </row>
    <row r="92" spans="15:19" ht="15.6">
      <c r="O92" s="287"/>
      <c r="P92" s="286"/>
      <c r="Q92" s="286"/>
      <c r="R92" s="286"/>
      <c r="S92" s="286"/>
    </row>
    <row r="93" spans="15:19" ht="15.6">
      <c r="O93" s="287"/>
      <c r="P93" s="286"/>
      <c r="Q93" s="286"/>
      <c r="R93" s="286"/>
      <c r="S93" s="286"/>
    </row>
    <row r="94" spans="15:19" ht="15.6">
      <c r="O94" s="287"/>
      <c r="P94" s="286"/>
      <c r="Q94" s="286"/>
      <c r="R94" s="286"/>
      <c r="S94" s="286"/>
    </row>
    <row r="95" spans="15:19" ht="15.6">
      <c r="O95" s="287"/>
      <c r="P95" s="286"/>
      <c r="Q95" s="286"/>
      <c r="R95" s="286"/>
      <c r="S95" s="286"/>
    </row>
    <row r="96" spans="15:19" ht="15.6">
      <c r="O96" s="287"/>
      <c r="P96" s="286"/>
      <c r="Q96" s="286"/>
      <c r="R96" s="286"/>
      <c r="S96" s="286"/>
    </row>
    <row r="97" spans="15:19" ht="15.6">
      <c r="O97" s="287"/>
      <c r="P97" s="286"/>
      <c r="Q97" s="286"/>
      <c r="R97" s="286"/>
      <c r="S97" s="286"/>
    </row>
    <row r="98" spans="15:19" ht="15.6">
      <c r="O98" s="287"/>
      <c r="P98" s="286"/>
      <c r="Q98" s="286"/>
      <c r="R98" s="286"/>
      <c r="S98" s="286"/>
    </row>
    <row r="99" spans="15:19" ht="15.6">
      <c r="O99" s="287"/>
      <c r="P99" s="286"/>
      <c r="Q99" s="286"/>
      <c r="R99" s="286"/>
      <c r="S99" s="286"/>
    </row>
    <row r="100" spans="15:19" ht="15.6">
      <c r="O100" s="287"/>
      <c r="P100" s="286"/>
      <c r="Q100" s="286"/>
      <c r="R100" s="286"/>
      <c r="S100" s="286"/>
    </row>
    <row r="101" spans="15:19" ht="15.6">
      <c r="O101" s="287"/>
      <c r="P101" s="286"/>
      <c r="Q101" s="286"/>
      <c r="R101" s="286"/>
      <c r="S101" s="286"/>
    </row>
    <row r="102" spans="15:19" ht="15.6">
      <c r="O102" s="287"/>
      <c r="P102" s="286"/>
      <c r="Q102" s="286"/>
      <c r="R102" s="286"/>
      <c r="S102" s="286"/>
    </row>
    <row r="103" spans="15:19" ht="15.6">
      <c r="O103" s="287"/>
      <c r="P103" s="286"/>
      <c r="Q103" s="286"/>
      <c r="R103" s="286"/>
      <c r="S103" s="286"/>
    </row>
    <row r="104" spans="15:19" ht="15.6">
      <c r="O104" s="287"/>
      <c r="P104" s="286"/>
      <c r="Q104" s="286"/>
      <c r="R104" s="286"/>
      <c r="S104" s="286"/>
    </row>
    <row r="105" spans="15:19" ht="15.6">
      <c r="O105" s="287"/>
      <c r="P105" s="286"/>
      <c r="Q105" s="286"/>
      <c r="R105" s="286"/>
      <c r="S105" s="286"/>
    </row>
    <row r="106" spans="15:19" ht="15.6">
      <c r="O106" s="287"/>
      <c r="P106" s="286"/>
      <c r="Q106" s="286"/>
      <c r="R106" s="286"/>
      <c r="S106" s="286"/>
    </row>
    <row r="107" spans="15:19" ht="15.6">
      <c r="O107" s="287"/>
      <c r="P107" s="286"/>
      <c r="Q107" s="286"/>
      <c r="R107" s="286"/>
      <c r="S107" s="286"/>
    </row>
    <row r="108" spans="15:19" ht="15.6">
      <c r="O108" s="287"/>
      <c r="P108" s="286"/>
      <c r="Q108" s="286"/>
      <c r="R108" s="286"/>
      <c r="S108" s="286"/>
    </row>
    <row r="109" spans="15:19" ht="15.6">
      <c r="O109" s="287"/>
      <c r="P109" s="286"/>
      <c r="Q109" s="286"/>
      <c r="R109" s="286"/>
      <c r="S109" s="286"/>
    </row>
    <row r="110" spans="15:19" ht="15.6">
      <c r="O110" s="287"/>
      <c r="P110" s="286"/>
      <c r="Q110" s="286"/>
      <c r="R110" s="286"/>
      <c r="S110" s="286"/>
    </row>
    <row r="111" spans="15:19" ht="15.6">
      <c r="O111" s="287"/>
      <c r="P111" s="286"/>
      <c r="Q111" s="286"/>
      <c r="R111" s="286"/>
      <c r="S111" s="286"/>
    </row>
    <row r="112" spans="15:19" ht="15.6">
      <c r="O112" s="287"/>
      <c r="P112" s="286"/>
      <c r="Q112" s="286"/>
      <c r="R112" s="286"/>
      <c r="S112" s="286"/>
    </row>
    <row r="113" spans="15:19" ht="15.6">
      <c r="O113" s="287"/>
      <c r="P113" s="286"/>
      <c r="Q113" s="286"/>
      <c r="R113" s="286"/>
      <c r="S113" s="286"/>
    </row>
    <row r="114" spans="15:19" ht="15.6">
      <c r="O114" s="287"/>
      <c r="P114" s="286"/>
      <c r="Q114" s="286"/>
      <c r="R114" s="286"/>
      <c r="S114" s="286"/>
    </row>
    <row r="115" spans="15:19" ht="15.6">
      <c r="O115" s="287"/>
      <c r="P115" s="286"/>
      <c r="Q115" s="286"/>
      <c r="R115" s="286"/>
      <c r="S115" s="286"/>
    </row>
    <row r="116" spans="15:19" ht="15.6">
      <c r="O116" s="287"/>
      <c r="P116" s="286"/>
      <c r="Q116" s="286"/>
      <c r="R116" s="286"/>
      <c r="S116" s="286"/>
    </row>
    <row r="117" spans="15:19" ht="15.6">
      <c r="O117" s="287"/>
      <c r="P117" s="286"/>
      <c r="Q117" s="286"/>
      <c r="R117" s="286"/>
      <c r="S117" s="286"/>
    </row>
    <row r="118" spans="15:19" ht="15.6">
      <c r="O118" s="287"/>
      <c r="P118" s="286"/>
      <c r="Q118" s="286"/>
      <c r="R118" s="286"/>
      <c r="S118" s="286"/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T120"/>
  <sheetViews>
    <sheetView workbookViewId="0"/>
  </sheetViews>
  <sheetFormatPr defaultRowHeight="14.4"/>
  <cols>
    <col min="1" max="1" width="14.88671875" style="455" bestFit="1" customWidth="1"/>
    <col min="2" max="2" width="16.33203125" style="456" bestFit="1" customWidth="1"/>
  </cols>
  <sheetData>
    <row r="1" spans="1:20">
      <c r="A1" s="455" t="s">
        <v>876</v>
      </c>
      <c r="B1" s="456" t="s">
        <v>918</v>
      </c>
      <c r="C1">
        <v>0</v>
      </c>
      <c r="D1">
        <v>98.653777222944598</v>
      </c>
      <c r="E1" s="241">
        <v>5.4890570000000003E-3</v>
      </c>
      <c r="F1">
        <v>98.482730000000004</v>
      </c>
      <c r="G1" s="241">
        <v>3.088349E-2</v>
      </c>
      <c r="H1">
        <v>50.164319999999996</v>
      </c>
      <c r="I1" s="241">
        <v>6.2776589999999993E-2</v>
      </c>
      <c r="J1">
        <v>87.942220000000006</v>
      </c>
      <c r="K1">
        <v>0.1139965</v>
      </c>
      <c r="L1">
        <v>134.4556</v>
      </c>
      <c r="M1">
        <v>0.17193649999999999</v>
      </c>
      <c r="N1">
        <v>176.0788</v>
      </c>
      <c r="O1">
        <v>0.2538338</v>
      </c>
      <c r="P1">
        <v>229.75819999999999</v>
      </c>
      <c r="Q1">
        <v>0.34800370000000003</v>
      </c>
      <c r="R1">
        <v>304.91289999999998</v>
      </c>
      <c r="S1">
        <v>0.58018210000000003</v>
      </c>
      <c r="T1">
        <v>388.25729999999999</v>
      </c>
    </row>
    <row r="2" spans="1:20">
      <c r="A2" s="455" t="s">
        <v>877</v>
      </c>
      <c r="B2" s="456" t="s">
        <v>939</v>
      </c>
      <c r="C2">
        <v>1.8587117653372385E-3</v>
      </c>
      <c r="D2">
        <v>98.653777222944598</v>
      </c>
      <c r="E2">
        <v>5.4890570000000003E-3</v>
      </c>
      <c r="F2">
        <v>50.48077</v>
      </c>
      <c r="G2">
        <v>3.088349E-2</v>
      </c>
      <c r="H2">
        <v>87.942220000000006</v>
      </c>
      <c r="I2">
        <v>6.2776589999999993E-2</v>
      </c>
      <c r="J2">
        <v>134.4556</v>
      </c>
      <c r="K2">
        <v>0.1139965</v>
      </c>
      <c r="L2">
        <v>176.0788</v>
      </c>
      <c r="M2">
        <v>0.17193649999999999</v>
      </c>
      <c r="N2">
        <v>229.75819999999999</v>
      </c>
      <c r="O2">
        <v>0.2538338</v>
      </c>
      <c r="P2">
        <v>304.91289999999998</v>
      </c>
      <c r="Q2">
        <v>0.34800370000000003</v>
      </c>
      <c r="R2">
        <v>370.93790000000001</v>
      </c>
      <c r="S2">
        <v>0.58018210000000003</v>
      </c>
      <c r="T2">
        <v>435.64609999999999</v>
      </c>
    </row>
    <row r="3" spans="1:20">
      <c r="A3" s="455" t="s">
        <v>878</v>
      </c>
      <c r="B3" s="457">
        <v>18</v>
      </c>
      <c r="C3">
        <v>1.8587117653372385E-3</v>
      </c>
      <c r="D3">
        <v>130.32743415588513</v>
      </c>
      <c r="E3" t="s">
        <v>920</v>
      </c>
      <c r="F3" t="s">
        <v>920</v>
      </c>
      <c r="G3" t="s">
        <v>920</v>
      </c>
      <c r="H3" t="s">
        <v>920</v>
      </c>
      <c r="I3" t="s">
        <v>920</v>
      </c>
      <c r="J3" t="s">
        <v>920</v>
      </c>
      <c r="K3" t="s">
        <v>920</v>
      </c>
      <c r="L3" t="s">
        <v>920</v>
      </c>
      <c r="M3" t="s">
        <v>920</v>
      </c>
      <c r="N3" t="s">
        <v>920</v>
      </c>
      <c r="O3" t="s">
        <v>920</v>
      </c>
      <c r="P3" t="s">
        <v>920</v>
      </c>
      <c r="Q3" t="s">
        <v>920</v>
      </c>
      <c r="R3" t="s">
        <v>920</v>
      </c>
      <c r="S3" t="s">
        <v>920</v>
      </c>
      <c r="T3" t="s">
        <v>920</v>
      </c>
    </row>
    <row r="4" spans="1:20">
      <c r="A4" s="455" t="s">
        <v>879</v>
      </c>
      <c r="B4" s="457">
        <v>21</v>
      </c>
      <c r="C4">
        <v>0</v>
      </c>
      <c r="D4">
        <v>130.32743415588513</v>
      </c>
    </row>
    <row r="5" spans="1:20">
      <c r="A5" s="455" t="s">
        <v>880</v>
      </c>
      <c r="B5" s="457">
        <v>1</v>
      </c>
      <c r="C5">
        <v>0</v>
      </c>
      <c r="D5">
        <v>98.653777222944598</v>
      </c>
    </row>
    <row r="6" spans="1:20">
      <c r="A6" s="455" t="s">
        <v>881</v>
      </c>
      <c r="B6" s="457" t="b">
        <v>1</v>
      </c>
      <c r="C6" t="s">
        <v>919</v>
      </c>
      <c r="D6" t="s">
        <v>919</v>
      </c>
    </row>
    <row r="7" spans="1:20">
      <c r="A7" s="455" t="s">
        <v>882</v>
      </c>
      <c r="B7" s="457">
        <v>1</v>
      </c>
      <c r="C7">
        <v>1.8587117653372385E-3</v>
      </c>
      <c r="D7">
        <v>89.440527650304858</v>
      </c>
    </row>
    <row r="8" spans="1:20">
      <c r="A8" s="455" t="s">
        <v>883</v>
      </c>
      <c r="B8" s="457" t="b">
        <v>1</v>
      </c>
      <c r="C8">
        <v>5.4890572076344091E-3</v>
      </c>
      <c r="D8">
        <v>89.440527650304858</v>
      </c>
    </row>
    <row r="9" spans="1:20">
      <c r="A9" s="455" t="s">
        <v>884</v>
      </c>
      <c r="B9" s="457" t="b">
        <v>1</v>
      </c>
      <c r="C9">
        <v>5.4890572076344091E-3</v>
      </c>
      <c r="D9">
        <v>107.52492889466581</v>
      </c>
    </row>
    <row r="10" spans="1:20">
      <c r="A10" s="455" t="s">
        <v>885</v>
      </c>
      <c r="B10" s="457" t="b">
        <v>0</v>
      </c>
      <c r="C10">
        <v>1.8587117653372385E-3</v>
      </c>
      <c r="D10">
        <v>107.52492889466581</v>
      </c>
    </row>
    <row r="11" spans="1:20">
      <c r="A11" s="455" t="s">
        <v>886</v>
      </c>
      <c r="B11" s="457" t="b">
        <v>0</v>
      </c>
      <c r="C11">
        <v>1.8587117653372385E-3</v>
      </c>
      <c r="D11">
        <v>89.440527650304858</v>
      </c>
    </row>
    <row r="12" spans="1:20">
      <c r="A12" s="455" t="s">
        <v>887</v>
      </c>
      <c r="B12" s="457" t="s">
        <v>940</v>
      </c>
      <c r="C12" t="s">
        <v>919</v>
      </c>
      <c r="D12" t="s">
        <v>919</v>
      </c>
    </row>
    <row r="13" spans="1:20">
      <c r="A13" s="455" t="s">
        <v>888</v>
      </c>
      <c r="B13" s="457" t="b">
        <v>1</v>
      </c>
      <c r="C13">
        <v>5.4890572076344091E-3</v>
      </c>
      <c r="D13">
        <v>46.210385780710737</v>
      </c>
    </row>
    <row r="14" spans="1:20">
      <c r="A14" s="455" t="s">
        <v>889</v>
      </c>
      <c r="B14" s="457" t="b">
        <v>0</v>
      </c>
      <c r="C14">
        <v>1.1954585523811569E-2</v>
      </c>
      <c r="D14">
        <v>46.210385780710737</v>
      </c>
    </row>
    <row r="15" spans="1:20">
      <c r="A15" s="455" t="s">
        <v>890</v>
      </c>
      <c r="B15" s="457" t="b">
        <v>0</v>
      </c>
      <c r="C15">
        <v>1.1954585523811569E-2</v>
      </c>
      <c r="D15">
        <v>54.751146126424487</v>
      </c>
    </row>
    <row r="16" spans="1:20">
      <c r="A16" s="455" t="s">
        <v>891</v>
      </c>
      <c r="B16" s="457">
        <v>1</v>
      </c>
      <c r="C16">
        <v>5.4890572076344091E-3</v>
      </c>
      <c r="D16">
        <v>54.751146126424487</v>
      </c>
    </row>
    <row r="17" spans="3:4">
      <c r="C17">
        <v>5.4890572076344091E-3</v>
      </c>
      <c r="D17">
        <v>46.210385780710737</v>
      </c>
    </row>
    <row r="18" spans="3:4">
      <c r="C18" t="s">
        <v>919</v>
      </c>
      <c r="D18" t="s">
        <v>919</v>
      </c>
    </row>
    <row r="19" spans="3:4">
      <c r="C19">
        <v>1.1954585523811569E-2</v>
      </c>
      <c r="D19">
        <v>47.018903777424526</v>
      </c>
    </row>
    <row r="20" spans="3:4">
      <c r="C20">
        <v>3.0883491496965648E-2</v>
      </c>
      <c r="D20">
        <v>47.018903777424526</v>
      </c>
    </row>
    <row r="21" spans="3:4">
      <c r="C21">
        <v>3.0883491496965648E-2</v>
      </c>
      <c r="D21">
        <v>53.309729012129765</v>
      </c>
    </row>
    <row r="22" spans="3:4">
      <c r="C22">
        <v>1.1954585523811569E-2</v>
      </c>
      <c r="D22">
        <v>53.309729012129765</v>
      </c>
    </row>
    <row r="23" spans="3:4">
      <c r="C23">
        <v>1.1954585523811569E-2</v>
      </c>
      <c r="D23">
        <v>47.018903777424526</v>
      </c>
    </row>
    <row r="24" spans="3:4">
      <c r="C24" t="s">
        <v>919</v>
      </c>
      <c r="D24" t="s">
        <v>919</v>
      </c>
    </row>
    <row r="25" spans="3:4">
      <c r="C25">
        <v>3.0883491496965648E-2</v>
      </c>
      <c r="D25">
        <v>82.849668573531659</v>
      </c>
    </row>
    <row r="26" spans="3:4">
      <c r="C26">
        <v>6.2776589454688031E-2</v>
      </c>
      <c r="D26">
        <v>82.849668573531659</v>
      </c>
    </row>
    <row r="27" spans="3:4">
      <c r="C27">
        <v>6.2776589454688031E-2</v>
      </c>
      <c r="D27">
        <v>93.034772800798862</v>
      </c>
    </row>
    <row r="28" spans="3:4">
      <c r="C28">
        <v>3.0883491496965648E-2</v>
      </c>
      <c r="D28">
        <v>93.034772800798862</v>
      </c>
    </row>
    <row r="29" spans="3:4">
      <c r="C29">
        <v>3.0883491496965648E-2</v>
      </c>
      <c r="D29">
        <v>82.849668573531659</v>
      </c>
    </row>
    <row r="30" spans="3:4">
      <c r="C30" t="s">
        <v>919</v>
      </c>
      <c r="D30" t="s">
        <v>919</v>
      </c>
    </row>
    <row r="31" spans="3:4">
      <c r="C31">
        <v>6.2776589454688031E-2</v>
      </c>
      <c r="D31">
        <v>126.78603842756426</v>
      </c>
    </row>
    <row r="32" spans="3:4">
      <c r="C32">
        <v>0.11399650899773749</v>
      </c>
      <c r="D32">
        <v>126.78603842756426</v>
      </c>
    </row>
    <row r="33" spans="3:4">
      <c r="C33">
        <v>0.11399650899773749</v>
      </c>
      <c r="D33">
        <v>142.12507802753282</v>
      </c>
    </row>
    <row r="34" spans="3:4">
      <c r="C34">
        <v>6.2776589454688031E-2</v>
      </c>
      <c r="D34">
        <v>142.12507802753282</v>
      </c>
    </row>
    <row r="35" spans="3:4">
      <c r="C35">
        <v>6.2776589454688031E-2</v>
      </c>
      <c r="D35">
        <v>126.78603842756426</v>
      </c>
    </row>
    <row r="36" spans="3:4">
      <c r="C36" t="s">
        <v>919</v>
      </c>
      <c r="D36" t="s">
        <v>919</v>
      </c>
    </row>
    <row r="37" spans="3:4">
      <c r="C37">
        <v>0.11399650899773749</v>
      </c>
      <c r="D37">
        <v>166.15600886795926</v>
      </c>
    </row>
    <row r="38" spans="3:4">
      <c r="C38">
        <v>0.17193647400709805</v>
      </c>
      <c r="D38">
        <v>166.15600886795926</v>
      </c>
    </row>
    <row r="39" spans="3:4">
      <c r="C39">
        <v>0.17193647400709805</v>
      </c>
      <c r="D39">
        <v>186.00165077536172</v>
      </c>
    </row>
    <row r="40" spans="3:4">
      <c r="C40">
        <v>0.11399650899773749</v>
      </c>
      <c r="D40">
        <v>186.00165077536172</v>
      </c>
    </row>
    <row r="41" spans="3:4">
      <c r="C41">
        <v>0.11399650899773749</v>
      </c>
      <c r="D41">
        <v>166.15600886795926</v>
      </c>
    </row>
    <row r="42" spans="3:4">
      <c r="C42" t="s">
        <v>919</v>
      </c>
      <c r="D42" t="s">
        <v>919</v>
      </c>
    </row>
    <row r="43" spans="3:4">
      <c r="C43">
        <v>0.17193647400709805</v>
      </c>
      <c r="D43">
        <v>217.00366203677979</v>
      </c>
    </row>
    <row r="44" spans="3:4">
      <c r="C44">
        <v>0.25383381586574899</v>
      </c>
      <c r="D44">
        <v>217.00366203677979</v>
      </c>
    </row>
    <row r="45" spans="3:4">
      <c r="C45">
        <v>0.25383381586574899</v>
      </c>
      <c r="D45">
        <v>242.51278349714161</v>
      </c>
    </row>
    <row r="46" spans="3:4">
      <c r="C46">
        <v>0.17193647400709805</v>
      </c>
      <c r="D46">
        <v>242.51278349714161</v>
      </c>
    </row>
    <row r="47" spans="3:4">
      <c r="C47">
        <v>0.17193647400709805</v>
      </c>
      <c r="D47">
        <v>217.00366203677979</v>
      </c>
    </row>
    <row r="48" spans="3:4">
      <c r="C48" t="s">
        <v>919</v>
      </c>
      <c r="D48" t="s">
        <v>919</v>
      </c>
    </row>
    <row r="49" spans="3:4">
      <c r="C49">
        <v>0.25383381586574899</v>
      </c>
      <c r="D49">
        <v>288.33319497882258</v>
      </c>
    </row>
    <row r="50" spans="3:4">
      <c r="C50">
        <v>0.34800368408605703</v>
      </c>
      <c r="D50">
        <v>288.33319497882258</v>
      </c>
    </row>
    <row r="51" spans="3:4">
      <c r="C51">
        <v>0.34800368408605703</v>
      </c>
      <c r="D51">
        <v>321.49264113070774</v>
      </c>
    </row>
    <row r="52" spans="3:4">
      <c r="C52">
        <v>0.25383381586574899</v>
      </c>
      <c r="D52">
        <v>321.49264113070774</v>
      </c>
    </row>
    <row r="53" spans="3:4">
      <c r="C53">
        <v>0.25383381586574899</v>
      </c>
      <c r="D53">
        <v>288.33319497882258</v>
      </c>
    </row>
    <row r="54" spans="3:4">
      <c r="C54" t="s">
        <v>919</v>
      </c>
      <c r="D54" t="s">
        <v>919</v>
      </c>
    </row>
    <row r="55" spans="3:4">
      <c r="C55">
        <v>0.34800368408605703</v>
      </c>
      <c r="D55">
        <v>351.11890290661125</v>
      </c>
    </row>
    <row r="56" spans="3:4">
      <c r="C56">
        <v>0.45208076073068937</v>
      </c>
      <c r="D56">
        <v>351.11890290661125</v>
      </c>
    </row>
    <row r="57" spans="3:4">
      <c r="C57">
        <v>0.45208076073068937</v>
      </c>
      <c r="D57">
        <v>390.75685310338082</v>
      </c>
    </row>
    <row r="58" spans="3:4">
      <c r="C58">
        <v>0.34800368408605703</v>
      </c>
      <c r="D58">
        <v>390.75685310338082</v>
      </c>
    </row>
    <row r="59" spans="3:4">
      <c r="C59">
        <v>0.34800368408605703</v>
      </c>
      <c r="D59">
        <v>351.11890290661125</v>
      </c>
    </row>
    <row r="60" spans="3:4">
      <c r="C60" t="s">
        <v>919</v>
      </c>
      <c r="D60" t="s">
        <v>919</v>
      </c>
    </row>
    <row r="61" spans="3:4">
      <c r="C61">
        <v>0.45208076073068937</v>
      </c>
      <c r="D61">
        <v>367.61316614088571</v>
      </c>
    </row>
    <row r="62" spans="3:4">
      <c r="C62">
        <v>0.58018209334137194</v>
      </c>
      <c r="D62">
        <v>367.61316614088571</v>
      </c>
    </row>
    <row r="63" spans="3:4">
      <c r="C63">
        <v>0.58018209334137194</v>
      </c>
      <c r="D63">
        <v>408.90139751010577</v>
      </c>
    </row>
    <row r="64" spans="3:4">
      <c r="C64">
        <v>0.45208076073068937</v>
      </c>
      <c r="D64">
        <v>408.90139751010577</v>
      </c>
    </row>
    <row r="65" spans="3:4">
      <c r="C65">
        <v>0.45208076073068937</v>
      </c>
      <c r="D65">
        <v>367.61316614088571</v>
      </c>
    </row>
    <row r="66" spans="3:4">
      <c r="C66" t="s">
        <v>919</v>
      </c>
      <c r="D66" t="s">
        <v>919</v>
      </c>
    </row>
    <row r="67" spans="3:4">
      <c r="C67">
        <v>0.58018209334137194</v>
      </c>
      <c r="D67">
        <v>412.76962689728134</v>
      </c>
    </row>
    <row r="68" spans="3:4">
      <c r="C68">
        <v>0.70943012215154744</v>
      </c>
      <c r="D68">
        <v>412.76962689728134</v>
      </c>
    </row>
    <row r="69" spans="3:4">
      <c r="C69">
        <v>0.70943012215154744</v>
      </c>
      <c r="D69">
        <v>458.52262813567097</v>
      </c>
    </row>
    <row r="70" spans="3:4">
      <c r="C70">
        <v>0.58018209334137194</v>
      </c>
      <c r="D70">
        <v>458.52262813567097</v>
      </c>
    </row>
    <row r="71" spans="3:4">
      <c r="C71">
        <v>0.58018209334137194</v>
      </c>
      <c r="D71">
        <v>412.76962689728134</v>
      </c>
    </row>
    <row r="72" spans="3:4">
      <c r="C72" t="s">
        <v>919</v>
      </c>
      <c r="D72" t="s">
        <v>919</v>
      </c>
    </row>
    <row r="73" spans="3:4">
      <c r="C73">
        <v>0.70943012215154744</v>
      </c>
      <c r="D73">
        <v>424.45651394599872</v>
      </c>
    </row>
    <row r="74" spans="3:4">
      <c r="C74">
        <v>0.82442410588842274</v>
      </c>
      <c r="D74">
        <v>424.45651394599872</v>
      </c>
    </row>
    <row r="75" spans="3:4">
      <c r="C75">
        <v>0.82442410588842274</v>
      </c>
      <c r="D75">
        <v>471.33783648278529</v>
      </c>
    </row>
    <row r="76" spans="3:4">
      <c r="C76">
        <v>0.70943012215154744</v>
      </c>
      <c r="D76">
        <v>471.33783648278529</v>
      </c>
    </row>
    <row r="77" spans="3:4">
      <c r="C77">
        <v>0.70943012215154744</v>
      </c>
      <c r="D77">
        <v>424.45651394599872</v>
      </c>
    </row>
    <row r="78" spans="3:4">
      <c r="C78" t="s">
        <v>919</v>
      </c>
      <c r="D78" t="s">
        <v>919</v>
      </c>
    </row>
    <row r="79" spans="3:4">
      <c r="C79">
        <v>0.82442410588842274</v>
      </c>
      <c r="D79">
        <v>400.66459872524052</v>
      </c>
    </row>
    <row r="80" spans="3:4">
      <c r="C80">
        <v>0.88675439006158496</v>
      </c>
      <c r="D80">
        <v>400.66459872524052</v>
      </c>
    </row>
    <row r="81" spans="3:4">
      <c r="C81">
        <v>0.88675439006158496</v>
      </c>
      <c r="D81">
        <v>445.50989509160758</v>
      </c>
    </row>
    <row r="82" spans="3:4">
      <c r="C82">
        <v>0.82442410588842274</v>
      </c>
      <c r="D82">
        <v>445.50989509160758</v>
      </c>
    </row>
    <row r="83" spans="3:4">
      <c r="C83">
        <v>0.82442410588842274</v>
      </c>
      <c r="D83">
        <v>400.66459872524052</v>
      </c>
    </row>
    <row r="84" spans="3:4">
      <c r="C84" t="s">
        <v>919</v>
      </c>
      <c r="D84" t="s">
        <v>919</v>
      </c>
    </row>
    <row r="85" spans="3:4">
      <c r="C85">
        <v>0.88675439006158496</v>
      </c>
      <c r="D85">
        <v>422.27797115269209</v>
      </c>
    </row>
    <row r="86" spans="3:4">
      <c r="C86">
        <v>0.89812963462063133</v>
      </c>
      <c r="D86">
        <v>422.27797115269209</v>
      </c>
    </row>
    <row r="87" spans="3:4">
      <c r="C87">
        <v>0.89812963462063133</v>
      </c>
      <c r="D87">
        <v>469.96094237062425</v>
      </c>
    </row>
    <row r="88" spans="3:4">
      <c r="C88">
        <v>0.88675439006158496</v>
      </c>
      <c r="D88">
        <v>469.96094237062425</v>
      </c>
    </row>
    <row r="89" spans="3:4">
      <c r="C89">
        <v>0.88675439006158496</v>
      </c>
      <c r="D89">
        <v>422.27797115269209</v>
      </c>
    </row>
    <row r="90" spans="3:4">
      <c r="C90" t="s">
        <v>919</v>
      </c>
      <c r="D90" t="s">
        <v>919</v>
      </c>
    </row>
    <row r="91" spans="3:4">
      <c r="C91">
        <v>0.89812963462063133</v>
      </c>
      <c r="D91">
        <v>419.23391531297625</v>
      </c>
    </row>
    <row r="92" spans="3:4">
      <c r="C92">
        <v>0.90449265159644265</v>
      </c>
      <c r="D92">
        <v>419.23391531297625</v>
      </c>
    </row>
    <row r="93" spans="3:4">
      <c r="C93">
        <v>0.90449265159644265</v>
      </c>
      <c r="D93">
        <v>468.72012568533398</v>
      </c>
    </row>
    <row r="94" spans="3:4">
      <c r="C94">
        <v>0.89812963462063133</v>
      </c>
      <c r="D94">
        <v>468.72012568533398</v>
      </c>
    </row>
    <row r="95" spans="3:4">
      <c r="C95">
        <v>0.89812963462063133</v>
      </c>
      <c r="D95">
        <v>419.23391531297625</v>
      </c>
    </row>
    <row r="96" spans="3:4">
      <c r="C96" t="s">
        <v>919</v>
      </c>
      <c r="D96" t="s">
        <v>919</v>
      </c>
    </row>
    <row r="97" spans="3:4">
      <c r="C97">
        <v>0.90449265159644265</v>
      </c>
      <c r="D97">
        <v>458.71297646193244</v>
      </c>
    </row>
    <row r="98" spans="3:4">
      <c r="C98">
        <v>0.90840896871508758</v>
      </c>
      <c r="D98">
        <v>458.71297646193244</v>
      </c>
    </row>
    <row r="99" spans="3:4">
      <c r="C99">
        <v>0.90840896871508758</v>
      </c>
      <c r="D99">
        <v>515.42332718143507</v>
      </c>
    </row>
    <row r="100" spans="3:4">
      <c r="C100">
        <v>0.90449265159644265</v>
      </c>
      <c r="D100">
        <v>515.42332718143507</v>
      </c>
    </row>
    <row r="101" spans="3:4">
      <c r="C101">
        <v>0.90449265159644265</v>
      </c>
      <c r="D101">
        <v>458.71297646193244</v>
      </c>
    </row>
    <row r="102" spans="3:4">
      <c r="C102" t="s">
        <v>919</v>
      </c>
      <c r="D102" t="s">
        <v>919</v>
      </c>
    </row>
    <row r="103" spans="3:4">
      <c r="C103">
        <v>0.90840896871508758</v>
      </c>
      <c r="D103">
        <v>464.31348226161447</v>
      </c>
    </row>
    <row r="104" spans="3:4">
      <c r="C104">
        <v>0.91162499814627829</v>
      </c>
      <c r="D104">
        <v>464.31348226161447</v>
      </c>
    </row>
    <row r="105" spans="3:4">
      <c r="C105">
        <v>0.91162499814627829</v>
      </c>
      <c r="D105">
        <v>526.44466661262129</v>
      </c>
    </row>
    <row r="106" spans="3:4">
      <c r="C106">
        <v>0.90840896871508758</v>
      </c>
      <c r="D106">
        <v>526.44466661262129</v>
      </c>
    </row>
    <row r="107" spans="3:4">
      <c r="C107">
        <v>0.90840896871508758</v>
      </c>
      <c r="D107">
        <v>464.31348226161447</v>
      </c>
    </row>
    <row r="108" spans="3:4">
      <c r="C108" t="s">
        <v>919</v>
      </c>
      <c r="D108" t="s">
        <v>919</v>
      </c>
    </row>
    <row r="109" spans="3:4">
      <c r="C109">
        <v>0.91162499814627829</v>
      </c>
      <c r="D109">
        <v>454.10686725332607</v>
      </c>
    </row>
    <row r="110" spans="3:4">
      <c r="C110">
        <v>0.93515506593787245</v>
      </c>
      <c r="D110">
        <v>454.10686725332607</v>
      </c>
    </row>
    <row r="111" spans="3:4">
      <c r="C111">
        <v>0.93515506593787245</v>
      </c>
      <c r="D111">
        <v>504.05031958902543</v>
      </c>
    </row>
    <row r="112" spans="3:4">
      <c r="C112">
        <v>0.91162499814627829</v>
      </c>
      <c r="D112">
        <v>504.05031958902543</v>
      </c>
    </row>
    <row r="113" spans="3:4">
      <c r="C113">
        <v>0.91162499814627829</v>
      </c>
      <c r="D113">
        <v>454.10686725332607</v>
      </c>
    </row>
    <row r="114" spans="3:4">
      <c r="C114" t="s">
        <v>919</v>
      </c>
      <c r="D114" t="s">
        <v>919</v>
      </c>
    </row>
    <row r="115" spans="3:4">
      <c r="C115">
        <v>0.93515506593787245</v>
      </c>
      <c r="D115">
        <v>461.97372891276063</v>
      </c>
    </row>
    <row r="116" spans="3:4">
      <c r="C116">
        <v>1</v>
      </c>
      <c r="D116">
        <v>461.97372891276063</v>
      </c>
    </row>
    <row r="117" spans="3:4">
      <c r="C117">
        <v>1</v>
      </c>
      <c r="D117">
        <v>512.47032640982252</v>
      </c>
    </row>
    <row r="118" spans="3:4">
      <c r="C118">
        <v>0.93515506593787245</v>
      </c>
      <c r="D118">
        <v>512.47032640982252</v>
      </c>
    </row>
    <row r="119" spans="3:4">
      <c r="C119">
        <v>0.93515506593787245</v>
      </c>
      <c r="D119">
        <v>461.97372891276063</v>
      </c>
    </row>
    <row r="120" spans="3:4">
      <c r="C120" t="s">
        <v>919</v>
      </c>
      <c r="D120" t="s">
        <v>919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22"/>
  <sheetViews>
    <sheetView workbookViewId="0"/>
  </sheetViews>
  <sheetFormatPr defaultRowHeight="14.4"/>
  <cols>
    <col min="1" max="1" width="14.88671875" style="455" bestFit="1" customWidth="1"/>
    <col min="2" max="2" width="16.33203125" style="456" bestFit="1" customWidth="1"/>
  </cols>
  <sheetData>
    <row r="1" spans="1:6">
      <c r="A1" s="455" t="s">
        <v>876</v>
      </c>
      <c r="B1" s="456" t="s">
        <v>918</v>
      </c>
      <c r="C1">
        <v>2.2137032269066909E-3</v>
      </c>
      <c r="D1">
        <v>3.3894796266796708E-3</v>
      </c>
      <c r="E1">
        <v>2.6423793768965552E-2</v>
      </c>
      <c r="F1">
        <v>4.4999999999999997E-3</v>
      </c>
    </row>
    <row r="2" spans="1:6">
      <c r="A2" s="455" t="s">
        <v>877</v>
      </c>
      <c r="B2" s="456" t="s">
        <v>941</v>
      </c>
      <c r="C2">
        <v>5.0434590969022823E-3</v>
      </c>
      <c r="D2">
        <v>3.1639130055788741E-3</v>
      </c>
      <c r="E2">
        <v>3.0600051059867468E-2</v>
      </c>
      <c r="F2">
        <v>0</v>
      </c>
    </row>
    <row r="3" spans="1:6">
      <c r="A3" s="455" t="s">
        <v>878</v>
      </c>
      <c r="B3" s="457">
        <v>2</v>
      </c>
      <c r="C3">
        <v>1.2647631309521306E-2</v>
      </c>
      <c r="D3">
        <v>2.9112655482866185E-3</v>
      </c>
    </row>
    <row r="4" spans="1:6">
      <c r="A4" s="455" t="s">
        <v>879</v>
      </c>
      <c r="B4" s="457">
        <v>7</v>
      </c>
      <c r="C4">
        <v>5.0034515431847053E-2</v>
      </c>
      <c r="D4">
        <v>2.4380610450192878E-3</v>
      </c>
    </row>
    <row r="5" spans="1:6">
      <c r="A5" s="455" t="s">
        <v>880</v>
      </c>
      <c r="B5" s="457">
        <v>2</v>
      </c>
      <c r="C5">
        <v>9.9787490118436614E-2</v>
      </c>
      <c r="D5">
        <v>1.5093434441597012E-3</v>
      </c>
    </row>
    <row r="6" spans="1:6">
      <c r="A6" s="455" t="s">
        <v>881</v>
      </c>
      <c r="B6" s="457" t="b">
        <v>1</v>
      </c>
      <c r="C6">
        <v>8.3862542199356238E-2</v>
      </c>
      <c r="D6">
        <v>6.1960151037894538E-4</v>
      </c>
    </row>
    <row r="7" spans="1:6">
      <c r="A7" s="455" t="s">
        <v>882</v>
      </c>
      <c r="B7" s="457">
        <v>5</v>
      </c>
      <c r="C7">
        <v>6.1326998269099778E-2</v>
      </c>
      <c r="D7">
        <v>2.5266254026967645E-4</v>
      </c>
    </row>
    <row r="8" spans="1:6">
      <c r="A8" s="455" t="s">
        <v>883</v>
      </c>
      <c r="B8" s="457" t="b">
        <v>1</v>
      </c>
      <c r="C8">
        <v>4.7602616048107567E-2</v>
      </c>
      <c r="D8">
        <v>1.6348500745415526E-4</v>
      </c>
    </row>
    <row r="9" spans="1:6">
      <c r="A9" s="455" t="s">
        <v>884</v>
      </c>
      <c r="B9" s="457" t="b">
        <v>1</v>
      </c>
      <c r="C9">
        <v>3.6852796614464098E-2</v>
      </c>
      <c r="D9">
        <v>8.0921516279352067E-5</v>
      </c>
    </row>
    <row r="10" spans="1:6">
      <c r="A10" s="455" t="s">
        <v>885</v>
      </c>
      <c r="B10" s="457" t="b">
        <v>0</v>
      </c>
      <c r="C10">
        <v>2.7516713385399776E-2</v>
      </c>
      <c r="D10">
        <v>4.0280522799752688E-5</v>
      </c>
    </row>
    <row r="11" spans="1:6">
      <c r="A11" s="455" t="s">
        <v>886</v>
      </c>
      <c r="B11" s="457" t="b">
        <v>0</v>
      </c>
      <c r="C11">
        <v>2.2296592986992426E-2</v>
      </c>
      <c r="D11">
        <v>2.5064490598759889E-5</v>
      </c>
    </row>
    <row r="12" spans="1:6">
      <c r="A12" s="455" t="s">
        <v>887</v>
      </c>
      <c r="B12" s="457" t="s">
        <v>942</v>
      </c>
      <c r="C12">
        <v>2.1209287581821813E-2</v>
      </c>
      <c r="D12">
        <v>2.300500252101414E-5</v>
      </c>
    </row>
    <row r="13" spans="1:6">
      <c r="A13" s="455" t="s">
        <v>888</v>
      </c>
      <c r="B13" s="457" t="b">
        <v>1</v>
      </c>
      <c r="C13">
        <v>1.871439843561375E-2</v>
      </c>
      <c r="D13">
        <v>1.0663632685259659E-5</v>
      </c>
    </row>
    <row r="14" spans="1:6">
      <c r="A14" s="455" t="s">
        <v>889</v>
      </c>
      <c r="B14" s="457" t="b">
        <v>0</v>
      </c>
      <c r="C14">
        <v>1.8125895626955602E-2</v>
      </c>
      <c r="D14">
        <v>1.2957652292486789E-5</v>
      </c>
    </row>
    <row r="15" spans="1:6">
      <c r="A15" s="455" t="s">
        <v>890</v>
      </c>
      <c r="B15" s="457" t="b">
        <v>0</v>
      </c>
      <c r="C15">
        <v>1.9270642143339071E-2</v>
      </c>
      <c r="D15">
        <v>2.2736027154848798E-5</v>
      </c>
    </row>
    <row r="16" spans="1:6">
      <c r="A16" s="455" t="s">
        <v>891</v>
      </c>
      <c r="B16" s="457">
        <v>1</v>
      </c>
      <c r="C16">
        <v>1.8162335887082662E-2</v>
      </c>
      <c r="D16">
        <v>2.1315001794219285E-5</v>
      </c>
    </row>
    <row r="17" spans="3:4">
      <c r="C17">
        <v>1.8284442318489372E-2</v>
      </c>
      <c r="D17">
        <v>1.7049220444651302E-5</v>
      </c>
    </row>
    <row r="18" spans="3:4">
      <c r="C18">
        <v>1.6505677630550962E-2</v>
      </c>
      <c r="D18">
        <v>7.7589534046147228E-6</v>
      </c>
    </row>
    <row r="19" spans="3:4">
      <c r="C19">
        <v>1.6255560789522203E-2</v>
      </c>
      <c r="D19">
        <v>-5.9783101360891235E-6</v>
      </c>
    </row>
    <row r="20" spans="3:4">
      <c r="C20">
        <v>1.6766981562534936E-2</v>
      </c>
      <c r="D20">
        <v>1.8370778523150794E-5</v>
      </c>
    </row>
    <row r="21" spans="3:4">
      <c r="C21">
        <v>1.6439297348310383E-2</v>
      </c>
      <c r="D21">
        <v>2.0124986747379283E-5</v>
      </c>
    </row>
    <row r="22" spans="3:4">
      <c r="C22" t="s">
        <v>875</v>
      </c>
      <c r="D22" t="s">
        <v>875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17"/>
  <sheetViews>
    <sheetView workbookViewId="0"/>
  </sheetViews>
  <sheetFormatPr defaultRowHeight="14.4"/>
  <cols>
    <col min="1" max="1" width="14.88671875" style="455" bestFit="1" customWidth="1"/>
    <col min="2" max="2" width="16.33203125" style="456" bestFit="1" customWidth="1"/>
  </cols>
  <sheetData>
    <row r="1" spans="1:6">
      <c r="A1" s="455" t="s">
        <v>876</v>
      </c>
      <c r="B1" s="456" t="s">
        <v>918</v>
      </c>
      <c r="C1">
        <v>8.3862542199356238E-2</v>
      </c>
      <c r="D1">
        <v>6.1960151037894538E-4</v>
      </c>
      <c r="E1">
        <v>1.8615946925339071E-2</v>
      </c>
      <c r="F1">
        <v>0</v>
      </c>
    </row>
    <row r="2" spans="1:6">
      <c r="A2" s="455" t="s">
        <v>877</v>
      </c>
      <c r="B2" s="456" t="s">
        <v>943</v>
      </c>
      <c r="C2">
        <v>6.1326998269099778E-2</v>
      </c>
      <c r="D2">
        <v>2.5266254026967645E-4</v>
      </c>
      <c r="E2">
        <v>0.1</v>
      </c>
      <c r="F2">
        <v>6.7090548078665166E-4</v>
      </c>
    </row>
    <row r="3" spans="1:6">
      <c r="A3" s="455" t="s">
        <v>878</v>
      </c>
      <c r="B3" s="457">
        <v>2</v>
      </c>
      <c r="C3">
        <v>4.7602616048107567E-2</v>
      </c>
      <c r="D3">
        <v>1.6348500745415526E-4</v>
      </c>
    </row>
    <row r="4" spans="1:6">
      <c r="A4" s="455" t="s">
        <v>879</v>
      </c>
      <c r="B4" s="457">
        <v>7</v>
      </c>
      <c r="C4">
        <v>3.6852796614464098E-2</v>
      </c>
      <c r="D4">
        <v>8.0921516279352067E-5</v>
      </c>
    </row>
    <row r="5" spans="1:6">
      <c r="A5" s="455" t="s">
        <v>880</v>
      </c>
      <c r="B5" s="457">
        <v>2</v>
      </c>
      <c r="C5">
        <v>2.7516713385399776E-2</v>
      </c>
      <c r="D5">
        <v>4.0280522799752688E-5</v>
      </c>
    </row>
    <row r="6" spans="1:6">
      <c r="A6" s="455" t="s">
        <v>881</v>
      </c>
      <c r="B6" s="457" t="b">
        <v>1</v>
      </c>
      <c r="C6">
        <v>2.2296592986992426E-2</v>
      </c>
      <c r="D6">
        <v>2.5064490598759889E-5</v>
      </c>
    </row>
    <row r="7" spans="1:6">
      <c r="A7" s="455" t="s">
        <v>882</v>
      </c>
      <c r="B7" s="457">
        <v>5</v>
      </c>
      <c r="C7">
        <v>2.1209287581821813E-2</v>
      </c>
      <c r="D7">
        <v>2.300500252101414E-5</v>
      </c>
    </row>
    <row r="8" spans="1:6">
      <c r="A8" s="455" t="s">
        <v>883</v>
      </c>
      <c r="B8" s="457" t="b">
        <v>1</v>
      </c>
      <c r="C8">
        <v>1.871439843561375E-2</v>
      </c>
      <c r="D8">
        <v>1.0663632685259659E-5</v>
      </c>
    </row>
    <row r="9" spans="1:6">
      <c r="A9" s="455" t="s">
        <v>884</v>
      </c>
      <c r="B9" s="457" t="b">
        <v>1</v>
      </c>
      <c r="C9">
        <v>1.8125895626955602E-2</v>
      </c>
      <c r="D9">
        <v>1.2957652292486789E-5</v>
      </c>
    </row>
    <row r="10" spans="1:6">
      <c r="A10" s="455" t="s">
        <v>885</v>
      </c>
      <c r="B10" s="457" t="b">
        <v>0</v>
      </c>
      <c r="C10">
        <v>1.9270642143339071E-2</v>
      </c>
      <c r="D10">
        <v>2.2736027154848798E-5</v>
      </c>
    </row>
    <row r="11" spans="1:6">
      <c r="A11" s="455" t="s">
        <v>886</v>
      </c>
      <c r="B11" s="457" t="b">
        <v>0</v>
      </c>
      <c r="C11">
        <v>1.8162335887082662E-2</v>
      </c>
      <c r="D11">
        <v>2.1315001794219285E-5</v>
      </c>
    </row>
    <row r="12" spans="1:6">
      <c r="A12" s="455" t="s">
        <v>887</v>
      </c>
      <c r="B12" s="457" t="s">
        <v>944</v>
      </c>
      <c r="C12">
        <v>1.8284442318489372E-2</v>
      </c>
      <c r="D12">
        <v>1.7049220444651302E-5</v>
      </c>
    </row>
    <row r="13" spans="1:6">
      <c r="A13" s="455" t="s">
        <v>888</v>
      </c>
      <c r="B13" s="457" t="b">
        <v>1</v>
      </c>
      <c r="C13">
        <v>1.6505677630550962E-2</v>
      </c>
      <c r="D13">
        <v>7.7589534046147228E-6</v>
      </c>
    </row>
    <row r="14" spans="1:6">
      <c r="A14" s="455" t="s">
        <v>889</v>
      </c>
      <c r="B14" s="457" t="b">
        <v>0</v>
      </c>
      <c r="C14">
        <v>1.6255560789522203E-2</v>
      </c>
      <c r="D14">
        <v>-5.9783101360891235E-6</v>
      </c>
    </row>
    <row r="15" spans="1:6">
      <c r="A15" s="455" t="s">
        <v>890</v>
      </c>
      <c r="B15" s="457" t="b">
        <v>0</v>
      </c>
      <c r="C15">
        <v>1.6766981562534936E-2</v>
      </c>
      <c r="D15">
        <v>1.8370778523150794E-5</v>
      </c>
    </row>
    <row r="16" spans="1:6">
      <c r="A16" s="455" t="s">
        <v>891</v>
      </c>
      <c r="B16" s="457">
        <v>1</v>
      </c>
      <c r="C16">
        <v>1.6439297348310383E-2</v>
      </c>
      <c r="D16">
        <v>2.0124986747379283E-5</v>
      </c>
    </row>
    <row r="17" spans="3:4">
      <c r="C17" t="s">
        <v>875</v>
      </c>
      <c r="D17" t="s">
        <v>875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3303DC-B02D-4C36-A503-0D546338C382}">
  <sheetPr>
    <tabColor rgb="FFFF0000"/>
  </sheetPr>
  <dimension ref="A1:AE506"/>
  <sheetViews>
    <sheetView topLeftCell="F1" zoomScale="117" zoomScaleNormal="117" workbookViewId="0">
      <selection activeCell="R13" sqref="R13:S13"/>
    </sheetView>
  </sheetViews>
  <sheetFormatPr defaultRowHeight="14.4"/>
  <cols>
    <col min="1" max="1" width="12.109375" bestFit="1" customWidth="1"/>
    <col min="2" max="2" width="12.88671875" bestFit="1" customWidth="1"/>
    <col min="3" max="3" width="12" bestFit="1" customWidth="1"/>
    <col min="5" max="5" width="10.6640625" bestFit="1" customWidth="1"/>
    <col min="7" max="7" width="12.6640625" bestFit="1" customWidth="1"/>
    <col min="8" max="9" width="12.109375" bestFit="1" customWidth="1"/>
    <col min="12" max="12" width="11.6640625" bestFit="1" customWidth="1"/>
    <col min="13" max="13" width="11.33203125" bestFit="1" customWidth="1"/>
    <col min="17" max="17" width="10.109375" customWidth="1"/>
    <col min="18" max="18" width="12.109375" bestFit="1" customWidth="1"/>
    <col min="19" max="19" width="15.33203125" customWidth="1"/>
    <col min="23" max="23" width="11.33203125" bestFit="1" customWidth="1"/>
    <col min="27" max="28" width="9.5546875" bestFit="1" customWidth="1"/>
    <col min="29" max="29" width="12.109375" bestFit="1" customWidth="1"/>
  </cols>
  <sheetData>
    <row r="1" spans="1:31" ht="15.6">
      <c r="A1" s="286"/>
      <c r="K1" s="287"/>
      <c r="L1" s="286"/>
      <c r="M1" s="286"/>
      <c r="O1" s="296"/>
      <c r="P1" s="296"/>
      <c r="Q1" s="296"/>
      <c r="R1" s="296"/>
      <c r="S1" s="296"/>
    </row>
    <row r="2" spans="1:31" ht="15.6">
      <c r="A2" s="286"/>
      <c r="C2" s="290" t="s">
        <v>967</v>
      </c>
      <c r="E2" s="259">
        <v>44722</v>
      </c>
      <c r="K2" s="287"/>
      <c r="L2" s="286"/>
      <c r="M2" s="286"/>
      <c r="O2" s="296"/>
      <c r="P2" s="296"/>
      <c r="Q2" s="296"/>
      <c r="R2" s="296"/>
      <c r="S2" s="296"/>
    </row>
    <row r="3" spans="1:31" ht="16.2" thickBot="1">
      <c r="A3" s="286"/>
    </row>
    <row r="4" spans="1:31" ht="15.6">
      <c r="A4" s="286"/>
      <c r="C4" s="515" t="s">
        <v>915</v>
      </c>
      <c r="D4" s="516"/>
      <c r="E4" s="516"/>
      <c r="F4" s="516"/>
      <c r="G4" s="516"/>
      <c r="H4" s="516"/>
      <c r="I4" s="517"/>
      <c r="M4" s="515" t="s">
        <v>914</v>
      </c>
      <c r="N4" s="516"/>
      <c r="O4" s="516"/>
      <c r="P4" s="516"/>
      <c r="Q4" s="516"/>
      <c r="R4" s="516"/>
      <c r="S4" s="517"/>
      <c r="W4" s="515" t="s">
        <v>916</v>
      </c>
      <c r="X4" s="516"/>
      <c r="Y4" s="516"/>
      <c r="Z4" s="516"/>
      <c r="AA4" s="516"/>
      <c r="AB4" s="516"/>
      <c r="AC4" s="517"/>
    </row>
    <row r="5" spans="1:31" ht="15.6">
      <c r="A5" s="286"/>
      <c r="C5" s="518" t="s">
        <v>968</v>
      </c>
      <c r="D5" t="s">
        <v>18</v>
      </c>
      <c r="E5" t="s">
        <v>969</v>
      </c>
      <c r="F5" t="s">
        <v>970</v>
      </c>
      <c r="I5" s="519"/>
      <c r="M5" s="518" t="s">
        <v>968</v>
      </c>
      <c r="N5" t="s">
        <v>18</v>
      </c>
      <c r="O5" t="s">
        <v>969</v>
      </c>
      <c r="P5" t="s">
        <v>970</v>
      </c>
      <c r="S5" s="519"/>
      <c r="W5" s="518" t="s">
        <v>968</v>
      </c>
      <c r="X5" t="s">
        <v>18</v>
      </c>
      <c r="Y5" t="s">
        <v>969</v>
      </c>
      <c r="Z5" t="s">
        <v>970</v>
      </c>
      <c r="AC5" s="519"/>
    </row>
    <row r="6" spans="1:31" ht="15.6">
      <c r="A6" s="286"/>
      <c r="C6" s="518"/>
      <c r="F6" t="s">
        <v>971</v>
      </c>
      <c r="G6" t="s">
        <v>972</v>
      </c>
      <c r="H6" t="s">
        <v>933</v>
      </c>
      <c r="I6" s="519" t="s">
        <v>973</v>
      </c>
      <c r="J6" s="520" t="s">
        <v>974</v>
      </c>
      <c r="K6" s="520" t="s">
        <v>18</v>
      </c>
      <c r="M6" s="518"/>
      <c r="P6" t="s">
        <v>971</v>
      </c>
      <c r="Q6" t="s">
        <v>972</v>
      </c>
      <c r="R6" t="s">
        <v>933</v>
      </c>
      <c r="S6" s="519" t="s">
        <v>973</v>
      </c>
      <c r="T6" s="520" t="s">
        <v>974</v>
      </c>
      <c r="U6" s="520" t="s">
        <v>18</v>
      </c>
      <c r="W6" s="518"/>
      <c r="Z6" t="s">
        <v>971</v>
      </c>
      <c r="AA6" t="s">
        <v>972</v>
      </c>
      <c r="AB6" t="s">
        <v>933</v>
      </c>
      <c r="AC6" s="519" t="s">
        <v>973</v>
      </c>
      <c r="AD6" s="520" t="s">
        <v>974</v>
      </c>
      <c r="AE6" s="520" t="s">
        <v>18</v>
      </c>
    </row>
    <row r="7" spans="1:31" ht="15.6">
      <c r="A7" s="286"/>
      <c r="C7" s="518">
        <v>3</v>
      </c>
      <c r="D7">
        <v>4.7426911939066315E-3</v>
      </c>
      <c r="E7">
        <v>9.7091489596462922E-6</v>
      </c>
      <c r="F7" s="521">
        <v>2</v>
      </c>
      <c r="G7">
        <f>((x-x_2)*(x-x_3))/((x_1-x_2)*(x_1-x_3))*y_1</f>
        <v>5.191809678178093E-3</v>
      </c>
      <c r="H7">
        <f>((x-x_1)*(x-x_3))/((x_2-x_1)*(x_2-x_3))*y_2</f>
        <v>-5.5063410460998803E-4</v>
      </c>
      <c r="I7" s="519">
        <f>((x-x_1)*(x-x_2))/((x_3-x_1)*(x_3-x_2))*y_3</f>
        <v>1.162131311380574E-4</v>
      </c>
      <c r="J7" s="522">
        <v>1</v>
      </c>
      <c r="K7" s="522">
        <f ca="1">G13</f>
        <v>4.7343397442029091E-3</v>
      </c>
      <c r="M7" s="518">
        <v>2</v>
      </c>
      <c r="N7">
        <v>5.1652121644352933E-3</v>
      </c>
      <c r="O7">
        <v>1.1007046531671943E-5</v>
      </c>
      <c r="P7" s="521">
        <v>13</v>
      </c>
      <c r="Q7">
        <f>((P7-M8)*(P7-M9))/((M7-M8)*(M7-M9))*N7</f>
        <v>1.1342526712442367E-3</v>
      </c>
      <c r="R7">
        <f>((P7-M7)*(P7-M9))/((M8-M7)*(M8-M9))*N8</f>
        <v>4.1488479495945486E-3</v>
      </c>
      <c r="S7" s="519">
        <f>((P7-M7)*(P7-M8))/((M9-M7)*(M9-M8))*N9</f>
        <v>-3.073675916898389E-4</v>
      </c>
      <c r="T7" s="520">
        <v>1</v>
      </c>
      <c r="U7" s="520">
        <f ca="1">Q13</f>
        <v>4.975513091263423E-3</v>
      </c>
      <c r="W7" s="518">
        <v>2</v>
      </c>
      <c r="X7">
        <v>5.3121668012560807E-3</v>
      </c>
      <c r="Y7">
        <v>9.7648362394268647E-6</v>
      </c>
      <c r="Z7" s="521">
        <v>41</v>
      </c>
      <c r="AA7">
        <f>((Z7-W8)*(Z7-W9))/((W7-W8)*(W7-W9))*X7</f>
        <v>0</v>
      </c>
      <c r="AB7">
        <f>((Z7-W7)*(Z7-W9))/((W8-W7)*(W8-W9))*X8</f>
        <v>0</v>
      </c>
      <c r="AC7" s="519">
        <f>((Z7-W7)*(Z7-W8))/((W9-W7)*(W9-W8))*X9</f>
        <v>4.2112251639609289E-3</v>
      </c>
      <c r="AD7" s="520">
        <v>1</v>
      </c>
      <c r="AE7" s="520">
        <f ca="1">AA13</f>
        <v>4.1931747596618951E-3</v>
      </c>
    </row>
    <row r="8" spans="1:31" ht="15.6">
      <c r="A8" s="286"/>
      <c r="C8" s="518">
        <v>19</v>
      </c>
      <c r="D8">
        <v>4.4050728368799042E-3</v>
      </c>
      <c r="E8">
        <v>8.4571157406964633E-6</v>
      </c>
      <c r="I8" s="519"/>
      <c r="J8" s="522">
        <v>2</v>
      </c>
      <c r="K8" s="522">
        <f t="dataTable" ref="K8:K506" dt2D="0" dtr="0" r1="H13" ca="1"/>
        <v>4.7601216151433451E-3</v>
      </c>
      <c r="M8" s="518">
        <v>18</v>
      </c>
      <c r="N8">
        <v>4.8741710177054838E-3</v>
      </c>
      <c r="O8">
        <v>9.1104199141465224E-6</v>
      </c>
      <c r="S8" s="519"/>
      <c r="T8" s="520">
        <v>2</v>
      </c>
      <c r="U8" s="520">
        <f t="dataTable" ref="U8:U506" dt2D="0" dtr="0" r1="S9" ca="1"/>
        <v>4.9724181932778617E-3</v>
      </c>
      <c r="W8" s="518">
        <v>24</v>
      </c>
      <c r="X8">
        <v>4.8996499783353319E-3</v>
      </c>
      <c r="Y8">
        <v>9.0305250053169557E-6</v>
      </c>
      <c r="AC8" s="519"/>
      <c r="AD8" s="520">
        <v>2</v>
      </c>
      <c r="AE8" s="520">
        <f t="dataTable" ref="AE8:AE506" dt2D="0" dtr="0" r1="AC9" ca="1"/>
        <v>4.2058247083145497E-3</v>
      </c>
    </row>
    <row r="9" spans="1:31" ht="15.6">
      <c r="A9" s="286"/>
      <c r="C9" s="518">
        <v>36</v>
      </c>
      <c r="D9">
        <v>3.8350333275558941E-3</v>
      </c>
      <c r="E9">
        <v>7.6676428222284996E-6</v>
      </c>
      <c r="F9" s="455" t="s">
        <v>975</v>
      </c>
      <c r="G9" s="523">
        <f>SUM(G7:I7)</f>
        <v>4.7573887047061628E-3</v>
      </c>
      <c r="I9" s="519"/>
      <c r="J9" s="522">
        <v>3</v>
      </c>
      <c r="K9" s="522">
        <v>4.7645635461496336E-3</v>
      </c>
      <c r="M9" s="518">
        <v>39</v>
      </c>
      <c r="N9">
        <v>4.3422657953273601E-3</v>
      </c>
      <c r="O9">
        <v>9.2200779856894934E-6</v>
      </c>
      <c r="P9" s="455" t="s">
        <v>975</v>
      </c>
      <c r="Q9" s="524">
        <f>SUM(Q7:S7)</f>
        <v>4.9757330291489467E-3</v>
      </c>
      <c r="S9" s="519"/>
      <c r="T9" s="520">
        <v>3</v>
      </c>
      <c r="U9" s="520">
        <v>4.9736907756746818E-3</v>
      </c>
      <c r="W9" s="518">
        <v>41</v>
      </c>
      <c r="X9">
        <v>4.2112251639609289E-3</v>
      </c>
      <c r="Y9">
        <v>9.2476666105502997E-6</v>
      </c>
      <c r="Z9" s="455" t="s">
        <v>975</v>
      </c>
      <c r="AA9" s="292">
        <f>SUM(AA7:AC7)</f>
        <v>4.2112251639609289E-3</v>
      </c>
      <c r="AC9" s="519"/>
      <c r="AD9" s="520">
        <v>3</v>
      </c>
      <c r="AE9" s="520">
        <v>4.210278405407844E-3</v>
      </c>
    </row>
    <row r="10" spans="1:31" ht="15.6">
      <c r="A10" s="286"/>
      <c r="C10" s="518"/>
      <c r="I10" s="519"/>
      <c r="J10" s="522">
        <v>4</v>
      </c>
      <c r="K10" s="522">
        <v>4.7557374269528588E-3</v>
      </c>
      <c r="M10" s="518"/>
      <c r="S10" s="519"/>
      <c r="T10" s="520">
        <v>4</v>
      </c>
      <c r="U10" s="520">
        <v>4.9797044621289052E-3</v>
      </c>
      <c r="W10" s="518"/>
      <c r="AC10" s="519"/>
      <c r="AD10" s="520">
        <v>4</v>
      </c>
      <c r="AE10" s="520">
        <v>4.2032842428245034E-3</v>
      </c>
    </row>
    <row r="11" spans="1:31" ht="15.6">
      <c r="A11" s="286"/>
      <c r="C11" s="518">
        <v>3</v>
      </c>
      <c r="D11">
        <f ca="1">_xlfn.NORM.INV(RAND(),y_1,E7)</f>
        <v>4.7234521391138103E-3</v>
      </c>
      <c r="F11">
        <f>x</f>
        <v>2</v>
      </c>
      <c r="G11">
        <f ca="1">((F11-C12)*(F11-C13))/((C11-C12)*(C11-C13))*D11</f>
        <v>5.1707487431965574E-3</v>
      </c>
      <c r="H11">
        <f ca="1">((F11-C11)*(F11-C13))/((C12-C11)*(C12-C13))*D12</f>
        <v>-5.5267849321660148E-4</v>
      </c>
      <c r="I11" s="519">
        <f ca="1">((F11-C11)*(F11-C12))/((C13-C11)*(C13-C12))*D13</f>
        <v>1.1626949422295329E-4</v>
      </c>
      <c r="J11" s="522">
        <v>5</v>
      </c>
      <c r="K11" s="522">
        <v>4.7562445608477881E-3</v>
      </c>
      <c r="M11" s="518">
        <v>2</v>
      </c>
      <c r="N11">
        <f ca="1">_xlfn.NORM.INV(RAND(),N7,O7)</f>
        <v>5.1821018795471007E-3</v>
      </c>
      <c r="P11">
        <f>P7</f>
        <v>13</v>
      </c>
      <c r="Q11">
        <f ca="1">((P11-M12)*(P11-M13))/((M11-M12)*(M11-M13))*N11</f>
        <v>1.1379615613870322E-3</v>
      </c>
      <c r="R11">
        <f ca="1">((P11-M11)*(P11-M13))/((M12-M11)*(M12-M13))*N12</f>
        <v>4.1451279118889777E-3</v>
      </c>
      <c r="S11" s="519">
        <f ca="1">((P11-M11)*(P11-M12))/((M13-M11)*(M13-M12))*N13</f>
        <v>-3.0757638201258693E-4</v>
      </c>
      <c r="T11" s="520">
        <v>5</v>
      </c>
      <c r="U11" s="520">
        <v>4.9786860261243609E-3</v>
      </c>
      <c r="W11" s="518">
        <v>2</v>
      </c>
      <c r="X11">
        <f ca="1">_xlfn.NORM.INV(RAND(),X7,Y7)</f>
        <v>5.333359357248468E-3</v>
      </c>
      <c r="Z11">
        <f>Z7</f>
        <v>41</v>
      </c>
      <c r="AA11">
        <f ca="1">((Z11-W12)*(Z11-W13))/((W11-W12)*(W11-W13))*X11</f>
        <v>0</v>
      </c>
      <c r="AB11">
        <f ca="1">((Z11-W11)*(Z11-W13))/((W12-W11)*(W12-W13))*X12</f>
        <v>0</v>
      </c>
      <c r="AC11" s="519">
        <f ca="1">((Z11-W11)*(Z11-W12))/((W13-W11)*(W13-W12))*X13</f>
        <v>4.1931747596618951E-3</v>
      </c>
      <c r="AD11" s="520">
        <v>5</v>
      </c>
      <c r="AE11" s="520">
        <v>4.2117442798127579E-3</v>
      </c>
    </row>
    <row r="12" spans="1:31" ht="15.6">
      <c r="A12" s="286"/>
      <c r="C12" s="518">
        <v>19</v>
      </c>
      <c r="D12">
        <f ca="1">_xlfn.NORM.INV(RAND(),y_2,E8)</f>
        <v>4.4214279457328119E-3</v>
      </c>
      <c r="G12" s="525" t="s">
        <v>976</v>
      </c>
      <c r="H12" s="526" t="s">
        <v>977</v>
      </c>
      <c r="I12" s="527" t="s">
        <v>978</v>
      </c>
      <c r="J12" s="522">
        <v>6</v>
      </c>
      <c r="K12" s="522">
        <v>4.7595249028444765E-3</v>
      </c>
      <c r="M12" s="518">
        <v>18</v>
      </c>
      <c r="N12">
        <f ca="1">_xlfn.NORM.INV(RAND(),N8,O8)</f>
        <v>4.8698006237576806E-3</v>
      </c>
      <c r="Q12" s="525" t="s">
        <v>976</v>
      </c>
      <c r="R12" s="526" t="s">
        <v>977</v>
      </c>
      <c r="S12" s="527" t="s">
        <v>978</v>
      </c>
      <c r="T12" s="520">
        <v>6</v>
      </c>
      <c r="U12" s="520">
        <v>4.9736549201555317E-3</v>
      </c>
      <c r="W12" s="518">
        <v>24</v>
      </c>
      <c r="X12">
        <f ca="1">_xlfn.NORM.INV(RAND(),X8,Y8)</f>
        <v>4.8876443800209089E-3</v>
      </c>
      <c r="AA12" s="455" t="s">
        <v>976</v>
      </c>
      <c r="AB12" s="526" t="s">
        <v>977</v>
      </c>
      <c r="AC12" s="527" t="s">
        <v>978</v>
      </c>
      <c r="AD12" s="520">
        <v>6</v>
      </c>
      <c r="AE12" s="520">
        <v>4.2088214479011881E-3</v>
      </c>
    </row>
    <row r="13" spans="1:31" ht="15.6">
      <c r="A13" s="286"/>
      <c r="C13" s="518">
        <v>36</v>
      </c>
      <c r="D13">
        <f ca="1">_xlfn.NORM.INV(RAND(),y_3,E9)</f>
        <v>3.8368933093574586E-3</v>
      </c>
      <c r="F13" s="528"/>
      <c r="G13" s="292">
        <f ca="1">SUM(G11:I11)</f>
        <v>4.7343397442029091E-3</v>
      </c>
      <c r="H13" s="529">
        <f ca="1">AVERAGE(J1_Lagrange)</f>
        <v>4.7573717289884744E-3</v>
      </c>
      <c r="I13" s="530">
        <f ca="1">_xlfn.STDEV.S(J1_Lagrange)</f>
        <v>1.048143740340427E-5</v>
      </c>
      <c r="J13" s="522">
        <v>7</v>
      </c>
      <c r="K13" s="522">
        <v>4.7597946315592185E-3</v>
      </c>
      <c r="M13" s="518">
        <v>39</v>
      </c>
      <c r="N13">
        <f ca="1">_xlfn.NORM.INV(RAND(),N9,O9)</f>
        <v>4.345215433159637E-3</v>
      </c>
      <c r="Q13">
        <f ca="1">SUM(Q11:S11)</f>
        <v>4.975513091263423E-3</v>
      </c>
      <c r="R13" s="529">
        <f ca="1">AVERAGE(J2_Lagrange)</f>
        <v>4.9751634540865343E-3</v>
      </c>
      <c r="S13" s="531">
        <f ca="1">STDEV(J2_Lagrange)</f>
        <v>8.2144821780726291E-6</v>
      </c>
      <c r="T13" s="520">
        <v>7</v>
      </c>
      <c r="U13" s="520">
        <v>4.9733195873477134E-3</v>
      </c>
      <c r="W13" s="518">
        <v>41</v>
      </c>
      <c r="X13">
        <f ca="1">_xlfn.NORM.INV(RAND(),X9,Y9)</f>
        <v>4.1931747596618951E-3</v>
      </c>
      <c r="AA13">
        <f ca="1">SUM(AA11:AC11)</f>
        <v>4.1931747596618951E-3</v>
      </c>
      <c r="AB13" s="532">
        <f ca="1">AVERAGE(J3_Lagrange)</f>
        <v>4.2110024503906954E-3</v>
      </c>
      <c r="AC13" s="531">
        <f ca="1">STDEV(J3_Lagrange)</f>
        <v>9.1748870140382941E-6</v>
      </c>
      <c r="AD13" s="520">
        <v>7</v>
      </c>
      <c r="AE13" s="520">
        <v>4.21133294753623E-3</v>
      </c>
    </row>
    <row r="14" spans="1:31" ht="16.2" thickBot="1">
      <c r="A14" s="286"/>
      <c r="C14" s="533"/>
      <c r="D14" s="534"/>
      <c r="E14" s="534"/>
      <c r="F14" s="534"/>
      <c r="G14" s="535">
        <f ca="1">IF(G9&gt;G13,(G13/G9)*100,((G9/G13)*100))</f>
        <v>99.515512354909049</v>
      </c>
      <c r="H14" s="536">
        <f ca="1">IF(G9&gt;H13,(H13/G9)*100,((G9/H13)*100))</f>
        <v>99.999643171522408</v>
      </c>
      <c r="I14" s="537"/>
      <c r="J14" s="522">
        <v>8</v>
      </c>
      <c r="K14" s="522">
        <v>4.7696025474569716E-3</v>
      </c>
      <c r="M14" s="533"/>
      <c r="N14" s="534"/>
      <c r="O14" s="534"/>
      <c r="P14" s="534"/>
      <c r="Q14" s="535">
        <f ca="1">IF(Q9&gt;Q13,(Q13/Q9)*100,((Q9/Q13)*100))</f>
        <v>99.995579789264511</v>
      </c>
      <c r="R14" s="536">
        <f ca="1">IF(Q9&gt;R13,(R13/Q9)*100,((Q9/R13)*100))</f>
        <v>99.98855294166556</v>
      </c>
      <c r="S14" s="537"/>
      <c r="T14" s="520">
        <v>8</v>
      </c>
      <c r="U14" s="538">
        <v>4.9796513065640769E-3</v>
      </c>
      <c r="W14" s="533"/>
      <c r="X14" s="534"/>
      <c r="Y14" s="534"/>
      <c r="Z14" s="534"/>
      <c r="AA14" s="535">
        <f ca="1">IF(AA9&gt;AA13,(AA13/AA9)*100,((AA9/AA13)*100))</f>
        <v>99.571374039709241</v>
      </c>
      <c r="AB14" s="535">
        <f ca="1">IF(AA9&gt;AB13,(AB13/AA9)*100,((AA9/AB13)*100))</f>
        <v>99.994711430484898</v>
      </c>
      <c r="AC14" s="537"/>
      <c r="AD14" s="520">
        <v>8</v>
      </c>
      <c r="AE14" s="520">
        <v>4.1972907384336998E-3</v>
      </c>
    </row>
    <row r="15" spans="1:31" ht="15.6">
      <c r="A15" s="286"/>
      <c r="J15" s="522">
        <v>9</v>
      </c>
      <c r="K15" s="522">
        <v>4.7577118919568048E-3</v>
      </c>
      <c r="T15" s="520">
        <v>9</v>
      </c>
      <c r="U15" s="520">
        <v>4.9721652075231191E-3</v>
      </c>
      <c r="AD15" s="520">
        <v>9</v>
      </c>
      <c r="AE15" s="520">
        <v>4.2168692404087093E-3</v>
      </c>
    </row>
    <row r="16" spans="1:31" ht="15.6">
      <c r="A16" s="286"/>
      <c r="C16" s="455" t="s">
        <v>979</v>
      </c>
      <c r="D16" s="455" t="s">
        <v>980</v>
      </c>
      <c r="J16" s="522">
        <v>10</v>
      </c>
      <c r="K16" s="522">
        <v>4.7432753426391444E-3</v>
      </c>
      <c r="T16" s="520">
        <v>10</v>
      </c>
      <c r="U16" s="520">
        <v>4.9759576367732934E-3</v>
      </c>
      <c r="AD16" s="520">
        <v>10</v>
      </c>
      <c r="AE16" s="520">
        <v>4.2155999481970968E-3</v>
      </c>
    </row>
    <row r="17" spans="1:31" ht="15.6">
      <c r="A17" s="286"/>
      <c r="C17">
        <v>2</v>
      </c>
      <c r="D17">
        <v>4.7573887047061628E-3</v>
      </c>
      <c r="J17" s="522">
        <v>11</v>
      </c>
      <c r="K17" s="522">
        <v>4.7562986007726659E-3</v>
      </c>
      <c r="M17" s="455" t="s">
        <v>979</v>
      </c>
      <c r="N17" s="455" t="s">
        <v>980</v>
      </c>
      <c r="T17" s="520">
        <v>11</v>
      </c>
      <c r="U17" s="520">
        <v>4.972669815166848E-3</v>
      </c>
      <c r="W17" s="455" t="s">
        <v>979</v>
      </c>
      <c r="X17" s="455" t="s">
        <v>980</v>
      </c>
      <c r="AD17" s="520">
        <v>11</v>
      </c>
      <c r="AE17" s="520">
        <v>4.2126787531193907E-3</v>
      </c>
    </row>
    <row r="18" spans="1:31" ht="15.6">
      <c r="A18" s="286"/>
      <c r="C18">
        <v>5</v>
      </c>
      <c r="D18">
        <v>4.7110360653024033E-3</v>
      </c>
      <c r="J18" s="522">
        <v>12</v>
      </c>
      <c r="K18" s="522">
        <v>4.7376041794712056E-3</v>
      </c>
      <c r="M18">
        <v>2</v>
      </c>
      <c r="N18">
        <v>5.1652121644352933E-3</v>
      </c>
      <c r="T18" s="520">
        <v>12</v>
      </c>
      <c r="U18" s="520">
        <v>4.9667288683739952E-3</v>
      </c>
      <c r="W18">
        <v>2</v>
      </c>
      <c r="X18">
        <v>5.3121668012560807E-3</v>
      </c>
      <c r="AD18" s="520">
        <v>12</v>
      </c>
      <c r="AE18" s="520">
        <v>4.222216837409286E-3</v>
      </c>
    </row>
    <row r="19" spans="1:31" ht="15.6">
      <c r="A19" s="286"/>
      <c r="C19">
        <v>10</v>
      </c>
      <c r="D19">
        <v>4.6187142862616909E-3</v>
      </c>
      <c r="J19" s="522">
        <v>13</v>
      </c>
      <c r="K19" s="522">
        <v>4.750826420840311E-3</v>
      </c>
      <c r="M19">
        <v>5</v>
      </c>
      <c r="N19">
        <v>5.1181665761602805E-3</v>
      </c>
      <c r="T19" s="520">
        <v>13</v>
      </c>
      <c r="U19" s="520">
        <v>4.9618618499117952E-3</v>
      </c>
      <c r="W19">
        <v>5</v>
      </c>
      <c r="X19">
        <v>5.2876953872307087E-3</v>
      </c>
      <c r="AD19" s="520">
        <v>13</v>
      </c>
      <c r="AE19" s="520">
        <v>4.2053108905108164E-3</v>
      </c>
    </row>
    <row r="20" spans="1:31" ht="15.6">
      <c r="A20" s="286"/>
      <c r="C20">
        <v>15</v>
      </c>
      <c r="D20">
        <v>4.5075582821779226E-3</v>
      </c>
      <c r="J20" s="522">
        <v>14</v>
      </c>
      <c r="K20" s="522">
        <v>4.7745830690259939E-3</v>
      </c>
      <c r="M20">
        <v>10</v>
      </c>
      <c r="N20">
        <v>5.0320396964846689E-3</v>
      </c>
      <c r="T20" s="520">
        <v>14</v>
      </c>
      <c r="U20" s="520">
        <v>4.9938700143333653E-3</v>
      </c>
      <c r="W20">
        <v>10</v>
      </c>
      <c r="X20">
        <v>5.2246073252520883E-3</v>
      </c>
      <c r="AD20" s="520">
        <v>14</v>
      </c>
      <c r="AE20" s="520">
        <v>4.2153422267867547E-3</v>
      </c>
    </row>
    <row r="21" spans="1:31" ht="15.6">
      <c r="A21" s="286"/>
      <c r="C21">
        <v>20</v>
      </c>
      <c r="D21">
        <v>4.377568053051094E-3</v>
      </c>
      <c r="J21" s="522">
        <v>15</v>
      </c>
      <c r="K21" s="522">
        <v>4.7528202606518426E-3</v>
      </c>
      <c r="M21">
        <v>15</v>
      </c>
      <c r="N21">
        <v>4.9362658594541507E-3</v>
      </c>
      <c r="T21" s="520">
        <v>15</v>
      </c>
      <c r="U21" s="520">
        <v>4.9637764333292228E-3</v>
      </c>
      <c r="W21">
        <v>15</v>
      </c>
      <c r="X21">
        <v>5.1336412983530502E-3</v>
      </c>
      <c r="AD21" s="520">
        <v>15</v>
      </c>
      <c r="AE21" s="520">
        <v>4.1912859267791841E-3</v>
      </c>
    </row>
    <row r="22" spans="1:31" ht="15.6">
      <c r="A22" s="286"/>
      <c r="C22">
        <v>25</v>
      </c>
      <c r="D22">
        <v>4.2287435988812077E-3</v>
      </c>
      <c r="J22" s="522">
        <v>16</v>
      </c>
      <c r="K22" s="522">
        <v>4.7630905229303893E-3</v>
      </c>
      <c r="M22">
        <v>20</v>
      </c>
      <c r="N22">
        <v>4.8308450650687241E-3</v>
      </c>
      <c r="T22" s="520">
        <v>16</v>
      </c>
      <c r="U22" s="520">
        <v>4.9658915778031847E-3</v>
      </c>
      <c r="W22">
        <v>20</v>
      </c>
      <c r="X22">
        <v>5.0147973065335968E-3</v>
      </c>
      <c r="AD22" s="520">
        <v>16</v>
      </c>
      <c r="AE22" s="520">
        <v>4.221568984422332E-3</v>
      </c>
    </row>
    <row r="23" spans="1:31" ht="15.6">
      <c r="A23" s="286"/>
      <c r="C23">
        <v>30</v>
      </c>
      <c r="D23">
        <v>4.0610849196682647E-3</v>
      </c>
      <c r="J23" s="522">
        <v>17</v>
      </c>
      <c r="K23" s="522">
        <v>4.7603167532196556E-3</v>
      </c>
      <c r="M23">
        <v>25</v>
      </c>
      <c r="N23">
        <v>4.7157773133283919E-3</v>
      </c>
      <c r="T23" s="520">
        <v>17</v>
      </c>
      <c r="U23" s="520">
        <v>4.9836309822896222E-3</v>
      </c>
      <c r="W23">
        <v>25</v>
      </c>
      <c r="X23">
        <v>4.8680753497937247E-3</v>
      </c>
      <c r="AD23" s="520">
        <v>17</v>
      </c>
      <c r="AE23" s="520">
        <v>4.2081575620385734E-3</v>
      </c>
    </row>
    <row r="24" spans="1:31" ht="15.6">
      <c r="A24" s="286"/>
      <c r="C24">
        <v>35</v>
      </c>
      <c r="D24">
        <v>3.8745920154122614E-3</v>
      </c>
      <c r="J24" s="522">
        <v>18</v>
      </c>
      <c r="K24" s="522">
        <v>4.7576531237145132E-3</v>
      </c>
      <c r="M24">
        <v>30</v>
      </c>
      <c r="N24">
        <v>4.591062604233153E-3</v>
      </c>
      <c r="T24" s="520">
        <v>18</v>
      </c>
      <c r="U24" s="520">
        <v>4.9843101322032853E-3</v>
      </c>
      <c r="W24">
        <v>30</v>
      </c>
      <c r="X24">
        <v>4.6934754281334349E-3</v>
      </c>
      <c r="AD24" s="520">
        <v>18</v>
      </c>
      <c r="AE24" s="520">
        <v>4.1995993680888953E-3</v>
      </c>
    </row>
    <row r="25" spans="1:31" ht="15.6">
      <c r="A25" s="286"/>
      <c r="C25">
        <v>40</v>
      </c>
      <c r="D25">
        <v>3.6692648861132017E-3</v>
      </c>
      <c r="J25" s="522">
        <v>19</v>
      </c>
      <c r="K25" s="522">
        <v>4.7523273021329261E-3</v>
      </c>
      <c r="M25">
        <v>35</v>
      </c>
      <c r="N25">
        <v>4.4567009377830067E-3</v>
      </c>
      <c r="T25" s="520">
        <v>19</v>
      </c>
      <c r="U25" s="520">
        <v>4.9853668732965503E-3</v>
      </c>
      <c r="W25">
        <v>35</v>
      </c>
      <c r="X25">
        <v>4.4909975415527281E-3</v>
      </c>
      <c r="AD25" s="520">
        <v>19</v>
      </c>
      <c r="AE25" s="520">
        <v>4.197060633585342E-3</v>
      </c>
    </row>
    <row r="26" spans="1:31" ht="15.6">
      <c r="A26" s="286"/>
      <c r="J26" s="522">
        <v>20</v>
      </c>
      <c r="K26" s="522">
        <v>4.7616846381445758E-3</v>
      </c>
      <c r="M26">
        <v>40</v>
      </c>
      <c r="N26">
        <v>4.3126923139779564E-3</v>
      </c>
      <c r="T26" s="520">
        <v>20</v>
      </c>
      <c r="U26" s="520">
        <v>4.9747003232550229E-3</v>
      </c>
      <c r="W26">
        <v>40</v>
      </c>
      <c r="X26">
        <v>4.2606416900516034E-3</v>
      </c>
      <c r="AD26" s="520">
        <v>20</v>
      </c>
      <c r="AE26" s="520">
        <v>4.225080485740865E-3</v>
      </c>
    </row>
    <row r="27" spans="1:31" ht="15.6">
      <c r="A27" s="286"/>
      <c r="J27" s="522">
        <v>21</v>
      </c>
      <c r="K27" s="522">
        <v>4.7406219504375529E-3</v>
      </c>
      <c r="T27" s="520">
        <v>21</v>
      </c>
      <c r="U27" s="520">
        <v>4.9710577282679374E-3</v>
      </c>
      <c r="W27">
        <v>41</v>
      </c>
      <c r="X27">
        <v>4.2112251639609289E-3</v>
      </c>
      <c r="AD27" s="520">
        <v>21</v>
      </c>
      <c r="AE27" s="520">
        <v>4.2100790635742217E-3</v>
      </c>
    </row>
    <row r="28" spans="1:31" ht="15.6">
      <c r="A28" s="286"/>
      <c r="J28" s="522">
        <v>22</v>
      </c>
      <c r="K28" s="522">
        <v>4.7618577033553267E-3</v>
      </c>
      <c r="T28" s="520">
        <v>22</v>
      </c>
      <c r="U28" s="520">
        <v>4.9787652923156903E-3</v>
      </c>
      <c r="AD28" s="520">
        <v>22</v>
      </c>
      <c r="AE28" s="520">
        <v>4.2092936038889703E-3</v>
      </c>
    </row>
    <row r="29" spans="1:31" ht="15.6">
      <c r="A29" s="286"/>
      <c r="J29" s="522">
        <v>23</v>
      </c>
      <c r="K29" s="522">
        <v>4.7517290764869484E-3</v>
      </c>
      <c r="T29" s="520">
        <v>23</v>
      </c>
      <c r="U29" s="520">
        <v>4.9703954085121528E-3</v>
      </c>
      <c r="AD29" s="520">
        <v>23</v>
      </c>
      <c r="AE29" s="520">
        <v>4.2018734238091658E-3</v>
      </c>
    </row>
    <row r="30" spans="1:31" ht="15.6">
      <c r="A30" s="286"/>
      <c r="J30" s="522">
        <v>24</v>
      </c>
      <c r="K30" s="522">
        <v>4.7520407900762231E-3</v>
      </c>
      <c r="T30" s="520">
        <v>24</v>
      </c>
      <c r="U30" s="520">
        <v>4.9652250046912779E-3</v>
      </c>
      <c r="AD30" s="520">
        <v>24</v>
      </c>
      <c r="AE30" s="520">
        <v>4.1962692133604125E-3</v>
      </c>
    </row>
    <row r="31" spans="1:31" ht="15.6">
      <c r="A31" s="286"/>
      <c r="J31" s="522">
        <v>25</v>
      </c>
      <c r="K31" s="522">
        <v>4.7724805934745308E-3</v>
      </c>
      <c r="T31" s="520">
        <v>25</v>
      </c>
      <c r="U31" s="520">
        <v>4.9715682034176594E-3</v>
      </c>
      <c r="AD31" s="520">
        <v>25</v>
      </c>
      <c r="AE31" s="520">
        <v>4.2039110938874294E-3</v>
      </c>
    </row>
    <row r="32" spans="1:31" ht="15.6">
      <c r="A32" s="286"/>
      <c r="J32" s="522">
        <v>26</v>
      </c>
      <c r="K32" s="522">
        <v>4.7632560410175448E-3</v>
      </c>
      <c r="T32" s="520">
        <v>26</v>
      </c>
      <c r="U32" s="520">
        <v>4.9720979731458868E-3</v>
      </c>
      <c r="AD32" s="520">
        <v>26</v>
      </c>
      <c r="AE32" s="520">
        <v>4.2036864086197681E-3</v>
      </c>
    </row>
    <row r="33" spans="1:31" ht="15.6">
      <c r="A33" s="286"/>
      <c r="J33" s="522">
        <v>27</v>
      </c>
      <c r="K33" s="522">
        <v>4.7709364067633842E-3</v>
      </c>
      <c r="T33" s="520">
        <v>27</v>
      </c>
      <c r="U33" s="520">
        <v>4.9796434794880089E-3</v>
      </c>
      <c r="AD33" s="520">
        <v>27</v>
      </c>
      <c r="AE33" s="520">
        <v>4.1975909641247637E-3</v>
      </c>
    </row>
    <row r="34" spans="1:31" ht="15.6">
      <c r="A34" s="286"/>
      <c r="J34" s="522">
        <v>28</v>
      </c>
      <c r="K34" s="522">
        <v>4.7478361414126664E-3</v>
      </c>
      <c r="T34" s="520">
        <v>28</v>
      </c>
      <c r="U34" s="520">
        <v>4.9713782834765524E-3</v>
      </c>
      <c r="AD34" s="520">
        <v>28</v>
      </c>
      <c r="AE34" s="520">
        <v>4.2199498457369663E-3</v>
      </c>
    </row>
    <row r="35" spans="1:31" ht="15.6">
      <c r="A35" s="286"/>
      <c r="J35" s="522">
        <v>29</v>
      </c>
      <c r="K35" s="522">
        <v>4.7371833429272888E-3</v>
      </c>
      <c r="T35" s="520">
        <v>29</v>
      </c>
      <c r="U35" s="520">
        <v>4.9919069756430316E-3</v>
      </c>
      <c r="AD35" s="520">
        <v>29</v>
      </c>
      <c r="AE35" s="520">
        <v>4.217521206639545E-3</v>
      </c>
    </row>
    <row r="36" spans="1:31" ht="15.6">
      <c r="A36" s="286"/>
      <c r="J36" s="522">
        <v>30</v>
      </c>
      <c r="K36" s="522">
        <v>4.7515529455231754E-3</v>
      </c>
      <c r="T36" s="520">
        <v>30</v>
      </c>
      <c r="U36" s="520">
        <v>4.9674793845802985E-3</v>
      </c>
      <c r="AD36" s="520">
        <v>30</v>
      </c>
      <c r="AE36" s="520">
        <v>4.2157270097746159E-3</v>
      </c>
    </row>
    <row r="37" spans="1:31" ht="15.6">
      <c r="A37" s="286"/>
      <c r="J37" s="522">
        <v>31</v>
      </c>
      <c r="K37" s="522">
        <v>4.7403109021148882E-3</v>
      </c>
      <c r="T37" s="520">
        <v>31</v>
      </c>
      <c r="U37" s="520">
        <v>4.9739516617056008E-3</v>
      </c>
      <c r="AD37" s="520">
        <v>31</v>
      </c>
      <c r="AE37" s="520">
        <v>4.2241938134815983E-3</v>
      </c>
    </row>
    <row r="38" spans="1:31" ht="15.6">
      <c r="A38" s="286"/>
      <c r="J38" s="522">
        <v>32</v>
      </c>
      <c r="K38" s="522">
        <v>4.7661734271328988E-3</v>
      </c>
      <c r="T38" s="520">
        <v>32</v>
      </c>
      <c r="U38" s="520">
        <v>4.9712075161951102E-3</v>
      </c>
      <c r="AD38" s="520">
        <v>32</v>
      </c>
      <c r="AE38" s="520">
        <v>4.1968409523288142E-3</v>
      </c>
    </row>
    <row r="39" spans="1:31" ht="15.6">
      <c r="A39" s="286"/>
      <c r="J39" s="522">
        <v>33</v>
      </c>
      <c r="K39" s="522">
        <v>4.7491803739124613E-3</v>
      </c>
      <c r="T39" s="520">
        <v>33</v>
      </c>
      <c r="U39" s="520">
        <v>4.9696954458528482E-3</v>
      </c>
      <c r="AD39" s="520">
        <v>33</v>
      </c>
      <c r="AE39" s="520">
        <v>4.1947364708790512E-3</v>
      </c>
    </row>
    <row r="40" spans="1:31" ht="15.6">
      <c r="A40" s="286"/>
      <c r="J40" s="522">
        <v>34</v>
      </c>
      <c r="K40" s="522">
        <v>4.7731153846382506E-3</v>
      </c>
      <c r="T40" s="520">
        <v>34</v>
      </c>
      <c r="U40" s="520">
        <v>4.9694848187066352E-3</v>
      </c>
      <c r="AD40" s="520">
        <v>34</v>
      </c>
      <c r="AE40" s="520">
        <v>4.2198033996571366E-3</v>
      </c>
    </row>
    <row r="41" spans="1:31" ht="15.6">
      <c r="A41" s="286"/>
      <c r="J41" s="522">
        <v>35</v>
      </c>
      <c r="K41" s="522">
        <v>4.7417888787132552E-3</v>
      </c>
      <c r="T41" s="520">
        <v>35</v>
      </c>
      <c r="U41" s="520">
        <v>4.9764062310774029E-3</v>
      </c>
      <c r="AD41" s="520">
        <v>35</v>
      </c>
      <c r="AE41" s="520">
        <v>4.2095662345083343E-3</v>
      </c>
    </row>
    <row r="42" spans="1:31" ht="15.6">
      <c r="A42" s="286"/>
      <c r="J42" s="522">
        <v>36</v>
      </c>
      <c r="K42" s="522">
        <v>4.7533356977192175E-3</v>
      </c>
      <c r="T42" s="520">
        <v>36</v>
      </c>
      <c r="U42" s="520">
        <v>4.9795269903545681E-3</v>
      </c>
      <c r="AD42" s="520">
        <v>36</v>
      </c>
      <c r="AE42" s="520">
        <v>4.2009379855774773E-3</v>
      </c>
    </row>
    <row r="43" spans="1:31" ht="15.6">
      <c r="A43" s="286"/>
      <c r="J43" s="522">
        <v>37</v>
      </c>
      <c r="K43" s="522">
        <v>4.7717460651811221E-3</v>
      </c>
      <c r="T43" s="520">
        <v>37</v>
      </c>
      <c r="U43" s="520">
        <v>4.9669909388923451E-3</v>
      </c>
      <c r="AD43" s="520">
        <v>37</v>
      </c>
      <c r="AE43" s="520">
        <v>4.2151095409620276E-3</v>
      </c>
    </row>
    <row r="44" spans="1:31" ht="15.6">
      <c r="A44" s="286"/>
      <c r="J44" s="522">
        <v>38</v>
      </c>
      <c r="K44" s="522">
        <v>4.7667222234774572E-3</v>
      </c>
      <c r="T44" s="520">
        <v>38</v>
      </c>
      <c r="U44" s="520">
        <v>4.9695371587942091E-3</v>
      </c>
      <c r="AD44" s="520">
        <v>38</v>
      </c>
      <c r="AE44" s="520">
        <v>4.2006976975126308E-3</v>
      </c>
    </row>
    <row r="45" spans="1:31" ht="15.6">
      <c r="A45" s="286"/>
      <c r="J45" s="522">
        <v>39</v>
      </c>
      <c r="K45" s="522">
        <v>4.7434471870914955E-3</v>
      </c>
      <c r="T45" s="520">
        <v>39</v>
      </c>
      <c r="U45" s="520">
        <v>4.9775064503171018E-3</v>
      </c>
      <c r="AD45" s="520">
        <v>39</v>
      </c>
      <c r="AE45" s="520">
        <v>4.2002843169599421E-3</v>
      </c>
    </row>
    <row r="46" spans="1:31" ht="15.6">
      <c r="A46" s="286"/>
      <c r="J46" s="522">
        <v>40</v>
      </c>
      <c r="K46" s="522">
        <v>4.7643953525599338E-3</v>
      </c>
      <c r="T46" s="520">
        <v>40</v>
      </c>
      <c r="U46" s="520">
        <v>4.9668502167594959E-3</v>
      </c>
      <c r="AD46" s="520">
        <v>40</v>
      </c>
      <c r="AE46" s="520">
        <v>4.2135833422815919E-3</v>
      </c>
    </row>
    <row r="47" spans="1:31" ht="15.6">
      <c r="A47" s="286"/>
      <c r="J47" s="522">
        <v>41</v>
      </c>
      <c r="K47" s="522">
        <v>4.7365824572009364E-3</v>
      </c>
      <c r="T47" s="520">
        <v>41</v>
      </c>
      <c r="U47" s="520">
        <v>4.9635741544779939E-3</v>
      </c>
      <c r="AD47" s="520">
        <v>41</v>
      </c>
      <c r="AE47" s="520">
        <v>4.2133850851422266E-3</v>
      </c>
    </row>
    <row r="48" spans="1:31" ht="15.6">
      <c r="A48" s="286"/>
      <c r="J48" s="522">
        <v>42</v>
      </c>
      <c r="K48" s="522">
        <v>4.7456179032538768E-3</v>
      </c>
      <c r="T48" s="520">
        <v>42</v>
      </c>
      <c r="U48" s="520">
        <v>4.9932727923940445E-3</v>
      </c>
      <c r="AD48" s="520">
        <v>42</v>
      </c>
      <c r="AE48" s="520">
        <v>4.2109822436405949E-3</v>
      </c>
    </row>
    <row r="49" spans="1:31" ht="15.6">
      <c r="A49" s="286"/>
      <c r="J49" s="522">
        <v>43</v>
      </c>
      <c r="K49" s="522">
        <v>4.762374471480966E-3</v>
      </c>
      <c r="T49" s="520">
        <v>43</v>
      </c>
      <c r="U49" s="520">
        <v>4.9684523724241045E-3</v>
      </c>
      <c r="AD49" s="520">
        <v>43</v>
      </c>
      <c r="AE49" s="520">
        <v>4.2198583164429039E-3</v>
      </c>
    </row>
    <row r="50" spans="1:31" ht="15.6">
      <c r="A50" s="286"/>
      <c r="J50" s="522">
        <v>44</v>
      </c>
      <c r="K50" s="522">
        <v>4.7538259635395682E-3</v>
      </c>
      <c r="T50" s="520">
        <v>44</v>
      </c>
      <c r="U50" s="520">
        <v>4.9818257992515023E-3</v>
      </c>
      <c r="AD50" s="520">
        <v>44</v>
      </c>
      <c r="AE50" s="520">
        <v>4.1900885579002744E-3</v>
      </c>
    </row>
    <row r="51" spans="1:31" ht="15.6">
      <c r="A51" s="286"/>
      <c r="J51" s="522">
        <v>45</v>
      </c>
      <c r="K51" s="522">
        <v>4.7735841481579373E-3</v>
      </c>
      <c r="T51" s="520">
        <v>45</v>
      </c>
      <c r="U51" s="520">
        <v>4.9726406191864907E-3</v>
      </c>
      <c r="AD51" s="520">
        <v>45</v>
      </c>
      <c r="AE51" s="520">
        <v>4.2072444545999668E-3</v>
      </c>
    </row>
    <row r="52" spans="1:31" ht="15.6">
      <c r="A52" s="286"/>
      <c r="J52" s="522">
        <v>46</v>
      </c>
      <c r="K52" s="522">
        <v>4.7458014658438392E-3</v>
      </c>
      <c r="T52" s="520">
        <v>46</v>
      </c>
      <c r="U52" s="520">
        <v>4.9727465136758598E-3</v>
      </c>
      <c r="AD52" s="520">
        <v>46</v>
      </c>
      <c r="AE52" s="520">
        <v>4.1923999552937177E-3</v>
      </c>
    </row>
    <row r="53" spans="1:31" ht="15.6">
      <c r="A53" s="286"/>
      <c r="J53" s="522">
        <v>47</v>
      </c>
      <c r="K53" s="522">
        <v>4.7634013910487008E-3</v>
      </c>
      <c r="T53" s="520">
        <v>47</v>
      </c>
      <c r="U53" s="520">
        <v>4.9692746627155553E-3</v>
      </c>
      <c r="AD53" s="520">
        <v>47</v>
      </c>
      <c r="AE53" s="520">
        <v>4.2070167516207136E-3</v>
      </c>
    </row>
    <row r="54" spans="1:31" ht="15.6">
      <c r="A54" s="286"/>
      <c r="J54" s="522">
        <v>48</v>
      </c>
      <c r="K54" s="522">
        <v>4.7365728494057424E-3</v>
      </c>
      <c r="T54" s="520">
        <v>48</v>
      </c>
      <c r="U54" s="520">
        <v>4.9789380126155098E-3</v>
      </c>
      <c r="AD54" s="520">
        <v>48</v>
      </c>
      <c r="AE54" s="520">
        <v>4.2207966266439691E-3</v>
      </c>
    </row>
    <row r="55" spans="1:31" ht="15.6">
      <c r="A55" s="286"/>
      <c r="J55" s="522">
        <v>49</v>
      </c>
      <c r="K55" s="522">
        <v>4.7555442483018222E-3</v>
      </c>
      <c r="T55" s="520">
        <v>49</v>
      </c>
      <c r="U55" s="520">
        <v>4.9833837122193235E-3</v>
      </c>
      <c r="AD55" s="520">
        <v>49</v>
      </c>
      <c r="AE55" s="520">
        <v>4.2159800200879619E-3</v>
      </c>
    </row>
    <row r="56" spans="1:31" ht="15.6">
      <c r="A56" s="286"/>
      <c r="J56" s="522">
        <v>50</v>
      </c>
      <c r="K56" s="522">
        <v>4.7610790239760717E-3</v>
      </c>
      <c r="T56" s="520">
        <v>50</v>
      </c>
      <c r="U56" s="520">
        <v>4.9679923260154456E-3</v>
      </c>
      <c r="AD56" s="520">
        <v>50</v>
      </c>
      <c r="AE56" s="520">
        <v>4.1990183777419849E-3</v>
      </c>
    </row>
    <row r="57" spans="1:31" ht="15.6">
      <c r="A57" s="286"/>
      <c r="J57" s="522">
        <v>51</v>
      </c>
      <c r="K57" s="522">
        <v>4.7553499281064874E-3</v>
      </c>
      <c r="T57" s="520">
        <v>51</v>
      </c>
      <c r="U57" s="520">
        <v>4.9764208361446141E-3</v>
      </c>
      <c r="AD57" s="520">
        <v>51</v>
      </c>
      <c r="AE57" s="520">
        <v>4.1958498570753757E-3</v>
      </c>
    </row>
    <row r="58" spans="1:31" ht="15.6">
      <c r="A58" s="286"/>
      <c r="J58" s="522">
        <v>52</v>
      </c>
      <c r="K58" s="522">
        <v>4.7609585881663195E-3</v>
      </c>
      <c r="T58" s="520">
        <v>52</v>
      </c>
      <c r="U58" s="520">
        <v>4.9813235139820116E-3</v>
      </c>
      <c r="AD58" s="520">
        <v>52</v>
      </c>
      <c r="AE58" s="520">
        <v>4.2082389288861542E-3</v>
      </c>
    </row>
    <row r="59" spans="1:31" ht="15.6">
      <c r="A59" s="286"/>
      <c r="J59" s="522">
        <v>53</v>
      </c>
      <c r="K59" s="522">
        <v>4.7547810101988257E-3</v>
      </c>
      <c r="T59" s="520">
        <v>53</v>
      </c>
      <c r="U59" s="520">
        <v>4.9764197137215247E-3</v>
      </c>
      <c r="AD59" s="520">
        <v>53</v>
      </c>
      <c r="AE59" s="520">
        <v>4.1928579739825148E-3</v>
      </c>
    </row>
    <row r="60" spans="1:31" ht="15.6">
      <c r="A60" s="286"/>
      <c r="J60" s="522">
        <v>54</v>
      </c>
      <c r="K60" s="522">
        <v>4.7675551677388468E-3</v>
      </c>
      <c r="T60" s="520">
        <v>54</v>
      </c>
      <c r="U60" s="520">
        <v>4.9847727455920492E-3</v>
      </c>
      <c r="AD60" s="520">
        <v>54</v>
      </c>
      <c r="AE60" s="520">
        <v>4.2175011761090841E-3</v>
      </c>
    </row>
    <row r="61" spans="1:31" ht="15.6">
      <c r="A61" s="286"/>
      <c r="J61" s="522">
        <v>55</v>
      </c>
      <c r="K61" s="522">
        <v>4.7637088147170076E-3</v>
      </c>
      <c r="T61" s="520">
        <v>55</v>
      </c>
      <c r="U61" s="520">
        <v>4.973206968633191E-3</v>
      </c>
      <c r="AD61" s="520">
        <v>55</v>
      </c>
      <c r="AE61" s="520">
        <v>4.2163324679376467E-3</v>
      </c>
    </row>
    <row r="62" spans="1:31" ht="15.6">
      <c r="A62" s="286"/>
      <c r="J62" s="522">
        <v>56</v>
      </c>
      <c r="K62" s="522">
        <v>4.7545193817780931E-3</v>
      </c>
      <c r="T62" s="520">
        <v>56</v>
      </c>
      <c r="U62" s="520">
        <v>4.9726138206437022E-3</v>
      </c>
      <c r="AD62" s="520">
        <v>56</v>
      </c>
      <c r="AE62" s="520">
        <v>4.2077066910406521E-3</v>
      </c>
    </row>
    <row r="63" spans="1:31" ht="15.6">
      <c r="A63" s="286"/>
      <c r="J63" s="522">
        <v>57</v>
      </c>
      <c r="K63" s="522">
        <v>4.7742222954517801E-3</v>
      </c>
      <c r="T63" s="520">
        <v>57</v>
      </c>
      <c r="U63" s="520">
        <v>4.9729403611715106E-3</v>
      </c>
      <c r="AD63" s="520">
        <v>57</v>
      </c>
      <c r="AE63" s="520">
        <v>4.2127754820859937E-3</v>
      </c>
    </row>
    <row r="64" spans="1:31" ht="15.6">
      <c r="A64" s="286"/>
      <c r="J64" s="522">
        <v>58</v>
      </c>
      <c r="K64" s="522">
        <v>4.7496332447194796E-3</v>
      </c>
      <c r="T64" s="520">
        <v>58</v>
      </c>
      <c r="U64" s="520">
        <v>4.9884243022572982E-3</v>
      </c>
      <c r="AD64" s="520">
        <v>58</v>
      </c>
      <c r="AE64" s="520">
        <v>4.2076215264349442E-3</v>
      </c>
    </row>
    <row r="65" spans="1:31" ht="15.6">
      <c r="A65" s="286"/>
      <c r="J65" s="522">
        <v>59</v>
      </c>
      <c r="K65" s="522">
        <v>4.7487214811344795E-3</v>
      </c>
      <c r="T65" s="520">
        <v>59</v>
      </c>
      <c r="U65" s="520">
        <v>4.96734702255377E-3</v>
      </c>
      <c r="AD65" s="520">
        <v>59</v>
      </c>
      <c r="AE65" s="520">
        <v>4.207929719760463E-3</v>
      </c>
    </row>
    <row r="66" spans="1:31" ht="15.6">
      <c r="A66" s="286"/>
      <c r="J66" s="522">
        <v>60</v>
      </c>
      <c r="K66" s="522">
        <v>4.7543345021271548E-3</v>
      </c>
      <c r="T66" s="520">
        <v>60</v>
      </c>
      <c r="U66" s="520">
        <v>4.9485302197497388E-3</v>
      </c>
      <c r="AD66" s="520">
        <v>60</v>
      </c>
      <c r="AE66" s="520">
        <v>4.2206054385506573E-3</v>
      </c>
    </row>
    <row r="67" spans="1:31" ht="15.6">
      <c r="A67" s="286"/>
      <c r="J67" s="522">
        <v>61</v>
      </c>
      <c r="K67" s="522">
        <v>4.7728863018258703E-3</v>
      </c>
      <c r="T67" s="520">
        <v>61</v>
      </c>
      <c r="U67" s="520">
        <v>4.9900869032298741E-3</v>
      </c>
      <c r="AD67" s="520">
        <v>61</v>
      </c>
      <c r="AE67" s="520">
        <v>4.2099531371948828E-3</v>
      </c>
    </row>
    <row r="68" spans="1:31" ht="15.6">
      <c r="A68" s="286"/>
      <c r="J68" s="522">
        <v>62</v>
      </c>
      <c r="K68" s="522">
        <v>4.7703423681579793E-3</v>
      </c>
      <c r="T68" s="520">
        <v>62</v>
      </c>
      <c r="U68" s="520">
        <v>4.9645398100530546E-3</v>
      </c>
      <c r="AD68" s="520">
        <v>62</v>
      </c>
      <c r="AE68" s="520">
        <v>4.2038098831129085E-3</v>
      </c>
    </row>
    <row r="69" spans="1:31" ht="15.6">
      <c r="A69" s="286"/>
      <c r="J69" s="522">
        <v>63</v>
      </c>
      <c r="K69" s="522">
        <v>4.7456696665623375E-3</v>
      </c>
      <c r="T69" s="520">
        <v>63</v>
      </c>
      <c r="U69" s="520">
        <v>4.9761743508734335E-3</v>
      </c>
      <c r="AD69" s="520">
        <v>63</v>
      </c>
      <c r="AE69" s="520">
        <v>4.2005126373264685E-3</v>
      </c>
    </row>
    <row r="70" spans="1:31" ht="15.6">
      <c r="A70" s="286"/>
      <c r="J70" s="522">
        <v>64</v>
      </c>
      <c r="K70" s="522">
        <v>4.7419890914823367E-3</v>
      </c>
      <c r="T70" s="520">
        <v>64</v>
      </c>
      <c r="U70" s="520">
        <v>4.9831097930092168E-3</v>
      </c>
      <c r="AD70" s="520">
        <v>64</v>
      </c>
      <c r="AE70" s="520">
        <v>4.2071799379728757E-3</v>
      </c>
    </row>
    <row r="71" spans="1:31" ht="15.6">
      <c r="A71" s="286"/>
      <c r="J71" s="522">
        <v>65</v>
      </c>
      <c r="K71" s="522">
        <v>4.7538398731010222E-3</v>
      </c>
      <c r="T71" s="520">
        <v>65</v>
      </c>
      <c r="U71" s="520">
        <v>4.9829211385920974E-3</v>
      </c>
      <c r="AD71" s="520">
        <v>65</v>
      </c>
      <c r="AE71" s="520">
        <v>4.2194499847804084E-3</v>
      </c>
    </row>
    <row r="72" spans="1:31" ht="15.6">
      <c r="A72" s="286"/>
      <c r="J72" s="522">
        <v>66</v>
      </c>
      <c r="K72" s="522">
        <v>4.7464828788705117E-3</v>
      </c>
      <c r="T72" s="520">
        <v>66</v>
      </c>
      <c r="U72" s="520">
        <v>4.9736320915777909E-3</v>
      </c>
      <c r="AD72" s="520">
        <v>66</v>
      </c>
      <c r="AE72" s="520">
        <v>4.2179754243416483E-3</v>
      </c>
    </row>
    <row r="73" spans="1:31" ht="57.6">
      <c r="A73" s="286"/>
      <c r="J73" s="522">
        <v>67</v>
      </c>
      <c r="K73" s="522">
        <v>4.7653482393226303E-3</v>
      </c>
      <c r="N73" s="539">
        <v>44781.424039351848</v>
      </c>
      <c r="O73" s="296" t="s">
        <v>981</v>
      </c>
      <c r="T73" s="520">
        <v>67</v>
      </c>
      <c r="U73" s="520">
        <v>4.9896771930430708E-3</v>
      </c>
      <c r="AD73" s="520">
        <v>67</v>
      </c>
      <c r="AE73" s="520">
        <v>4.2046520060071224E-3</v>
      </c>
    </row>
    <row r="74" spans="1:31" ht="15.6">
      <c r="A74" s="286"/>
      <c r="J74" s="522">
        <v>68</v>
      </c>
      <c r="K74" s="522">
        <v>4.7417560168965967E-3</v>
      </c>
      <c r="T74" s="520">
        <v>68</v>
      </c>
      <c r="U74" s="520">
        <v>4.9632246971815152E-3</v>
      </c>
      <c r="AD74" s="520">
        <v>68</v>
      </c>
      <c r="AE74" s="520">
        <v>4.2103019323517519E-3</v>
      </c>
    </row>
    <row r="75" spans="1:31" ht="15.6">
      <c r="A75" s="286"/>
      <c r="J75" s="522">
        <v>69</v>
      </c>
      <c r="K75" s="522">
        <v>4.7616354679925286E-3</v>
      </c>
      <c r="T75" s="520">
        <v>69</v>
      </c>
      <c r="U75" s="520">
        <v>4.9678225139022569E-3</v>
      </c>
      <c r="AD75" s="520">
        <v>69</v>
      </c>
      <c r="AE75" s="520">
        <v>4.1968514213022506E-3</v>
      </c>
    </row>
    <row r="76" spans="1:31" ht="15.6">
      <c r="A76" s="286"/>
      <c r="J76" s="522">
        <v>70</v>
      </c>
      <c r="K76" s="522">
        <v>4.7579703168966498E-3</v>
      </c>
      <c r="T76" s="520">
        <v>70</v>
      </c>
      <c r="U76" s="520">
        <v>4.9773712985434395E-3</v>
      </c>
      <c r="AD76" s="520">
        <v>70</v>
      </c>
      <c r="AE76" s="520">
        <v>4.2180306259921984E-3</v>
      </c>
    </row>
    <row r="77" spans="1:31">
      <c r="J77" s="522">
        <v>71</v>
      </c>
      <c r="K77" s="522">
        <v>4.7653304481268107E-3</v>
      </c>
      <c r="T77" s="520">
        <v>71</v>
      </c>
      <c r="U77" s="520">
        <v>4.9714713349744049E-3</v>
      </c>
      <c r="AD77" s="520">
        <v>71</v>
      </c>
      <c r="AE77" s="520">
        <v>4.1974369864493741E-3</v>
      </c>
    </row>
    <row r="78" spans="1:31">
      <c r="J78" s="522">
        <v>72</v>
      </c>
      <c r="K78" s="522">
        <v>4.7748024708654316E-3</v>
      </c>
      <c r="T78" s="520">
        <v>72</v>
      </c>
      <c r="U78" s="520">
        <v>4.9792383920410667E-3</v>
      </c>
      <c r="AD78" s="520">
        <v>72</v>
      </c>
      <c r="AE78" s="520">
        <v>4.2126960294303507E-3</v>
      </c>
    </row>
    <row r="79" spans="1:31">
      <c r="J79" s="522">
        <v>73</v>
      </c>
      <c r="K79" s="522">
        <v>4.7587035075515359E-3</v>
      </c>
      <c r="T79" s="520">
        <v>73</v>
      </c>
      <c r="U79" s="520">
        <v>4.9740504695443329E-3</v>
      </c>
      <c r="AD79" s="520">
        <v>73</v>
      </c>
      <c r="AE79" s="520">
        <v>4.2094458163440809E-3</v>
      </c>
    </row>
    <row r="80" spans="1:31">
      <c r="J80" s="522">
        <v>74</v>
      </c>
      <c r="K80" s="522">
        <v>4.7706321005825426E-3</v>
      </c>
      <c r="T80" s="520">
        <v>74</v>
      </c>
      <c r="U80" s="520">
        <v>4.977527008235067E-3</v>
      </c>
      <c r="AD80" s="520">
        <v>74</v>
      </c>
      <c r="AE80" s="520">
        <v>4.1894220447728182E-3</v>
      </c>
    </row>
    <row r="81" spans="10:31">
      <c r="J81" s="522">
        <v>75</v>
      </c>
      <c r="K81" s="522">
        <v>4.7510763397958988E-3</v>
      </c>
      <c r="T81" s="520">
        <v>75</v>
      </c>
      <c r="U81" s="520">
        <v>4.9790575639544676E-3</v>
      </c>
      <c r="AD81" s="520">
        <v>75</v>
      </c>
      <c r="AE81" s="520">
        <v>4.2027560982015244E-3</v>
      </c>
    </row>
    <row r="82" spans="10:31">
      <c r="J82" s="522">
        <v>76</v>
      </c>
      <c r="K82" s="522">
        <v>4.7500309675059778E-3</v>
      </c>
      <c r="T82" s="520">
        <v>76</v>
      </c>
      <c r="U82" s="520">
        <v>4.9669845345660614E-3</v>
      </c>
      <c r="AD82" s="520">
        <v>76</v>
      </c>
      <c r="AE82" s="520">
        <v>4.1951292875013367E-3</v>
      </c>
    </row>
    <row r="83" spans="10:31">
      <c r="J83" s="522">
        <v>77</v>
      </c>
      <c r="K83" s="522">
        <v>4.7670520168582795E-3</v>
      </c>
      <c r="T83" s="520">
        <v>77</v>
      </c>
      <c r="U83" s="520">
        <v>4.9822049746291643E-3</v>
      </c>
      <c r="AD83" s="520">
        <v>77</v>
      </c>
      <c r="AE83" s="520">
        <v>4.2072423169886427E-3</v>
      </c>
    </row>
    <row r="84" spans="10:31">
      <c r="J84" s="522">
        <v>78</v>
      </c>
      <c r="K84" s="522">
        <v>4.7459037368979195E-3</v>
      </c>
      <c r="T84" s="520">
        <v>78</v>
      </c>
      <c r="U84" s="520">
        <v>4.9798623303300019E-3</v>
      </c>
      <c r="AD84" s="520">
        <v>78</v>
      </c>
      <c r="AE84" s="520">
        <v>4.2109563933795304E-3</v>
      </c>
    </row>
    <row r="85" spans="10:31">
      <c r="J85" s="522">
        <v>79</v>
      </c>
      <c r="K85" s="522">
        <v>4.7469383818367966E-3</v>
      </c>
      <c r="T85" s="520">
        <v>79</v>
      </c>
      <c r="U85" s="520">
        <v>4.9660566777199357E-3</v>
      </c>
      <c r="AD85" s="520">
        <v>79</v>
      </c>
      <c r="AE85" s="520">
        <v>4.2134890933799947E-3</v>
      </c>
    </row>
    <row r="86" spans="10:31">
      <c r="J86" s="522">
        <v>80</v>
      </c>
      <c r="K86" s="522">
        <v>4.7585435120509161E-3</v>
      </c>
      <c r="T86" s="520">
        <v>80</v>
      </c>
      <c r="U86" s="520">
        <v>4.9614396451312087E-3</v>
      </c>
      <c r="AD86" s="520">
        <v>80</v>
      </c>
      <c r="AE86" s="520">
        <v>4.2101172054876245E-3</v>
      </c>
    </row>
    <row r="87" spans="10:31">
      <c r="J87" s="522">
        <v>81</v>
      </c>
      <c r="K87" s="522">
        <v>4.7684289083390783E-3</v>
      </c>
      <c r="T87" s="520">
        <v>81</v>
      </c>
      <c r="U87" s="520">
        <v>4.9854837438944519E-3</v>
      </c>
      <c r="AD87" s="520">
        <v>81</v>
      </c>
      <c r="AE87" s="520">
        <v>4.2131816705329242E-3</v>
      </c>
    </row>
    <row r="88" spans="10:31">
      <c r="J88" s="522">
        <v>82</v>
      </c>
      <c r="K88" s="522">
        <v>4.7497690344672598E-3</v>
      </c>
      <c r="T88" s="520">
        <v>82</v>
      </c>
      <c r="U88" s="520">
        <v>4.9788955300431566E-3</v>
      </c>
      <c r="AD88" s="520">
        <v>82</v>
      </c>
      <c r="AE88" s="520">
        <v>4.2028815151913847E-3</v>
      </c>
    </row>
    <row r="89" spans="10:31">
      <c r="J89" s="522">
        <v>83</v>
      </c>
      <c r="K89" s="522">
        <v>4.757011780652888E-3</v>
      </c>
      <c r="T89" s="520">
        <v>83</v>
      </c>
      <c r="U89" s="520">
        <v>4.9763123955985393E-3</v>
      </c>
      <c r="AD89" s="520">
        <v>83</v>
      </c>
      <c r="AE89" s="520">
        <v>4.2167370454041222E-3</v>
      </c>
    </row>
    <row r="90" spans="10:31">
      <c r="J90" s="522">
        <v>84</v>
      </c>
      <c r="K90" s="522">
        <v>4.7565970406836106E-3</v>
      </c>
      <c r="T90" s="520">
        <v>84</v>
      </c>
      <c r="U90" s="520">
        <v>4.9745890300469811E-3</v>
      </c>
      <c r="AD90" s="520">
        <v>84</v>
      </c>
      <c r="AE90" s="520">
        <v>4.2201337635301706E-3</v>
      </c>
    </row>
    <row r="91" spans="10:31">
      <c r="J91" s="522">
        <v>85</v>
      </c>
      <c r="K91" s="522">
        <v>4.7722706662188565E-3</v>
      </c>
      <c r="T91" s="520">
        <v>85</v>
      </c>
      <c r="U91" s="520">
        <v>4.9747135984426994E-3</v>
      </c>
      <c r="AD91" s="520">
        <v>85</v>
      </c>
      <c r="AE91" s="520">
        <v>4.2071907834369962E-3</v>
      </c>
    </row>
    <row r="92" spans="10:31">
      <c r="J92" s="522">
        <v>86</v>
      </c>
      <c r="K92" s="522">
        <v>4.7681231451184719E-3</v>
      </c>
      <c r="T92" s="520">
        <v>86</v>
      </c>
      <c r="U92" s="520">
        <v>4.9657857524918608E-3</v>
      </c>
      <c r="AD92" s="520">
        <v>86</v>
      </c>
      <c r="AE92" s="520">
        <v>4.2095887420844601E-3</v>
      </c>
    </row>
    <row r="93" spans="10:31">
      <c r="J93" s="522">
        <v>87</v>
      </c>
      <c r="K93" s="522">
        <v>4.7535026081156929E-3</v>
      </c>
      <c r="T93" s="520">
        <v>87</v>
      </c>
      <c r="U93" s="520">
        <v>4.9724523718062876E-3</v>
      </c>
      <c r="AD93" s="520">
        <v>87</v>
      </c>
      <c r="AE93" s="520">
        <v>4.2104218615235493E-3</v>
      </c>
    </row>
    <row r="94" spans="10:31">
      <c r="J94" s="522">
        <v>88</v>
      </c>
      <c r="K94" s="522">
        <v>4.7609107888477884E-3</v>
      </c>
      <c r="T94" s="520">
        <v>88</v>
      </c>
      <c r="U94" s="520">
        <v>4.9629645453204019E-3</v>
      </c>
      <c r="AD94" s="520">
        <v>88</v>
      </c>
      <c r="AE94" s="520">
        <v>4.2205456213852341E-3</v>
      </c>
    </row>
    <row r="95" spans="10:31">
      <c r="J95" s="522">
        <v>89</v>
      </c>
      <c r="K95" s="522">
        <v>4.7460847980573522E-3</v>
      </c>
      <c r="T95" s="520">
        <v>89</v>
      </c>
      <c r="U95" s="520">
        <v>4.9857571573299281E-3</v>
      </c>
      <c r="AD95" s="520">
        <v>89</v>
      </c>
      <c r="AE95" s="520">
        <v>4.1906537213099544E-3</v>
      </c>
    </row>
    <row r="96" spans="10:31">
      <c r="J96" s="522">
        <v>90</v>
      </c>
      <c r="K96" s="522">
        <v>4.7530486852654045E-3</v>
      </c>
      <c r="T96" s="520">
        <v>90</v>
      </c>
      <c r="U96" s="520">
        <v>4.974340256316598E-3</v>
      </c>
      <c r="AD96" s="520">
        <v>90</v>
      </c>
      <c r="AE96" s="520">
        <v>4.2153041338472566E-3</v>
      </c>
    </row>
    <row r="97" spans="10:31">
      <c r="J97" s="522">
        <v>91</v>
      </c>
      <c r="K97" s="522">
        <v>4.7575025326616095E-3</v>
      </c>
      <c r="T97" s="520">
        <v>91</v>
      </c>
      <c r="U97" s="520">
        <v>4.9720685595117586E-3</v>
      </c>
      <c r="AD97" s="520">
        <v>91</v>
      </c>
      <c r="AE97" s="520">
        <v>4.2275945157871945E-3</v>
      </c>
    </row>
    <row r="98" spans="10:31">
      <c r="J98" s="522">
        <v>92</v>
      </c>
      <c r="K98" s="522">
        <v>4.7563071003743603E-3</v>
      </c>
      <c r="T98" s="520">
        <v>92</v>
      </c>
      <c r="U98" s="520">
        <v>4.9767646438004035E-3</v>
      </c>
      <c r="AD98" s="520">
        <v>92</v>
      </c>
      <c r="AE98" s="520">
        <v>4.2199556997716339E-3</v>
      </c>
    </row>
    <row r="99" spans="10:31">
      <c r="J99" s="522">
        <v>93</v>
      </c>
      <c r="K99" s="522">
        <v>4.749454213197923E-3</v>
      </c>
      <c r="T99" s="520">
        <v>93</v>
      </c>
      <c r="U99" s="520">
        <v>4.9720905823794643E-3</v>
      </c>
      <c r="AD99" s="520">
        <v>93</v>
      </c>
      <c r="AE99" s="520">
        <v>4.2040935103591689E-3</v>
      </c>
    </row>
    <row r="100" spans="10:31">
      <c r="J100" s="522">
        <v>94</v>
      </c>
      <c r="K100" s="522">
        <v>4.7445052190280322E-3</v>
      </c>
      <c r="T100" s="520">
        <v>94</v>
      </c>
      <c r="U100" s="520">
        <v>4.9817704496361061E-3</v>
      </c>
      <c r="AD100" s="520">
        <v>94</v>
      </c>
      <c r="AE100" s="520">
        <v>4.2017631507384051E-3</v>
      </c>
    </row>
    <row r="101" spans="10:31">
      <c r="J101" s="522">
        <v>95</v>
      </c>
      <c r="K101" s="522">
        <v>4.7439226391359614E-3</v>
      </c>
      <c r="T101" s="520">
        <v>95</v>
      </c>
      <c r="U101" s="520">
        <v>4.9702997550944306E-3</v>
      </c>
      <c r="AD101" s="520">
        <v>95</v>
      </c>
      <c r="AE101" s="520">
        <v>4.2097232577423312E-3</v>
      </c>
    </row>
    <row r="102" spans="10:31">
      <c r="J102" s="522">
        <v>96</v>
      </c>
      <c r="K102" s="522">
        <v>4.7443559675257848E-3</v>
      </c>
      <c r="T102" s="520">
        <v>96</v>
      </c>
      <c r="U102" s="520">
        <v>4.966272471274423E-3</v>
      </c>
      <c r="AD102" s="520">
        <v>96</v>
      </c>
      <c r="AE102" s="520">
        <v>4.1935776416716199E-3</v>
      </c>
    </row>
    <row r="103" spans="10:31">
      <c r="J103" s="522">
        <v>97</v>
      </c>
      <c r="K103" s="522">
        <v>4.765660485457849E-3</v>
      </c>
      <c r="T103" s="520">
        <v>97</v>
      </c>
      <c r="U103" s="520">
        <v>4.9700594748123151E-3</v>
      </c>
      <c r="AD103" s="520">
        <v>97</v>
      </c>
      <c r="AE103" s="520">
        <v>4.2127692808156363E-3</v>
      </c>
    </row>
    <row r="104" spans="10:31">
      <c r="J104" s="522">
        <v>98</v>
      </c>
      <c r="K104" s="522">
        <v>4.7554858162671106E-3</v>
      </c>
      <c r="T104" s="520">
        <v>98</v>
      </c>
      <c r="U104" s="520">
        <v>4.9666206482092291E-3</v>
      </c>
      <c r="AD104" s="520">
        <v>98</v>
      </c>
      <c r="AE104" s="520">
        <v>4.2173374459621915E-3</v>
      </c>
    </row>
    <row r="105" spans="10:31">
      <c r="J105" s="522">
        <v>99</v>
      </c>
      <c r="K105" s="522">
        <v>4.7696541745148356E-3</v>
      </c>
      <c r="T105" s="520">
        <v>99</v>
      </c>
      <c r="U105" s="520">
        <v>4.9613085716743192E-3</v>
      </c>
      <c r="AD105" s="520">
        <v>99</v>
      </c>
      <c r="AE105" s="520">
        <v>4.2164354688114464E-3</v>
      </c>
    </row>
    <row r="106" spans="10:31">
      <c r="J106" s="522">
        <v>100</v>
      </c>
      <c r="K106" s="522">
        <v>4.775796383128415E-3</v>
      </c>
      <c r="T106" s="520">
        <v>100</v>
      </c>
      <c r="U106" s="520">
        <v>4.9786614047941692E-3</v>
      </c>
      <c r="AD106" s="520">
        <v>100</v>
      </c>
      <c r="AE106" s="520">
        <v>4.2188490422403096E-3</v>
      </c>
    </row>
    <row r="107" spans="10:31">
      <c r="J107" s="522">
        <v>101</v>
      </c>
      <c r="K107" s="522">
        <v>4.7416843532052284E-3</v>
      </c>
      <c r="T107" s="520">
        <v>101</v>
      </c>
      <c r="U107" s="520">
        <v>4.9768156979951772E-3</v>
      </c>
      <c r="AD107" s="520">
        <v>101</v>
      </c>
      <c r="AE107" s="520">
        <v>4.210054922154067E-3</v>
      </c>
    </row>
    <row r="108" spans="10:31">
      <c r="J108" s="522">
        <v>102</v>
      </c>
      <c r="K108" s="522">
        <v>4.77270708589314E-3</v>
      </c>
      <c r="T108" s="520">
        <v>102</v>
      </c>
      <c r="U108" s="520">
        <v>4.9614621718517739E-3</v>
      </c>
      <c r="AD108" s="520">
        <v>102</v>
      </c>
      <c r="AE108" s="520">
        <v>4.212642399071851E-3</v>
      </c>
    </row>
    <row r="109" spans="10:31">
      <c r="J109" s="522">
        <v>103</v>
      </c>
      <c r="K109" s="522">
        <v>4.7584901056915109E-3</v>
      </c>
      <c r="T109" s="520">
        <v>103</v>
      </c>
      <c r="U109" s="520">
        <v>4.9876886146266461E-3</v>
      </c>
      <c r="AD109" s="520">
        <v>103</v>
      </c>
      <c r="AE109" s="520">
        <v>4.2116279915191818E-3</v>
      </c>
    </row>
    <row r="110" spans="10:31">
      <c r="J110" s="522">
        <v>104</v>
      </c>
      <c r="K110" s="522">
        <v>4.7520154905579606E-3</v>
      </c>
      <c r="T110" s="520">
        <v>104</v>
      </c>
      <c r="U110" s="520">
        <v>4.9658107033115177E-3</v>
      </c>
      <c r="AD110" s="520">
        <v>104</v>
      </c>
      <c r="AE110" s="520">
        <v>4.2039335943477125E-3</v>
      </c>
    </row>
    <row r="111" spans="10:31">
      <c r="J111" s="522">
        <v>105</v>
      </c>
      <c r="K111" s="522">
        <v>4.75987570808917E-3</v>
      </c>
      <c r="T111" s="520">
        <v>105</v>
      </c>
      <c r="U111" s="520">
        <v>4.9684683160391395E-3</v>
      </c>
      <c r="AD111" s="520">
        <v>105</v>
      </c>
      <c r="AE111" s="520">
        <v>4.215970230558785E-3</v>
      </c>
    </row>
    <row r="112" spans="10:31">
      <c r="J112" s="522">
        <v>106</v>
      </c>
      <c r="K112" s="522">
        <v>4.7569145881679112E-3</v>
      </c>
      <c r="T112" s="520">
        <v>106</v>
      </c>
      <c r="U112" s="520">
        <v>4.9862203903308167E-3</v>
      </c>
      <c r="AD112" s="520">
        <v>106</v>
      </c>
      <c r="AE112" s="520">
        <v>4.1968272997100035E-3</v>
      </c>
    </row>
    <row r="113" spans="10:31">
      <c r="J113" s="522">
        <v>107</v>
      </c>
      <c r="K113" s="522">
        <v>4.7604016006299842E-3</v>
      </c>
      <c r="T113" s="520">
        <v>107</v>
      </c>
      <c r="U113" s="520">
        <v>4.9709993614202906E-3</v>
      </c>
      <c r="AD113" s="520">
        <v>107</v>
      </c>
      <c r="AE113" s="520">
        <v>4.2030456522998009E-3</v>
      </c>
    </row>
    <row r="114" spans="10:31">
      <c r="J114" s="522">
        <v>108</v>
      </c>
      <c r="K114" s="522">
        <v>4.770691235246486E-3</v>
      </c>
      <c r="T114" s="520">
        <v>108</v>
      </c>
      <c r="U114" s="520">
        <v>4.9811792094139259E-3</v>
      </c>
      <c r="AD114" s="520">
        <v>108</v>
      </c>
      <c r="AE114" s="520">
        <v>4.2104882465071559E-3</v>
      </c>
    </row>
    <row r="115" spans="10:31">
      <c r="J115" s="522">
        <v>109</v>
      </c>
      <c r="K115" s="522">
        <v>4.7694048819099128E-3</v>
      </c>
      <c r="T115" s="520">
        <v>109</v>
      </c>
      <c r="U115" s="520">
        <v>4.9696711494295644E-3</v>
      </c>
      <c r="AD115" s="520">
        <v>109</v>
      </c>
      <c r="AE115" s="520">
        <v>4.1996113892801765E-3</v>
      </c>
    </row>
    <row r="116" spans="10:31">
      <c r="J116" s="522">
        <v>110</v>
      </c>
      <c r="K116" s="522">
        <v>4.7591590680060181E-3</v>
      </c>
      <c r="T116" s="520">
        <v>110</v>
      </c>
      <c r="U116" s="520">
        <v>4.9675271748321412E-3</v>
      </c>
      <c r="AD116" s="520">
        <v>110</v>
      </c>
      <c r="AE116" s="520">
        <v>4.2105782514396256E-3</v>
      </c>
    </row>
    <row r="117" spans="10:31">
      <c r="J117" s="522">
        <v>111</v>
      </c>
      <c r="K117" s="522">
        <v>4.756348417998566E-3</v>
      </c>
      <c r="T117" s="520">
        <v>111</v>
      </c>
      <c r="U117" s="520">
        <v>4.9685131217896018E-3</v>
      </c>
      <c r="AD117" s="520">
        <v>111</v>
      </c>
      <c r="AE117" s="520">
        <v>4.2123289753636314E-3</v>
      </c>
    </row>
    <row r="118" spans="10:31">
      <c r="J118" s="522">
        <v>112</v>
      </c>
      <c r="K118" s="522">
        <v>4.7487237610493692E-3</v>
      </c>
      <c r="T118" s="520">
        <v>112</v>
      </c>
      <c r="U118" s="520">
        <v>4.9755921444242105E-3</v>
      </c>
      <c r="AD118" s="520">
        <v>112</v>
      </c>
      <c r="AE118" s="520">
        <v>4.2057246541125906E-3</v>
      </c>
    </row>
    <row r="119" spans="10:31">
      <c r="J119" s="522">
        <v>113</v>
      </c>
      <c r="K119" s="522">
        <v>4.7531135819276794E-3</v>
      </c>
      <c r="T119" s="520">
        <v>113</v>
      </c>
      <c r="U119" s="520">
        <v>4.977875084051714E-3</v>
      </c>
      <c r="AD119" s="520">
        <v>113</v>
      </c>
      <c r="AE119" s="520">
        <v>4.1991797151443456E-3</v>
      </c>
    </row>
    <row r="120" spans="10:31">
      <c r="J120" s="522">
        <v>114</v>
      </c>
      <c r="K120" s="522">
        <v>4.7788889469236743E-3</v>
      </c>
      <c r="T120" s="520">
        <v>114</v>
      </c>
      <c r="U120" s="520">
        <v>4.9747250539351594E-3</v>
      </c>
      <c r="AD120" s="520">
        <v>114</v>
      </c>
      <c r="AE120" s="520">
        <v>4.2121004808992335E-3</v>
      </c>
    </row>
    <row r="121" spans="10:31">
      <c r="J121" s="522">
        <v>115</v>
      </c>
      <c r="K121" s="522">
        <v>4.7702463114143324E-3</v>
      </c>
      <c r="T121" s="520">
        <v>115</v>
      </c>
      <c r="U121" s="520">
        <v>4.975580553778153E-3</v>
      </c>
      <c r="AD121" s="520">
        <v>115</v>
      </c>
      <c r="AE121" s="520">
        <v>4.1989785327262216E-3</v>
      </c>
    </row>
    <row r="122" spans="10:31">
      <c r="J122" s="522">
        <v>116</v>
      </c>
      <c r="K122" s="522">
        <v>4.7638323149001719E-3</v>
      </c>
      <c r="T122" s="520">
        <v>116</v>
      </c>
      <c r="U122" s="520">
        <v>4.9701346176707845E-3</v>
      </c>
      <c r="AD122" s="520">
        <v>116</v>
      </c>
      <c r="AE122" s="520">
        <v>4.2105091121099909E-3</v>
      </c>
    </row>
    <row r="123" spans="10:31">
      <c r="J123" s="522">
        <v>117</v>
      </c>
      <c r="K123" s="522">
        <v>4.7678075979641268E-3</v>
      </c>
      <c r="T123" s="520">
        <v>117</v>
      </c>
      <c r="U123" s="520">
        <v>4.9746633495631378E-3</v>
      </c>
      <c r="AD123" s="520">
        <v>117</v>
      </c>
      <c r="AE123" s="520">
        <v>4.214701413998552E-3</v>
      </c>
    </row>
    <row r="124" spans="10:31">
      <c r="J124" s="522">
        <v>118</v>
      </c>
      <c r="K124" s="522">
        <v>4.7533469420728159E-3</v>
      </c>
      <c r="T124" s="520">
        <v>118</v>
      </c>
      <c r="U124" s="520">
        <v>4.9754456688173342E-3</v>
      </c>
      <c r="AD124" s="520">
        <v>118</v>
      </c>
      <c r="AE124" s="520">
        <v>4.2022047521906728E-3</v>
      </c>
    </row>
    <row r="125" spans="10:31">
      <c r="J125" s="522">
        <v>119</v>
      </c>
      <c r="K125" s="522">
        <v>4.7538123186467423E-3</v>
      </c>
      <c r="T125" s="520">
        <v>119</v>
      </c>
      <c r="U125" s="520">
        <v>4.9643246470695247E-3</v>
      </c>
      <c r="AD125" s="520">
        <v>119</v>
      </c>
      <c r="AE125" s="520">
        <v>4.2151512646146595E-3</v>
      </c>
    </row>
    <row r="126" spans="10:31">
      <c r="J126" s="522">
        <v>120</v>
      </c>
      <c r="K126" s="522">
        <v>4.7461479713628157E-3</v>
      </c>
      <c r="T126" s="520">
        <v>120</v>
      </c>
      <c r="U126" s="520">
        <v>4.9826767842392683E-3</v>
      </c>
      <c r="AD126" s="520">
        <v>120</v>
      </c>
      <c r="AE126" s="520">
        <v>4.2107126317428752E-3</v>
      </c>
    </row>
    <row r="127" spans="10:31">
      <c r="J127" s="522">
        <v>121</v>
      </c>
      <c r="K127" s="522">
        <v>4.7655869783912834E-3</v>
      </c>
      <c r="T127" s="520">
        <v>121</v>
      </c>
      <c r="U127" s="520">
        <v>4.9763495518377471E-3</v>
      </c>
      <c r="AD127" s="520">
        <v>121</v>
      </c>
      <c r="AE127" s="520">
        <v>4.2038534361737451E-3</v>
      </c>
    </row>
    <row r="128" spans="10:31">
      <c r="J128" s="522">
        <v>122</v>
      </c>
      <c r="K128" s="522">
        <v>4.743265476911564E-3</v>
      </c>
      <c r="T128" s="520">
        <v>122</v>
      </c>
      <c r="U128" s="520">
        <v>4.972319716013817E-3</v>
      </c>
      <c r="AD128" s="520">
        <v>122</v>
      </c>
      <c r="AE128" s="520">
        <v>4.2229836293522834E-3</v>
      </c>
    </row>
    <row r="129" spans="10:31">
      <c r="J129" s="522">
        <v>123</v>
      </c>
      <c r="K129" s="522">
        <v>4.7511896007965794E-3</v>
      </c>
      <c r="T129" s="520">
        <v>123</v>
      </c>
      <c r="U129" s="520">
        <v>4.9747099846151827E-3</v>
      </c>
      <c r="AD129" s="520">
        <v>123</v>
      </c>
      <c r="AE129" s="520">
        <v>4.2077609402964167E-3</v>
      </c>
    </row>
    <row r="130" spans="10:31">
      <c r="J130" s="522">
        <v>124</v>
      </c>
      <c r="K130" s="522">
        <v>4.7507831517319236E-3</v>
      </c>
      <c r="T130" s="520">
        <v>124</v>
      </c>
      <c r="U130" s="520">
        <v>4.9689630362225873E-3</v>
      </c>
      <c r="AD130" s="520">
        <v>124</v>
      </c>
      <c r="AE130" s="520">
        <v>4.2186882579153878E-3</v>
      </c>
    </row>
    <row r="131" spans="10:31">
      <c r="J131" s="522">
        <v>125</v>
      </c>
      <c r="K131" s="522">
        <v>4.75577101718403E-3</v>
      </c>
      <c r="T131" s="520">
        <v>125</v>
      </c>
      <c r="U131" s="520">
        <v>4.9786437772438722E-3</v>
      </c>
      <c r="AD131" s="520">
        <v>125</v>
      </c>
      <c r="AE131" s="520">
        <v>4.2029029983284812E-3</v>
      </c>
    </row>
    <row r="132" spans="10:31">
      <c r="J132" s="522">
        <v>126</v>
      </c>
      <c r="K132" s="522">
        <v>4.7539915645428352E-3</v>
      </c>
      <c r="T132" s="520">
        <v>126</v>
      </c>
      <c r="U132" s="520">
        <v>4.9803503446492533E-3</v>
      </c>
      <c r="AD132" s="520">
        <v>126</v>
      </c>
      <c r="AE132" s="520">
        <v>4.2049742572358821E-3</v>
      </c>
    </row>
    <row r="133" spans="10:31">
      <c r="J133" s="522">
        <v>127</v>
      </c>
      <c r="K133" s="522">
        <v>4.763265941955537E-3</v>
      </c>
      <c r="T133" s="520">
        <v>127</v>
      </c>
      <c r="U133" s="520">
        <v>4.9989311207610668E-3</v>
      </c>
      <c r="AD133" s="520">
        <v>127</v>
      </c>
      <c r="AE133" s="520">
        <v>4.2094534189186916E-3</v>
      </c>
    </row>
    <row r="134" spans="10:31">
      <c r="J134" s="522">
        <v>128</v>
      </c>
      <c r="K134" s="522">
        <v>4.7643729263262824E-3</v>
      </c>
      <c r="T134" s="520">
        <v>128</v>
      </c>
      <c r="U134" s="520">
        <v>4.9802252855864568E-3</v>
      </c>
      <c r="AD134" s="520">
        <v>128</v>
      </c>
      <c r="AE134" s="520">
        <v>4.2058783834018083E-3</v>
      </c>
    </row>
    <row r="135" spans="10:31">
      <c r="J135" s="522">
        <v>129</v>
      </c>
      <c r="K135" s="522">
        <v>4.7499950372055242E-3</v>
      </c>
      <c r="T135" s="520">
        <v>129</v>
      </c>
      <c r="U135" s="520">
        <v>4.9715934145760903E-3</v>
      </c>
      <c r="AD135" s="520">
        <v>129</v>
      </c>
      <c r="AE135" s="520">
        <v>4.2051616228467445E-3</v>
      </c>
    </row>
    <row r="136" spans="10:31">
      <c r="J136" s="522">
        <v>130</v>
      </c>
      <c r="K136" s="522">
        <v>4.7680362130760314E-3</v>
      </c>
      <c r="T136" s="520">
        <v>130</v>
      </c>
      <c r="U136" s="520">
        <v>4.9730621599452561E-3</v>
      </c>
      <c r="AD136" s="520">
        <v>130</v>
      </c>
      <c r="AE136" s="520">
        <v>4.2158638126169991E-3</v>
      </c>
    </row>
    <row r="137" spans="10:31">
      <c r="J137" s="522">
        <v>131</v>
      </c>
      <c r="K137" s="522">
        <v>4.7539586002419967E-3</v>
      </c>
      <c r="T137" s="520">
        <v>131</v>
      </c>
      <c r="U137" s="520">
        <v>4.9829411410466911E-3</v>
      </c>
      <c r="AD137" s="520">
        <v>131</v>
      </c>
      <c r="AE137" s="520">
        <v>4.215689571268698E-3</v>
      </c>
    </row>
    <row r="138" spans="10:31">
      <c r="J138" s="522">
        <v>132</v>
      </c>
      <c r="K138" s="522">
        <v>4.7710855488272159E-3</v>
      </c>
      <c r="T138" s="520">
        <v>132</v>
      </c>
      <c r="U138" s="520">
        <v>4.9788619500918561E-3</v>
      </c>
      <c r="AD138" s="520">
        <v>132</v>
      </c>
      <c r="AE138" s="520">
        <v>4.2152412034898584E-3</v>
      </c>
    </row>
    <row r="139" spans="10:31">
      <c r="J139" s="522">
        <v>133</v>
      </c>
      <c r="K139" s="522">
        <v>4.7624846627637068E-3</v>
      </c>
      <c r="T139" s="520">
        <v>133</v>
      </c>
      <c r="U139" s="520">
        <v>4.9735278685593036E-3</v>
      </c>
      <c r="AD139" s="520">
        <v>133</v>
      </c>
      <c r="AE139" s="520">
        <v>4.2085173059757119E-3</v>
      </c>
    </row>
    <row r="140" spans="10:31">
      <c r="J140" s="522">
        <v>134</v>
      </c>
      <c r="K140" s="522">
        <v>4.756997045064785E-3</v>
      </c>
      <c r="T140" s="520">
        <v>134</v>
      </c>
      <c r="U140" s="520">
        <v>4.9772563524927349E-3</v>
      </c>
      <c r="AD140" s="520">
        <v>134</v>
      </c>
      <c r="AE140" s="520">
        <v>4.2250756192238311E-3</v>
      </c>
    </row>
    <row r="141" spans="10:31">
      <c r="J141" s="522">
        <v>135</v>
      </c>
      <c r="K141" s="522">
        <v>4.7393693865676314E-3</v>
      </c>
      <c r="T141" s="520">
        <v>135</v>
      </c>
      <c r="U141" s="520">
        <v>4.987890789205471E-3</v>
      </c>
      <c r="AD141" s="520">
        <v>135</v>
      </c>
      <c r="AE141" s="520">
        <v>4.2113173917146971E-3</v>
      </c>
    </row>
    <row r="142" spans="10:31">
      <c r="J142" s="522">
        <v>136</v>
      </c>
      <c r="K142" s="522">
        <v>4.7494138006575082E-3</v>
      </c>
      <c r="T142" s="520">
        <v>136</v>
      </c>
      <c r="U142" s="520">
        <v>4.980558343510323E-3</v>
      </c>
      <c r="AD142" s="520">
        <v>136</v>
      </c>
      <c r="AE142" s="520">
        <v>4.2039759768017103E-3</v>
      </c>
    </row>
    <row r="143" spans="10:31">
      <c r="J143" s="522">
        <v>137</v>
      </c>
      <c r="K143" s="522">
        <v>4.7722721744657918E-3</v>
      </c>
      <c r="T143" s="520">
        <v>137</v>
      </c>
      <c r="U143" s="520">
        <v>4.9663309738279468E-3</v>
      </c>
      <c r="AD143" s="520">
        <v>137</v>
      </c>
      <c r="AE143" s="520">
        <v>4.2142302958096877E-3</v>
      </c>
    </row>
    <row r="144" spans="10:31">
      <c r="J144" s="522">
        <v>138</v>
      </c>
      <c r="K144" s="522">
        <v>4.7578209815277786E-3</v>
      </c>
      <c r="T144" s="520">
        <v>138</v>
      </c>
      <c r="U144" s="520">
        <v>4.986409075929751E-3</v>
      </c>
      <c r="AD144" s="520">
        <v>138</v>
      </c>
      <c r="AE144" s="520">
        <v>4.2002045806683952E-3</v>
      </c>
    </row>
    <row r="145" spans="10:31">
      <c r="J145" s="522">
        <v>139</v>
      </c>
      <c r="K145" s="522">
        <v>4.7616240563509715E-3</v>
      </c>
      <c r="T145" s="520">
        <v>139</v>
      </c>
      <c r="U145" s="520">
        <v>4.9750142425656983E-3</v>
      </c>
      <c r="AD145" s="520">
        <v>139</v>
      </c>
      <c r="AE145" s="520">
        <v>4.1957585980785042E-3</v>
      </c>
    </row>
    <row r="146" spans="10:31">
      <c r="J146" s="522">
        <v>140</v>
      </c>
      <c r="K146" s="522">
        <v>4.7527467148133625E-3</v>
      </c>
      <c r="T146" s="520">
        <v>140</v>
      </c>
      <c r="U146" s="520">
        <v>4.979433308848427E-3</v>
      </c>
      <c r="AD146" s="520">
        <v>140</v>
      </c>
      <c r="AE146" s="520">
        <v>4.2274492171918811E-3</v>
      </c>
    </row>
    <row r="147" spans="10:31">
      <c r="J147" s="522">
        <v>141</v>
      </c>
      <c r="K147" s="522">
        <v>4.7707918503579593E-3</v>
      </c>
      <c r="T147" s="520">
        <v>141</v>
      </c>
      <c r="U147" s="520">
        <v>4.9819478840222231E-3</v>
      </c>
      <c r="AD147" s="520">
        <v>141</v>
      </c>
      <c r="AE147" s="520">
        <v>4.2279065139133069E-3</v>
      </c>
    </row>
    <row r="148" spans="10:31">
      <c r="J148" s="522">
        <v>142</v>
      </c>
      <c r="K148" s="522">
        <v>4.754376918536531E-3</v>
      </c>
      <c r="T148" s="520">
        <v>142</v>
      </c>
      <c r="U148" s="520">
        <v>4.9752279601870788E-3</v>
      </c>
      <c r="AD148" s="520">
        <v>142</v>
      </c>
      <c r="AE148" s="520">
        <v>4.2050794426297085E-3</v>
      </c>
    </row>
    <row r="149" spans="10:31">
      <c r="J149" s="522">
        <v>143</v>
      </c>
      <c r="K149" s="522">
        <v>4.7814953731399974E-3</v>
      </c>
      <c r="T149" s="520">
        <v>143</v>
      </c>
      <c r="U149" s="520">
        <v>4.9742487989968753E-3</v>
      </c>
      <c r="AD149" s="520">
        <v>143</v>
      </c>
      <c r="AE149" s="520">
        <v>4.1950346195798963E-3</v>
      </c>
    </row>
    <row r="150" spans="10:31">
      <c r="J150" s="522">
        <v>144</v>
      </c>
      <c r="K150" s="522">
        <v>4.7670388593568794E-3</v>
      </c>
      <c r="T150" s="520">
        <v>144</v>
      </c>
      <c r="U150" s="520">
        <v>4.9836983047260221E-3</v>
      </c>
      <c r="AD150" s="520">
        <v>144</v>
      </c>
      <c r="AE150" s="520">
        <v>4.2005247524283789E-3</v>
      </c>
    </row>
    <row r="151" spans="10:31">
      <c r="J151" s="522">
        <v>145</v>
      </c>
      <c r="K151" s="522">
        <v>4.7578453316373306E-3</v>
      </c>
      <c r="T151" s="520">
        <v>145</v>
      </c>
      <c r="U151" s="520">
        <v>4.9650986812417456E-3</v>
      </c>
      <c r="AD151" s="520">
        <v>145</v>
      </c>
      <c r="AE151" s="520">
        <v>4.2068481257886365E-3</v>
      </c>
    </row>
    <row r="152" spans="10:31">
      <c r="J152" s="522">
        <v>146</v>
      </c>
      <c r="K152" s="522">
        <v>4.7417194029014346E-3</v>
      </c>
      <c r="T152" s="520">
        <v>146</v>
      </c>
      <c r="U152" s="520">
        <v>4.9794793329701178E-3</v>
      </c>
      <c r="AD152" s="520">
        <v>146</v>
      </c>
      <c r="AE152" s="520">
        <v>4.2083041615021749E-3</v>
      </c>
    </row>
    <row r="153" spans="10:31">
      <c r="J153" s="522">
        <v>147</v>
      </c>
      <c r="K153" s="522">
        <v>4.7608472753788026E-3</v>
      </c>
      <c r="T153" s="520">
        <v>147</v>
      </c>
      <c r="U153" s="520">
        <v>4.963950235794181E-3</v>
      </c>
      <c r="AD153" s="520">
        <v>147</v>
      </c>
      <c r="AE153" s="520">
        <v>4.2120866999535459E-3</v>
      </c>
    </row>
    <row r="154" spans="10:31">
      <c r="J154" s="522">
        <v>148</v>
      </c>
      <c r="K154" s="522">
        <v>4.7535070072957757E-3</v>
      </c>
      <c r="T154" s="520">
        <v>148</v>
      </c>
      <c r="U154" s="520">
        <v>4.964619002537897E-3</v>
      </c>
      <c r="AD154" s="520">
        <v>148</v>
      </c>
      <c r="AE154" s="520">
        <v>4.204341948794754E-3</v>
      </c>
    </row>
    <row r="155" spans="10:31">
      <c r="J155" s="522">
        <v>149</v>
      </c>
      <c r="K155" s="522">
        <v>4.7614489125489875E-3</v>
      </c>
      <c r="T155" s="520">
        <v>149</v>
      </c>
      <c r="U155" s="520">
        <v>4.9780290275725017E-3</v>
      </c>
      <c r="AD155" s="520">
        <v>149</v>
      </c>
      <c r="AE155" s="520">
        <v>4.2001323507609026E-3</v>
      </c>
    </row>
    <row r="156" spans="10:31">
      <c r="J156" s="522">
        <v>150</v>
      </c>
      <c r="K156" s="522">
        <v>4.7460678930563976E-3</v>
      </c>
      <c r="T156" s="520">
        <v>150</v>
      </c>
      <c r="U156" s="520">
        <v>4.9724926431553018E-3</v>
      </c>
      <c r="AD156" s="520">
        <v>150</v>
      </c>
      <c r="AE156" s="520">
        <v>4.2246052353308418E-3</v>
      </c>
    </row>
    <row r="157" spans="10:31">
      <c r="J157" s="522">
        <v>151</v>
      </c>
      <c r="K157" s="522">
        <v>4.725345105281286E-3</v>
      </c>
      <c r="T157" s="520">
        <v>151</v>
      </c>
      <c r="U157" s="520">
        <v>4.9786226333708534E-3</v>
      </c>
      <c r="AD157" s="520">
        <v>151</v>
      </c>
      <c r="AE157" s="520">
        <v>4.2014842975451735E-3</v>
      </c>
    </row>
    <row r="158" spans="10:31">
      <c r="J158" s="522">
        <v>152</v>
      </c>
      <c r="K158" s="522">
        <v>4.7426491929498903E-3</v>
      </c>
      <c r="T158" s="520">
        <v>152</v>
      </c>
      <c r="U158" s="520">
        <v>4.9776280808570385E-3</v>
      </c>
      <c r="AD158" s="520">
        <v>152</v>
      </c>
      <c r="AE158" s="520">
        <v>4.2029115445186161E-3</v>
      </c>
    </row>
    <row r="159" spans="10:31">
      <c r="J159" s="522">
        <v>153</v>
      </c>
      <c r="K159" s="522">
        <v>4.7750667560374259E-3</v>
      </c>
      <c r="T159" s="520">
        <v>153</v>
      </c>
      <c r="U159" s="520">
        <v>4.9686677816888668E-3</v>
      </c>
      <c r="AD159" s="520">
        <v>153</v>
      </c>
      <c r="AE159" s="520">
        <v>4.2176768807208765E-3</v>
      </c>
    </row>
    <row r="160" spans="10:31">
      <c r="J160" s="522">
        <v>154</v>
      </c>
      <c r="K160" s="522">
        <v>4.7441424024675652E-3</v>
      </c>
      <c r="T160" s="520">
        <v>154</v>
      </c>
      <c r="U160" s="520">
        <v>4.9747678453948667E-3</v>
      </c>
      <c r="AD160" s="520">
        <v>154</v>
      </c>
      <c r="AE160" s="520">
        <v>4.226743005582739E-3</v>
      </c>
    </row>
    <row r="161" spans="10:31">
      <c r="J161" s="522">
        <v>155</v>
      </c>
      <c r="K161" s="522">
        <v>4.7736038705691944E-3</v>
      </c>
      <c r="T161" s="520">
        <v>155</v>
      </c>
      <c r="U161" s="520">
        <v>4.9635134198208943E-3</v>
      </c>
      <c r="AD161" s="520">
        <v>155</v>
      </c>
      <c r="AE161" s="520">
        <v>4.2105085725178916E-3</v>
      </c>
    </row>
    <row r="162" spans="10:31">
      <c r="J162" s="522">
        <v>156</v>
      </c>
      <c r="K162" s="522">
        <v>4.7534390864060316E-3</v>
      </c>
      <c r="T162" s="520">
        <v>156</v>
      </c>
      <c r="U162" s="520">
        <v>4.9685859490406128E-3</v>
      </c>
      <c r="AD162" s="520">
        <v>156</v>
      </c>
      <c r="AE162" s="520">
        <v>4.2001365917472026E-3</v>
      </c>
    </row>
    <row r="163" spans="10:31">
      <c r="J163" s="522">
        <v>157</v>
      </c>
      <c r="K163" s="522">
        <v>4.7498068597440881E-3</v>
      </c>
      <c r="T163" s="520">
        <v>157</v>
      </c>
      <c r="U163" s="520">
        <v>4.9801381182562904E-3</v>
      </c>
      <c r="AD163" s="520">
        <v>157</v>
      </c>
      <c r="AE163" s="520">
        <v>4.2159873501959669E-3</v>
      </c>
    </row>
    <row r="164" spans="10:31">
      <c r="J164" s="522">
        <v>158</v>
      </c>
      <c r="K164" s="522">
        <v>4.7452396954341816E-3</v>
      </c>
      <c r="T164" s="520">
        <v>158</v>
      </c>
      <c r="U164" s="520">
        <v>4.9675771242605818E-3</v>
      </c>
      <c r="AD164" s="520">
        <v>158</v>
      </c>
      <c r="AE164" s="520">
        <v>4.2128434593006244E-3</v>
      </c>
    </row>
    <row r="165" spans="10:31">
      <c r="J165" s="522">
        <v>159</v>
      </c>
      <c r="K165" s="522">
        <v>4.7578699221690491E-3</v>
      </c>
      <c r="T165" s="520">
        <v>159</v>
      </c>
      <c r="U165" s="520">
        <v>4.9803250033605799E-3</v>
      </c>
      <c r="AD165" s="520">
        <v>159</v>
      </c>
      <c r="AE165" s="520">
        <v>4.2056108761937541E-3</v>
      </c>
    </row>
    <row r="166" spans="10:31">
      <c r="J166" s="522">
        <v>160</v>
      </c>
      <c r="K166" s="522">
        <v>4.7837977282346369E-3</v>
      </c>
      <c r="T166" s="520">
        <v>160</v>
      </c>
      <c r="U166" s="520">
        <v>4.9805852408422568E-3</v>
      </c>
      <c r="AD166" s="520">
        <v>160</v>
      </c>
      <c r="AE166" s="520">
        <v>4.2017973354178811E-3</v>
      </c>
    </row>
    <row r="167" spans="10:31">
      <c r="J167" s="522">
        <v>161</v>
      </c>
      <c r="K167" s="522">
        <v>4.751964210804073E-3</v>
      </c>
      <c r="T167" s="520">
        <v>161</v>
      </c>
      <c r="U167" s="520">
        <v>4.9774530583486043E-3</v>
      </c>
      <c r="AD167" s="520">
        <v>161</v>
      </c>
      <c r="AE167" s="520">
        <v>4.2050697612460337E-3</v>
      </c>
    </row>
    <row r="168" spans="10:31">
      <c r="J168" s="522">
        <v>162</v>
      </c>
      <c r="K168" s="522">
        <v>4.7664502072062784E-3</v>
      </c>
      <c r="T168" s="520">
        <v>162</v>
      </c>
      <c r="U168" s="520">
        <v>4.973770620119603E-3</v>
      </c>
      <c r="AD168" s="520">
        <v>162</v>
      </c>
      <c r="AE168" s="520">
        <v>4.2012262018346121E-3</v>
      </c>
    </row>
    <row r="169" spans="10:31">
      <c r="J169" s="522">
        <v>163</v>
      </c>
      <c r="K169" s="522">
        <v>4.760127374121687E-3</v>
      </c>
      <c r="T169" s="520">
        <v>163</v>
      </c>
      <c r="U169" s="520">
        <v>4.9666725337622012E-3</v>
      </c>
      <c r="AD169" s="520">
        <v>163</v>
      </c>
      <c r="AE169" s="520">
        <v>4.2010679873866657E-3</v>
      </c>
    </row>
    <row r="170" spans="10:31">
      <c r="J170" s="522">
        <v>164</v>
      </c>
      <c r="K170" s="522">
        <v>4.7531353890974768E-3</v>
      </c>
      <c r="T170" s="520">
        <v>164</v>
      </c>
      <c r="U170" s="520">
        <v>4.9773105572624874E-3</v>
      </c>
      <c r="AD170" s="520">
        <v>164</v>
      </c>
      <c r="AE170" s="520">
        <v>4.2107583078237225E-3</v>
      </c>
    </row>
    <row r="171" spans="10:31">
      <c r="J171" s="522">
        <v>165</v>
      </c>
      <c r="K171" s="522">
        <v>4.7597834431241581E-3</v>
      </c>
      <c r="T171" s="520">
        <v>165</v>
      </c>
      <c r="U171" s="520">
        <v>4.9767378228638259E-3</v>
      </c>
      <c r="AD171" s="520">
        <v>165</v>
      </c>
      <c r="AE171" s="520">
        <v>4.2040368122496707E-3</v>
      </c>
    </row>
    <row r="172" spans="10:31">
      <c r="J172" s="522">
        <v>166</v>
      </c>
      <c r="K172" s="522">
        <v>4.7506746343477001E-3</v>
      </c>
      <c r="T172" s="520">
        <v>166</v>
      </c>
      <c r="U172" s="520">
        <v>4.9899364430847316E-3</v>
      </c>
      <c r="AD172" s="520">
        <v>166</v>
      </c>
      <c r="AE172" s="520">
        <v>4.2054503558742688E-3</v>
      </c>
    </row>
    <row r="173" spans="10:31">
      <c r="J173" s="522">
        <v>167</v>
      </c>
      <c r="K173" s="522">
        <v>4.7530175178954201E-3</v>
      </c>
      <c r="T173" s="520">
        <v>167</v>
      </c>
      <c r="U173" s="520">
        <v>4.9684370872156488E-3</v>
      </c>
      <c r="AD173" s="520">
        <v>167</v>
      </c>
      <c r="AE173" s="520">
        <v>4.2079562940818245E-3</v>
      </c>
    </row>
    <row r="174" spans="10:31">
      <c r="J174" s="522">
        <v>168</v>
      </c>
      <c r="K174" s="522">
        <v>4.7693786661846893E-3</v>
      </c>
      <c r="T174" s="520">
        <v>168</v>
      </c>
      <c r="U174" s="520">
        <v>4.9750973584126975E-3</v>
      </c>
      <c r="AD174" s="520">
        <v>168</v>
      </c>
      <c r="AE174" s="520">
        <v>4.2101606604064076E-3</v>
      </c>
    </row>
    <row r="175" spans="10:31">
      <c r="J175" s="522">
        <v>169</v>
      </c>
      <c r="K175" s="522">
        <v>4.7618058210071304E-3</v>
      </c>
      <c r="T175" s="520">
        <v>169</v>
      </c>
      <c r="U175" s="520">
        <v>4.97247647176238E-3</v>
      </c>
      <c r="AD175" s="520">
        <v>169</v>
      </c>
      <c r="AE175" s="520">
        <v>4.216803040263512E-3</v>
      </c>
    </row>
    <row r="176" spans="10:31">
      <c r="J176" s="522">
        <v>170</v>
      </c>
      <c r="K176" s="522">
        <v>4.7603506008366782E-3</v>
      </c>
      <c r="T176" s="520">
        <v>170</v>
      </c>
      <c r="U176" s="520">
        <v>4.9777679899459968E-3</v>
      </c>
      <c r="AD176" s="520">
        <v>170</v>
      </c>
      <c r="AE176" s="520">
        <v>4.2175720704541366E-3</v>
      </c>
    </row>
    <row r="177" spans="10:31">
      <c r="J177" s="522">
        <v>171</v>
      </c>
      <c r="K177" s="522">
        <v>4.7563658766898859E-3</v>
      </c>
      <c r="T177" s="520">
        <v>171</v>
      </c>
      <c r="U177" s="520">
        <v>4.9712951084881583E-3</v>
      </c>
      <c r="AD177" s="520">
        <v>171</v>
      </c>
      <c r="AE177" s="520">
        <v>4.2093405789944598E-3</v>
      </c>
    </row>
    <row r="178" spans="10:31">
      <c r="J178" s="522">
        <v>172</v>
      </c>
      <c r="K178" s="522">
        <v>4.755297644751748E-3</v>
      </c>
      <c r="T178" s="520">
        <v>172</v>
      </c>
      <c r="U178" s="520">
        <v>4.9535026222828054E-3</v>
      </c>
      <c r="AD178" s="520">
        <v>172</v>
      </c>
      <c r="AE178" s="520">
        <v>4.2105169863273411E-3</v>
      </c>
    </row>
    <row r="179" spans="10:31">
      <c r="J179" s="522">
        <v>173</v>
      </c>
      <c r="K179" s="522">
        <v>4.7352240653907402E-3</v>
      </c>
      <c r="T179" s="520">
        <v>173</v>
      </c>
      <c r="U179" s="520">
        <v>4.9729855663633417E-3</v>
      </c>
      <c r="AD179" s="520">
        <v>173</v>
      </c>
      <c r="AE179" s="520">
        <v>4.1939445299175966E-3</v>
      </c>
    </row>
    <row r="180" spans="10:31">
      <c r="J180" s="522">
        <v>174</v>
      </c>
      <c r="K180" s="522">
        <v>4.7308594886099785E-3</v>
      </c>
      <c r="T180" s="520">
        <v>174</v>
      </c>
      <c r="U180" s="520">
        <v>4.9831973013566323E-3</v>
      </c>
      <c r="AD180" s="520">
        <v>174</v>
      </c>
      <c r="AE180" s="520">
        <v>4.2198697082750604E-3</v>
      </c>
    </row>
    <row r="181" spans="10:31">
      <c r="J181" s="522">
        <v>175</v>
      </c>
      <c r="K181" s="522">
        <v>4.7604795363073082E-3</v>
      </c>
      <c r="T181" s="520">
        <v>175</v>
      </c>
      <c r="U181" s="520">
        <v>4.9793290494700125E-3</v>
      </c>
      <c r="AD181" s="520">
        <v>175</v>
      </c>
      <c r="AE181" s="520">
        <v>4.2250218999270199E-3</v>
      </c>
    </row>
    <row r="182" spans="10:31">
      <c r="J182" s="522">
        <v>176</v>
      </c>
      <c r="K182" s="522">
        <v>4.7650494874511692E-3</v>
      </c>
      <c r="T182" s="520">
        <v>176</v>
      </c>
      <c r="U182" s="520">
        <v>4.9772105582453329E-3</v>
      </c>
      <c r="AD182" s="520">
        <v>176</v>
      </c>
      <c r="AE182" s="520">
        <v>4.2029555893373562E-3</v>
      </c>
    </row>
    <row r="183" spans="10:31">
      <c r="J183" s="522">
        <v>177</v>
      </c>
      <c r="K183" s="522">
        <v>4.7629556363963065E-3</v>
      </c>
      <c r="T183" s="520">
        <v>177</v>
      </c>
      <c r="U183" s="520">
        <v>4.9805815628751774E-3</v>
      </c>
      <c r="AD183" s="520">
        <v>177</v>
      </c>
      <c r="AE183" s="520">
        <v>4.2044499671466638E-3</v>
      </c>
    </row>
    <row r="184" spans="10:31">
      <c r="J184" s="522">
        <v>178</v>
      </c>
      <c r="K184" s="522">
        <v>4.7608910825220558E-3</v>
      </c>
      <c r="T184" s="520">
        <v>178</v>
      </c>
      <c r="U184" s="520">
        <v>4.9716181406541634E-3</v>
      </c>
      <c r="AD184" s="520">
        <v>178</v>
      </c>
      <c r="AE184" s="520">
        <v>4.2125293131763516E-3</v>
      </c>
    </row>
    <row r="185" spans="10:31">
      <c r="J185" s="522">
        <v>179</v>
      </c>
      <c r="K185" s="522">
        <v>4.7451397473026674E-3</v>
      </c>
      <c r="T185" s="520">
        <v>179</v>
      </c>
      <c r="U185" s="520">
        <v>4.9750076128157374E-3</v>
      </c>
      <c r="AD185" s="520">
        <v>179</v>
      </c>
      <c r="AE185" s="520">
        <v>4.2164748161792383E-3</v>
      </c>
    </row>
    <row r="186" spans="10:31">
      <c r="J186" s="522">
        <v>180</v>
      </c>
      <c r="K186" s="522">
        <v>4.7574323530170893E-3</v>
      </c>
      <c r="T186" s="520">
        <v>180</v>
      </c>
      <c r="U186" s="520">
        <v>4.9881605357654599E-3</v>
      </c>
      <c r="AD186" s="520">
        <v>180</v>
      </c>
      <c r="AE186" s="520">
        <v>4.2129240637780356E-3</v>
      </c>
    </row>
    <row r="187" spans="10:31">
      <c r="J187" s="522">
        <v>181</v>
      </c>
      <c r="K187" s="522">
        <v>4.768178518895853E-3</v>
      </c>
      <c r="T187" s="520">
        <v>181</v>
      </c>
      <c r="U187" s="520">
        <v>4.9828759852129471E-3</v>
      </c>
      <c r="AD187" s="520">
        <v>181</v>
      </c>
      <c r="AE187" s="520">
        <v>4.215368710752827E-3</v>
      </c>
    </row>
    <row r="188" spans="10:31">
      <c r="J188" s="522">
        <v>182</v>
      </c>
      <c r="K188" s="522">
        <v>4.7526072552961226E-3</v>
      </c>
      <c r="T188" s="520">
        <v>182</v>
      </c>
      <c r="U188" s="520">
        <v>4.9830016655839447E-3</v>
      </c>
      <c r="AD188" s="520">
        <v>182</v>
      </c>
      <c r="AE188" s="520">
        <v>4.2295707571417852E-3</v>
      </c>
    </row>
    <row r="189" spans="10:31">
      <c r="J189" s="522">
        <v>183</v>
      </c>
      <c r="K189" s="522">
        <v>4.7605201533993469E-3</v>
      </c>
      <c r="T189" s="520">
        <v>183</v>
      </c>
      <c r="U189" s="520">
        <v>4.9728589163249293E-3</v>
      </c>
      <c r="AD189" s="520">
        <v>183</v>
      </c>
      <c r="AE189" s="520">
        <v>4.2165354582672119E-3</v>
      </c>
    </row>
    <row r="190" spans="10:31">
      <c r="J190" s="522">
        <v>184</v>
      </c>
      <c r="K190" s="522">
        <v>4.7716902375500468E-3</v>
      </c>
      <c r="T190" s="520">
        <v>184</v>
      </c>
      <c r="U190" s="520">
        <v>4.9732775510534684E-3</v>
      </c>
      <c r="AD190" s="520">
        <v>184</v>
      </c>
      <c r="AE190" s="520">
        <v>4.2297464727775406E-3</v>
      </c>
    </row>
    <row r="191" spans="10:31">
      <c r="J191" s="522">
        <v>185</v>
      </c>
      <c r="K191" s="522">
        <v>4.7671957514897551E-3</v>
      </c>
      <c r="T191" s="520">
        <v>185</v>
      </c>
      <c r="U191" s="520">
        <v>4.9671130587689225E-3</v>
      </c>
      <c r="AD191" s="520">
        <v>185</v>
      </c>
      <c r="AE191" s="520">
        <v>4.2076386614107583E-3</v>
      </c>
    </row>
    <row r="192" spans="10:31">
      <c r="J192" s="522">
        <v>186</v>
      </c>
      <c r="K192" s="522">
        <v>4.7612708200642654E-3</v>
      </c>
      <c r="T192" s="520">
        <v>186</v>
      </c>
      <c r="U192" s="520">
        <v>4.979698843628832E-3</v>
      </c>
      <c r="AD192" s="520">
        <v>186</v>
      </c>
      <c r="AE192" s="520">
        <v>4.2196434596956673E-3</v>
      </c>
    </row>
    <row r="193" spans="10:31">
      <c r="J193" s="522">
        <v>187</v>
      </c>
      <c r="K193" s="522">
        <v>4.7544721484294268E-3</v>
      </c>
      <c r="T193" s="520">
        <v>187</v>
      </c>
      <c r="U193" s="520">
        <v>4.9689264774533904E-3</v>
      </c>
      <c r="AD193" s="520">
        <v>187</v>
      </c>
      <c r="AE193" s="520">
        <v>4.2079909407971338E-3</v>
      </c>
    </row>
    <row r="194" spans="10:31">
      <c r="J194" s="522">
        <v>188</v>
      </c>
      <c r="K194" s="522">
        <v>4.7524393543518896E-3</v>
      </c>
      <c r="T194" s="520">
        <v>188</v>
      </c>
      <c r="U194" s="520">
        <v>4.964128541990017E-3</v>
      </c>
      <c r="AD194" s="520">
        <v>188</v>
      </c>
      <c r="AE194" s="520">
        <v>4.2077590189949212E-3</v>
      </c>
    </row>
    <row r="195" spans="10:31">
      <c r="J195" s="522">
        <v>189</v>
      </c>
      <c r="K195" s="522">
        <v>4.7581068149234141E-3</v>
      </c>
      <c r="T195" s="520">
        <v>189</v>
      </c>
      <c r="U195" s="520">
        <v>4.959452901128817E-3</v>
      </c>
      <c r="AD195" s="520">
        <v>189</v>
      </c>
      <c r="AE195" s="520">
        <v>4.18829561394953E-3</v>
      </c>
    </row>
    <row r="196" spans="10:31">
      <c r="J196" s="522">
        <v>190</v>
      </c>
      <c r="K196" s="522">
        <v>4.7490925801063413E-3</v>
      </c>
      <c r="T196" s="520">
        <v>190</v>
      </c>
      <c r="U196" s="520">
        <v>4.9725137245631486E-3</v>
      </c>
      <c r="AD196" s="520">
        <v>190</v>
      </c>
      <c r="AE196" s="520">
        <v>4.216812096361329E-3</v>
      </c>
    </row>
    <row r="197" spans="10:31">
      <c r="J197" s="522">
        <v>191</v>
      </c>
      <c r="K197" s="522">
        <v>4.7732921823153644E-3</v>
      </c>
      <c r="T197" s="520">
        <v>191</v>
      </c>
      <c r="U197" s="520">
        <v>4.9748286454231044E-3</v>
      </c>
      <c r="AD197" s="520">
        <v>191</v>
      </c>
      <c r="AE197" s="520">
        <v>4.2032315241809278E-3</v>
      </c>
    </row>
    <row r="198" spans="10:31">
      <c r="J198" s="522">
        <v>192</v>
      </c>
      <c r="K198" s="522">
        <v>4.7438686990763628E-3</v>
      </c>
      <c r="T198" s="520">
        <v>192</v>
      </c>
      <c r="U198" s="520">
        <v>4.9759948361128258E-3</v>
      </c>
      <c r="AD198" s="520">
        <v>192</v>
      </c>
      <c r="AE198" s="520">
        <v>4.2099216833473589E-3</v>
      </c>
    </row>
    <row r="199" spans="10:31">
      <c r="J199" s="522">
        <v>193</v>
      </c>
      <c r="K199" s="522">
        <v>4.7551244152856161E-3</v>
      </c>
      <c r="T199" s="520">
        <v>193</v>
      </c>
      <c r="U199" s="520">
        <v>4.9576109916881564E-3</v>
      </c>
      <c r="AD199" s="520">
        <v>193</v>
      </c>
      <c r="AE199" s="520">
        <v>4.196491691068849E-3</v>
      </c>
    </row>
    <row r="200" spans="10:31">
      <c r="J200" s="522">
        <v>194</v>
      </c>
      <c r="K200" s="522">
        <v>4.7488876010366278E-3</v>
      </c>
      <c r="T200" s="520">
        <v>194</v>
      </c>
      <c r="U200" s="520">
        <v>4.9895647903575287E-3</v>
      </c>
      <c r="AD200" s="520">
        <v>194</v>
      </c>
      <c r="AE200" s="520">
        <v>4.2223290190170964E-3</v>
      </c>
    </row>
    <row r="201" spans="10:31">
      <c r="J201" s="522">
        <v>195</v>
      </c>
      <c r="K201" s="522">
        <v>4.7507893484664381E-3</v>
      </c>
      <c r="T201" s="520">
        <v>195</v>
      </c>
      <c r="U201" s="520">
        <v>4.984491174573346E-3</v>
      </c>
      <c r="AD201" s="520">
        <v>195</v>
      </c>
      <c r="AE201" s="520">
        <v>4.2192879109042699E-3</v>
      </c>
    </row>
    <row r="202" spans="10:31">
      <c r="J202" s="522">
        <v>196</v>
      </c>
      <c r="K202" s="522">
        <v>4.765253991703149E-3</v>
      </c>
      <c r="T202" s="520">
        <v>196</v>
      </c>
      <c r="U202" s="520">
        <v>4.9884532312221667E-3</v>
      </c>
      <c r="AD202" s="520">
        <v>196</v>
      </c>
      <c r="AE202" s="520">
        <v>4.1972316711958351E-3</v>
      </c>
    </row>
    <row r="203" spans="10:31">
      <c r="J203" s="522">
        <v>197</v>
      </c>
      <c r="K203" s="522">
        <v>4.7463586196869996E-3</v>
      </c>
      <c r="T203" s="520">
        <v>197</v>
      </c>
      <c r="U203" s="520">
        <v>4.9752227626182919E-3</v>
      </c>
      <c r="AD203" s="520">
        <v>197</v>
      </c>
      <c r="AE203" s="520">
        <v>4.2160357911703696E-3</v>
      </c>
    </row>
    <row r="204" spans="10:31">
      <c r="J204" s="522">
        <v>198</v>
      </c>
      <c r="K204" s="522">
        <v>4.7601507930017384E-3</v>
      </c>
      <c r="T204" s="520">
        <v>198</v>
      </c>
      <c r="U204" s="520">
        <v>4.9912427395174706E-3</v>
      </c>
      <c r="AD204" s="520">
        <v>198</v>
      </c>
      <c r="AE204" s="520">
        <v>4.2018708717591041E-3</v>
      </c>
    </row>
    <row r="205" spans="10:31">
      <c r="J205" s="522">
        <v>199</v>
      </c>
      <c r="K205" s="522">
        <v>4.7527090454072239E-3</v>
      </c>
      <c r="T205" s="520">
        <v>199</v>
      </c>
      <c r="U205" s="520">
        <v>4.982941456492777E-3</v>
      </c>
      <c r="AD205" s="520">
        <v>199</v>
      </c>
      <c r="AE205" s="520">
        <v>4.2148092708522468E-3</v>
      </c>
    </row>
    <row r="206" spans="10:31">
      <c r="J206" s="522">
        <v>200</v>
      </c>
      <c r="K206" s="522">
        <v>4.7432728569128772E-3</v>
      </c>
      <c r="T206" s="520">
        <v>200</v>
      </c>
      <c r="U206" s="520">
        <v>4.982453595982865E-3</v>
      </c>
      <c r="AD206" s="520">
        <v>200</v>
      </c>
      <c r="AE206" s="520">
        <v>4.2214023371197774E-3</v>
      </c>
    </row>
    <row r="207" spans="10:31">
      <c r="J207" s="522">
        <v>201</v>
      </c>
      <c r="K207" s="522">
        <v>4.7475300539495998E-3</v>
      </c>
      <c r="T207" s="520">
        <v>201</v>
      </c>
      <c r="U207" s="520">
        <v>4.9889025848258847E-3</v>
      </c>
      <c r="AD207" s="520">
        <v>201</v>
      </c>
      <c r="AE207" s="520">
        <v>4.2165830948166141E-3</v>
      </c>
    </row>
    <row r="208" spans="10:31">
      <c r="J208" s="522">
        <v>202</v>
      </c>
      <c r="K208" s="522">
        <v>4.751630206961073E-3</v>
      </c>
      <c r="T208" s="520">
        <v>202</v>
      </c>
      <c r="U208" s="520">
        <v>4.9867229104263461E-3</v>
      </c>
      <c r="AD208" s="520">
        <v>202</v>
      </c>
      <c r="AE208" s="520">
        <v>4.2229042018717038E-3</v>
      </c>
    </row>
    <row r="209" spans="10:31">
      <c r="J209" s="522">
        <v>203</v>
      </c>
      <c r="K209" s="522">
        <v>4.7464961474325083E-3</v>
      </c>
      <c r="T209" s="520">
        <v>203</v>
      </c>
      <c r="U209" s="520">
        <v>4.9671512467806657E-3</v>
      </c>
      <c r="AD209" s="520">
        <v>203</v>
      </c>
      <c r="AE209" s="520">
        <v>4.2119245608014623E-3</v>
      </c>
    </row>
    <row r="210" spans="10:31">
      <c r="J210" s="522">
        <v>204</v>
      </c>
      <c r="K210" s="522">
        <v>4.7634070305576379E-3</v>
      </c>
      <c r="T210" s="520">
        <v>204</v>
      </c>
      <c r="U210" s="520">
        <v>4.963030842959619E-3</v>
      </c>
      <c r="AD210" s="520">
        <v>204</v>
      </c>
      <c r="AE210" s="520">
        <v>4.20209752878168E-3</v>
      </c>
    </row>
    <row r="211" spans="10:31">
      <c r="J211" s="522">
        <v>205</v>
      </c>
      <c r="K211" s="522">
        <v>4.7438880916298477E-3</v>
      </c>
      <c r="T211" s="520">
        <v>205</v>
      </c>
      <c r="U211" s="520">
        <v>4.9780687189317383E-3</v>
      </c>
      <c r="AD211" s="520">
        <v>205</v>
      </c>
      <c r="AE211" s="520">
        <v>4.2269642142637783E-3</v>
      </c>
    </row>
    <row r="212" spans="10:31">
      <c r="J212" s="522">
        <v>206</v>
      </c>
      <c r="K212" s="522">
        <v>4.7574570412784447E-3</v>
      </c>
      <c r="T212" s="520">
        <v>206</v>
      </c>
      <c r="U212" s="520">
        <v>4.978793977157535E-3</v>
      </c>
      <c r="AD212" s="520">
        <v>206</v>
      </c>
      <c r="AE212" s="520">
        <v>4.2144659481167775E-3</v>
      </c>
    </row>
    <row r="213" spans="10:31">
      <c r="J213" s="522">
        <v>207</v>
      </c>
      <c r="K213" s="522">
        <v>4.7487849299712127E-3</v>
      </c>
      <c r="T213" s="520">
        <v>207</v>
      </c>
      <c r="U213" s="520">
        <v>4.97594841000841E-3</v>
      </c>
      <c r="AD213" s="520">
        <v>207</v>
      </c>
      <c r="AE213" s="520">
        <v>4.2044285693696769E-3</v>
      </c>
    </row>
    <row r="214" spans="10:31">
      <c r="J214" s="522">
        <v>208</v>
      </c>
      <c r="K214" s="522">
        <v>4.7590655729044746E-3</v>
      </c>
      <c r="T214" s="520">
        <v>208</v>
      </c>
      <c r="U214" s="520">
        <v>4.9792308481005701E-3</v>
      </c>
      <c r="AD214" s="520">
        <v>208</v>
      </c>
      <c r="AE214" s="520">
        <v>4.217582476422242E-3</v>
      </c>
    </row>
    <row r="215" spans="10:31">
      <c r="J215" s="522">
        <v>209</v>
      </c>
      <c r="K215" s="522">
        <v>4.7626054266410268E-3</v>
      </c>
      <c r="T215" s="520">
        <v>209</v>
      </c>
      <c r="U215" s="520">
        <v>4.967765699324017E-3</v>
      </c>
      <c r="AD215" s="520">
        <v>209</v>
      </c>
      <c r="AE215" s="520">
        <v>4.2221583473750369E-3</v>
      </c>
    </row>
    <row r="216" spans="10:31">
      <c r="J216" s="522">
        <v>210</v>
      </c>
      <c r="K216" s="522">
        <v>4.7606488139705317E-3</v>
      </c>
      <c r="T216" s="520">
        <v>210</v>
      </c>
      <c r="U216" s="520">
        <v>4.9896639155945308E-3</v>
      </c>
      <c r="AD216" s="520">
        <v>210</v>
      </c>
      <c r="AE216" s="520">
        <v>4.205297466643664E-3</v>
      </c>
    </row>
    <row r="217" spans="10:31">
      <c r="J217" s="522">
        <v>211</v>
      </c>
      <c r="K217" s="522">
        <v>4.7474143439551354E-3</v>
      </c>
      <c r="T217" s="520">
        <v>211</v>
      </c>
      <c r="U217" s="520">
        <v>4.983956407502127E-3</v>
      </c>
      <c r="AD217" s="520">
        <v>211</v>
      </c>
      <c r="AE217" s="520">
        <v>4.213607730476205E-3</v>
      </c>
    </row>
    <row r="218" spans="10:31">
      <c r="J218" s="522">
        <v>212</v>
      </c>
      <c r="K218" s="522">
        <v>4.7445739639411302E-3</v>
      </c>
      <c r="T218" s="520">
        <v>212</v>
      </c>
      <c r="U218" s="520">
        <v>4.9794469106679007E-3</v>
      </c>
      <c r="AD218" s="520">
        <v>212</v>
      </c>
      <c r="AE218" s="520">
        <v>4.2139472173031564E-3</v>
      </c>
    </row>
    <row r="219" spans="10:31">
      <c r="J219" s="522">
        <v>213</v>
      </c>
      <c r="K219" s="522">
        <v>4.7539369316996838E-3</v>
      </c>
      <c r="T219" s="520">
        <v>213</v>
      </c>
      <c r="U219" s="520">
        <v>4.9787061010828802E-3</v>
      </c>
      <c r="AD219" s="520">
        <v>213</v>
      </c>
      <c r="AE219" s="520">
        <v>4.2090325675817001E-3</v>
      </c>
    </row>
    <row r="220" spans="10:31">
      <c r="J220" s="522">
        <v>214</v>
      </c>
      <c r="K220" s="522">
        <v>4.7685222248021186E-3</v>
      </c>
      <c r="T220" s="520">
        <v>214</v>
      </c>
      <c r="U220" s="520">
        <v>4.9854826248104233E-3</v>
      </c>
      <c r="AD220" s="520">
        <v>214</v>
      </c>
      <c r="AE220" s="520">
        <v>4.2041236189062064E-3</v>
      </c>
    </row>
    <row r="221" spans="10:31">
      <c r="J221" s="522">
        <v>215</v>
      </c>
      <c r="K221" s="522">
        <v>4.7506201212520653E-3</v>
      </c>
      <c r="T221" s="520">
        <v>215</v>
      </c>
      <c r="U221" s="520">
        <v>4.9752328841048557E-3</v>
      </c>
      <c r="AD221" s="520">
        <v>215</v>
      </c>
      <c r="AE221" s="520">
        <v>4.2152561512328055E-3</v>
      </c>
    </row>
    <row r="222" spans="10:31">
      <c r="J222" s="522">
        <v>216</v>
      </c>
      <c r="K222" s="522">
        <v>4.7641251967200241E-3</v>
      </c>
      <c r="T222" s="520">
        <v>216</v>
      </c>
      <c r="U222" s="520">
        <v>4.975547281655523E-3</v>
      </c>
      <c r="AD222" s="520">
        <v>216</v>
      </c>
      <c r="AE222" s="520">
        <v>4.2046047570343153E-3</v>
      </c>
    </row>
    <row r="223" spans="10:31">
      <c r="J223" s="522">
        <v>217</v>
      </c>
      <c r="K223" s="522">
        <v>4.7543557938307789E-3</v>
      </c>
      <c r="T223" s="520">
        <v>217</v>
      </c>
      <c r="U223" s="520">
        <v>4.9711411224902776E-3</v>
      </c>
      <c r="AD223" s="520">
        <v>217</v>
      </c>
      <c r="AE223" s="520">
        <v>4.2256771238555497E-3</v>
      </c>
    </row>
    <row r="224" spans="10:31">
      <c r="J224" s="522">
        <v>218</v>
      </c>
      <c r="K224" s="522">
        <v>4.7820059319260639E-3</v>
      </c>
      <c r="T224" s="520">
        <v>218</v>
      </c>
      <c r="U224" s="520">
        <v>4.9729003390044787E-3</v>
      </c>
      <c r="AD224" s="520">
        <v>218</v>
      </c>
      <c r="AE224" s="520">
        <v>4.2123510242033846E-3</v>
      </c>
    </row>
    <row r="225" spans="10:31">
      <c r="J225" s="522">
        <v>219</v>
      </c>
      <c r="K225" s="522">
        <v>4.7623956216100031E-3</v>
      </c>
      <c r="T225" s="520">
        <v>219</v>
      </c>
      <c r="U225" s="520">
        <v>4.9702648149614137E-3</v>
      </c>
      <c r="AD225" s="520">
        <v>219</v>
      </c>
      <c r="AE225" s="520">
        <v>4.2227200766903322E-3</v>
      </c>
    </row>
    <row r="226" spans="10:31">
      <c r="J226" s="522">
        <v>220</v>
      </c>
      <c r="K226" s="522">
        <v>4.7604632164744533E-3</v>
      </c>
      <c r="T226" s="520">
        <v>220</v>
      </c>
      <c r="U226" s="520">
        <v>4.9756192269020507E-3</v>
      </c>
      <c r="AD226" s="520">
        <v>220</v>
      </c>
      <c r="AE226" s="520">
        <v>4.211294795131576E-3</v>
      </c>
    </row>
    <row r="227" spans="10:31">
      <c r="J227" s="522">
        <v>221</v>
      </c>
      <c r="K227" s="522">
        <v>4.7575700661949705E-3</v>
      </c>
      <c r="T227" s="520">
        <v>221</v>
      </c>
      <c r="U227" s="520">
        <v>4.9711183216252283E-3</v>
      </c>
      <c r="AD227" s="520">
        <v>221</v>
      </c>
      <c r="AE227" s="520">
        <v>4.2195045503227949E-3</v>
      </c>
    </row>
    <row r="228" spans="10:31">
      <c r="J228" s="522">
        <v>222</v>
      </c>
      <c r="K228" s="522">
        <v>4.7576904064096119E-3</v>
      </c>
      <c r="T228" s="520">
        <v>222</v>
      </c>
      <c r="U228" s="520">
        <v>4.978017998825311E-3</v>
      </c>
      <c r="AD228" s="520">
        <v>222</v>
      </c>
      <c r="AE228" s="520">
        <v>4.2143540505793914E-3</v>
      </c>
    </row>
    <row r="229" spans="10:31">
      <c r="J229" s="522">
        <v>223</v>
      </c>
      <c r="K229" s="522">
        <v>4.769847905358897E-3</v>
      </c>
      <c r="T229" s="520">
        <v>223</v>
      </c>
      <c r="U229" s="520">
        <v>4.9778825713231228E-3</v>
      </c>
      <c r="AD229" s="520">
        <v>223</v>
      </c>
      <c r="AE229" s="520">
        <v>4.2299926563212171E-3</v>
      </c>
    </row>
    <row r="230" spans="10:31">
      <c r="J230" s="522">
        <v>224</v>
      </c>
      <c r="K230" s="522">
        <v>4.756047827855563E-3</v>
      </c>
      <c r="T230" s="520">
        <v>224</v>
      </c>
      <c r="U230" s="520">
        <v>4.9800157342410655E-3</v>
      </c>
      <c r="AD230" s="520">
        <v>224</v>
      </c>
      <c r="AE230" s="520">
        <v>4.2176119948898541E-3</v>
      </c>
    </row>
    <row r="231" spans="10:31">
      <c r="J231" s="522">
        <v>225</v>
      </c>
      <c r="K231" s="522">
        <v>4.7456318645933129E-3</v>
      </c>
      <c r="T231" s="520">
        <v>225</v>
      </c>
      <c r="U231" s="520">
        <v>4.9708188882227186E-3</v>
      </c>
      <c r="AD231" s="520">
        <v>225</v>
      </c>
      <c r="AE231" s="520">
        <v>4.2117211062606876E-3</v>
      </c>
    </row>
    <row r="232" spans="10:31">
      <c r="J232" s="522">
        <v>226</v>
      </c>
      <c r="K232" s="522">
        <v>4.7608495374726846E-3</v>
      </c>
      <c r="T232" s="520">
        <v>226</v>
      </c>
      <c r="U232" s="520">
        <v>4.976486868651782E-3</v>
      </c>
      <c r="AD232" s="520">
        <v>226</v>
      </c>
      <c r="AE232" s="520">
        <v>4.2028140808670102E-3</v>
      </c>
    </row>
    <row r="233" spans="10:31">
      <c r="J233" s="522">
        <v>227</v>
      </c>
      <c r="K233" s="522">
        <v>4.7522265959752414E-3</v>
      </c>
      <c r="T233" s="520">
        <v>227</v>
      </c>
      <c r="U233" s="520">
        <v>4.9701534133894153E-3</v>
      </c>
      <c r="AD233" s="520">
        <v>227</v>
      </c>
      <c r="AE233" s="520">
        <v>4.2206300606249612E-3</v>
      </c>
    </row>
    <row r="234" spans="10:31">
      <c r="J234" s="522">
        <v>228</v>
      </c>
      <c r="K234" s="522">
        <v>4.7535328199539064E-3</v>
      </c>
      <c r="T234" s="520">
        <v>228</v>
      </c>
      <c r="U234" s="520">
        <v>4.9667085070847798E-3</v>
      </c>
      <c r="AD234" s="520">
        <v>228</v>
      </c>
      <c r="AE234" s="520">
        <v>4.2170944995497004E-3</v>
      </c>
    </row>
    <row r="235" spans="10:31">
      <c r="J235" s="522">
        <v>229</v>
      </c>
      <c r="K235" s="522">
        <v>4.7502259039934472E-3</v>
      </c>
      <c r="T235" s="520">
        <v>229</v>
      </c>
      <c r="U235" s="520">
        <v>4.9742608703493545E-3</v>
      </c>
      <c r="AD235" s="520">
        <v>229</v>
      </c>
      <c r="AE235" s="520">
        <v>4.2269632415253191E-3</v>
      </c>
    </row>
    <row r="236" spans="10:31">
      <c r="J236" s="522">
        <v>230</v>
      </c>
      <c r="K236" s="522">
        <v>4.7551479227248032E-3</v>
      </c>
      <c r="T236" s="520">
        <v>230</v>
      </c>
      <c r="U236" s="520">
        <v>4.9802429900167111E-3</v>
      </c>
      <c r="AD236" s="520">
        <v>230</v>
      </c>
      <c r="AE236" s="520">
        <v>4.2043741293907831E-3</v>
      </c>
    </row>
    <row r="237" spans="10:31">
      <c r="J237" s="522">
        <v>231</v>
      </c>
      <c r="K237" s="522">
        <v>4.7486399082788122E-3</v>
      </c>
      <c r="T237" s="520">
        <v>231</v>
      </c>
      <c r="U237" s="520">
        <v>4.9761270708277858E-3</v>
      </c>
      <c r="AD237" s="520">
        <v>231</v>
      </c>
      <c r="AE237" s="520">
        <v>4.190545380692765E-3</v>
      </c>
    </row>
    <row r="238" spans="10:31">
      <c r="J238" s="522">
        <v>232</v>
      </c>
      <c r="K238" s="522">
        <v>4.7801972185309346E-3</v>
      </c>
      <c r="T238" s="520">
        <v>232</v>
      </c>
      <c r="U238" s="520">
        <v>4.9856976209150033E-3</v>
      </c>
      <c r="AD238" s="520">
        <v>232</v>
      </c>
      <c r="AE238" s="520">
        <v>4.2016253304370992E-3</v>
      </c>
    </row>
    <row r="239" spans="10:31">
      <c r="J239" s="522">
        <v>233</v>
      </c>
      <c r="K239" s="522">
        <v>4.7486574629999473E-3</v>
      </c>
      <c r="T239" s="520">
        <v>233</v>
      </c>
      <c r="U239" s="520">
        <v>4.9704476038776139E-3</v>
      </c>
      <c r="AD239" s="520">
        <v>233</v>
      </c>
      <c r="AE239" s="520">
        <v>4.2243985869293479E-3</v>
      </c>
    </row>
    <row r="240" spans="10:31">
      <c r="J240" s="522">
        <v>234</v>
      </c>
      <c r="K240" s="522">
        <v>4.7610534094276111E-3</v>
      </c>
      <c r="T240" s="520">
        <v>234</v>
      </c>
      <c r="U240" s="520">
        <v>4.9631862838517161E-3</v>
      </c>
      <c r="AD240" s="520">
        <v>234</v>
      </c>
      <c r="AE240" s="520">
        <v>4.2076685729500168E-3</v>
      </c>
    </row>
    <row r="241" spans="10:31">
      <c r="J241" s="522">
        <v>235</v>
      </c>
      <c r="K241" s="522">
        <v>4.7471077454826587E-3</v>
      </c>
      <c r="T241" s="520">
        <v>235</v>
      </c>
      <c r="U241" s="520">
        <v>4.9874723855877854E-3</v>
      </c>
      <c r="AD241" s="520">
        <v>235</v>
      </c>
      <c r="AE241" s="520">
        <v>4.2116511245064558E-3</v>
      </c>
    </row>
    <row r="242" spans="10:31">
      <c r="J242" s="522">
        <v>236</v>
      </c>
      <c r="K242" s="522">
        <v>4.7632114754542253E-3</v>
      </c>
      <c r="T242" s="520">
        <v>236</v>
      </c>
      <c r="U242" s="520">
        <v>4.9703059994135167E-3</v>
      </c>
      <c r="AD242" s="520">
        <v>236</v>
      </c>
      <c r="AE242" s="520">
        <v>4.2011614745062929E-3</v>
      </c>
    </row>
    <row r="243" spans="10:31">
      <c r="J243" s="522">
        <v>237</v>
      </c>
      <c r="K243" s="522">
        <v>4.7636169429753818E-3</v>
      </c>
      <c r="T243" s="520">
        <v>237</v>
      </c>
      <c r="U243" s="520">
        <v>4.9781647460868652E-3</v>
      </c>
      <c r="AD243" s="520">
        <v>237</v>
      </c>
      <c r="AE243" s="520">
        <v>4.2140515543010069E-3</v>
      </c>
    </row>
    <row r="244" spans="10:31">
      <c r="J244" s="522">
        <v>238</v>
      </c>
      <c r="K244" s="522">
        <v>4.7497958117875775E-3</v>
      </c>
      <c r="T244" s="520">
        <v>238</v>
      </c>
      <c r="U244" s="520">
        <v>4.975461031734232E-3</v>
      </c>
      <c r="AD244" s="520">
        <v>238</v>
      </c>
      <c r="AE244" s="520">
        <v>4.2064620496559497E-3</v>
      </c>
    </row>
    <row r="245" spans="10:31">
      <c r="J245" s="522">
        <v>239</v>
      </c>
      <c r="K245" s="522">
        <v>4.7510425268933914E-3</v>
      </c>
      <c r="T245" s="520">
        <v>239</v>
      </c>
      <c r="U245" s="520">
        <v>4.9845323657633821E-3</v>
      </c>
      <c r="AD245" s="520">
        <v>239</v>
      </c>
      <c r="AE245" s="520">
        <v>4.1991279786736018E-3</v>
      </c>
    </row>
    <row r="246" spans="10:31">
      <c r="J246" s="522">
        <v>240</v>
      </c>
      <c r="K246" s="522">
        <v>4.769053006568537E-3</v>
      </c>
      <c r="T246" s="520">
        <v>240</v>
      </c>
      <c r="U246" s="520">
        <v>4.9699927315759946E-3</v>
      </c>
      <c r="AD246" s="520">
        <v>240</v>
      </c>
      <c r="AE246" s="520">
        <v>4.2081637363497008E-3</v>
      </c>
    </row>
    <row r="247" spans="10:31">
      <c r="J247" s="522">
        <v>241</v>
      </c>
      <c r="K247" s="522">
        <v>4.7587054206842004E-3</v>
      </c>
      <c r="T247" s="520">
        <v>241</v>
      </c>
      <c r="U247" s="520">
        <v>4.9762367477419849E-3</v>
      </c>
      <c r="AD247" s="520">
        <v>241</v>
      </c>
      <c r="AE247" s="520">
        <v>4.1936266114757067E-3</v>
      </c>
    </row>
    <row r="248" spans="10:31">
      <c r="J248" s="522">
        <v>242</v>
      </c>
      <c r="K248" s="522">
        <v>4.7502642330680099E-3</v>
      </c>
      <c r="T248" s="520">
        <v>242</v>
      </c>
      <c r="U248" s="520">
        <v>4.9772614002130487E-3</v>
      </c>
      <c r="AD248" s="520">
        <v>242</v>
      </c>
      <c r="AE248" s="520">
        <v>4.1941530636905909E-3</v>
      </c>
    </row>
    <row r="249" spans="10:31">
      <c r="J249" s="522">
        <v>243</v>
      </c>
      <c r="K249" s="522">
        <v>4.7557540286059137E-3</v>
      </c>
      <c r="T249" s="520">
        <v>243</v>
      </c>
      <c r="U249" s="520">
        <v>4.9850552193385972E-3</v>
      </c>
      <c r="AD249" s="520">
        <v>243</v>
      </c>
      <c r="AE249" s="520">
        <v>4.2084321761199006E-3</v>
      </c>
    </row>
    <row r="250" spans="10:31">
      <c r="J250" s="522">
        <v>244</v>
      </c>
      <c r="K250" s="522">
        <v>4.7556986507895334E-3</v>
      </c>
      <c r="T250" s="520">
        <v>244</v>
      </c>
      <c r="U250" s="520">
        <v>4.9807915679829255E-3</v>
      </c>
      <c r="AD250" s="520">
        <v>244</v>
      </c>
      <c r="AE250" s="520">
        <v>4.2121577594532653E-3</v>
      </c>
    </row>
    <row r="251" spans="10:31">
      <c r="J251" s="522">
        <v>245</v>
      </c>
      <c r="K251" s="522">
        <v>4.7524888192167786E-3</v>
      </c>
      <c r="T251" s="520">
        <v>245</v>
      </c>
      <c r="U251" s="520">
        <v>4.9773604862726724E-3</v>
      </c>
      <c r="AD251" s="520">
        <v>245</v>
      </c>
      <c r="AE251" s="520">
        <v>4.2154694082300135E-3</v>
      </c>
    </row>
    <row r="252" spans="10:31">
      <c r="J252" s="522">
        <v>246</v>
      </c>
      <c r="K252" s="522">
        <v>4.7651547289749643E-3</v>
      </c>
      <c r="T252" s="520">
        <v>246</v>
      </c>
      <c r="U252" s="520">
        <v>4.9696532056083152E-3</v>
      </c>
      <c r="AD252" s="520">
        <v>246</v>
      </c>
      <c r="AE252" s="520">
        <v>4.2143626500829442E-3</v>
      </c>
    </row>
    <row r="253" spans="10:31">
      <c r="J253" s="522">
        <v>247</v>
      </c>
      <c r="K253" s="522">
        <v>4.7438776443547003E-3</v>
      </c>
      <c r="T253" s="520">
        <v>247</v>
      </c>
      <c r="U253" s="520">
        <v>4.9684926708965949E-3</v>
      </c>
      <c r="AD253" s="520">
        <v>247</v>
      </c>
      <c r="AE253" s="520">
        <v>4.2189073168415903E-3</v>
      </c>
    </row>
    <row r="254" spans="10:31">
      <c r="J254" s="522">
        <v>248</v>
      </c>
      <c r="K254" s="522">
        <v>4.7454333500086153E-3</v>
      </c>
      <c r="T254" s="520">
        <v>248</v>
      </c>
      <c r="U254" s="520">
        <v>4.9796818846615781E-3</v>
      </c>
      <c r="AD254" s="520">
        <v>248</v>
      </c>
      <c r="AE254" s="520">
        <v>4.2139029458964318E-3</v>
      </c>
    </row>
    <row r="255" spans="10:31">
      <c r="J255" s="522">
        <v>249</v>
      </c>
      <c r="K255" s="522">
        <v>4.7612960350723495E-3</v>
      </c>
      <c r="T255" s="520">
        <v>249</v>
      </c>
      <c r="U255" s="520">
        <v>4.9770527583936353E-3</v>
      </c>
      <c r="AD255" s="520">
        <v>249</v>
      </c>
      <c r="AE255" s="520">
        <v>4.2034975688200246E-3</v>
      </c>
    </row>
    <row r="256" spans="10:31">
      <c r="J256" s="522">
        <v>250</v>
      </c>
      <c r="K256" s="522">
        <v>4.7593584511854805E-3</v>
      </c>
      <c r="T256" s="520">
        <v>250</v>
      </c>
      <c r="U256" s="520">
        <v>4.9580055844807465E-3</v>
      </c>
      <c r="AD256" s="520">
        <v>250</v>
      </c>
      <c r="AE256" s="520">
        <v>4.210981000068584E-3</v>
      </c>
    </row>
    <row r="257" spans="10:31">
      <c r="J257" s="522">
        <v>251</v>
      </c>
      <c r="K257" s="522">
        <v>4.765658598648536E-3</v>
      </c>
      <c r="T257" s="520">
        <v>251</v>
      </c>
      <c r="U257" s="520">
        <v>4.9656048930071936E-3</v>
      </c>
      <c r="AD257" s="520">
        <v>251</v>
      </c>
      <c r="AE257" s="520">
        <v>4.2124300640768121E-3</v>
      </c>
    </row>
    <row r="258" spans="10:31">
      <c r="J258" s="522">
        <v>252</v>
      </c>
      <c r="K258" s="522">
        <v>4.7788306867293179E-3</v>
      </c>
      <c r="T258" s="520">
        <v>252</v>
      </c>
      <c r="U258" s="520">
        <v>4.9817103978407459E-3</v>
      </c>
      <c r="AD258" s="520">
        <v>252</v>
      </c>
      <c r="AE258" s="520">
        <v>4.1902297967706817E-3</v>
      </c>
    </row>
    <row r="259" spans="10:31">
      <c r="J259" s="522">
        <v>253</v>
      </c>
      <c r="K259" s="522">
        <v>4.7454441199262544E-3</v>
      </c>
      <c r="T259" s="520">
        <v>253</v>
      </c>
      <c r="U259" s="520">
        <v>4.976471356228987E-3</v>
      </c>
      <c r="AD259" s="520">
        <v>253</v>
      </c>
      <c r="AE259" s="520">
        <v>4.2107774488660274E-3</v>
      </c>
    </row>
    <row r="260" spans="10:31">
      <c r="J260" s="522">
        <v>254</v>
      </c>
      <c r="K260" s="522">
        <v>4.7434474641947205E-3</v>
      </c>
      <c r="T260" s="520">
        <v>254</v>
      </c>
      <c r="U260" s="520">
        <v>4.9833746575146613E-3</v>
      </c>
      <c r="AD260" s="520">
        <v>254</v>
      </c>
      <c r="AE260" s="520">
        <v>4.219582340404213E-3</v>
      </c>
    </row>
    <row r="261" spans="10:31">
      <c r="J261" s="522">
        <v>255</v>
      </c>
      <c r="K261" s="522">
        <v>4.7710577891015441E-3</v>
      </c>
      <c r="T261" s="520">
        <v>255</v>
      </c>
      <c r="U261" s="520">
        <v>4.9825362533781684E-3</v>
      </c>
      <c r="AD261" s="520">
        <v>255</v>
      </c>
      <c r="AE261" s="520">
        <v>4.2021771169409783E-3</v>
      </c>
    </row>
    <row r="262" spans="10:31">
      <c r="J262" s="522">
        <v>256</v>
      </c>
      <c r="K262" s="522">
        <v>4.7593196321043833E-3</v>
      </c>
      <c r="T262" s="520">
        <v>256</v>
      </c>
      <c r="U262" s="520">
        <v>4.9830688729093761E-3</v>
      </c>
      <c r="AD262" s="520">
        <v>256</v>
      </c>
      <c r="AE262" s="520">
        <v>4.2100090845270527E-3</v>
      </c>
    </row>
    <row r="263" spans="10:31">
      <c r="J263" s="522">
        <v>257</v>
      </c>
      <c r="K263" s="522">
        <v>4.7675219369473394E-3</v>
      </c>
      <c r="T263" s="520">
        <v>257</v>
      </c>
      <c r="U263" s="520">
        <v>4.9738811108126337E-3</v>
      </c>
      <c r="AD263" s="520">
        <v>257</v>
      </c>
      <c r="AE263" s="520">
        <v>4.2060151691504215E-3</v>
      </c>
    </row>
    <row r="264" spans="10:31">
      <c r="J264" s="522">
        <v>258</v>
      </c>
      <c r="K264" s="522">
        <v>4.7442760123820983E-3</v>
      </c>
      <c r="T264" s="520">
        <v>258</v>
      </c>
      <c r="U264" s="520">
        <v>4.9864650462325176E-3</v>
      </c>
      <c r="AD264" s="520">
        <v>258</v>
      </c>
      <c r="AE264" s="520">
        <v>4.2031817221371715E-3</v>
      </c>
    </row>
    <row r="265" spans="10:31">
      <c r="J265" s="522">
        <v>259</v>
      </c>
      <c r="K265" s="522">
        <v>4.7481536395050077E-3</v>
      </c>
      <c r="T265" s="520">
        <v>259</v>
      </c>
      <c r="U265" s="520">
        <v>4.9870527987347672E-3</v>
      </c>
      <c r="AD265" s="520">
        <v>259</v>
      </c>
      <c r="AE265" s="520">
        <v>4.2157252188684781E-3</v>
      </c>
    </row>
    <row r="266" spans="10:31">
      <c r="J266" s="522">
        <v>260</v>
      </c>
      <c r="K266" s="522">
        <v>4.7548414140495179E-3</v>
      </c>
      <c r="T266" s="520">
        <v>260</v>
      </c>
      <c r="U266" s="520">
        <v>4.9631450019628764E-3</v>
      </c>
      <c r="AD266" s="520">
        <v>260</v>
      </c>
      <c r="AE266" s="520">
        <v>4.213457362446842E-3</v>
      </c>
    </row>
    <row r="267" spans="10:31">
      <c r="J267" s="522">
        <v>261</v>
      </c>
      <c r="K267" s="522">
        <v>4.7704253317544772E-3</v>
      </c>
      <c r="T267" s="520">
        <v>261</v>
      </c>
      <c r="U267" s="520">
        <v>4.9910055263334479E-3</v>
      </c>
      <c r="AD267" s="520">
        <v>261</v>
      </c>
      <c r="AE267" s="520">
        <v>4.2191064800512343E-3</v>
      </c>
    </row>
    <row r="268" spans="10:31">
      <c r="J268" s="522">
        <v>262</v>
      </c>
      <c r="K268" s="522">
        <v>4.743270246656283E-3</v>
      </c>
      <c r="T268" s="520">
        <v>262</v>
      </c>
      <c r="U268" s="520">
        <v>4.9831501909647167E-3</v>
      </c>
      <c r="AD268" s="520">
        <v>262</v>
      </c>
      <c r="AE268" s="520">
        <v>4.2185967892366923E-3</v>
      </c>
    </row>
    <row r="269" spans="10:31">
      <c r="J269" s="522">
        <v>263</v>
      </c>
      <c r="K269" s="522">
        <v>4.7535624349783843E-3</v>
      </c>
      <c r="T269" s="520">
        <v>263</v>
      </c>
      <c r="U269" s="520">
        <v>4.9697706667776479E-3</v>
      </c>
      <c r="AD269" s="520">
        <v>263</v>
      </c>
      <c r="AE269" s="520">
        <v>4.2017453269064522E-3</v>
      </c>
    </row>
    <row r="270" spans="10:31">
      <c r="J270" s="522">
        <v>264</v>
      </c>
      <c r="K270" s="522">
        <v>4.7573132004591302E-3</v>
      </c>
      <c r="T270" s="520">
        <v>264</v>
      </c>
      <c r="U270" s="520">
        <v>4.9611349273795645E-3</v>
      </c>
      <c r="AD270" s="520">
        <v>264</v>
      </c>
      <c r="AE270" s="520">
        <v>4.1997345964660216E-3</v>
      </c>
    </row>
    <row r="271" spans="10:31">
      <c r="J271" s="522">
        <v>265</v>
      </c>
      <c r="K271" s="522">
        <v>4.7571237095277094E-3</v>
      </c>
      <c r="T271" s="520">
        <v>265</v>
      </c>
      <c r="U271" s="520">
        <v>4.9861912523499891E-3</v>
      </c>
      <c r="AD271" s="520">
        <v>265</v>
      </c>
      <c r="AE271" s="520">
        <v>4.2195253732939782E-3</v>
      </c>
    </row>
    <row r="272" spans="10:31">
      <c r="J272" s="522">
        <v>266</v>
      </c>
      <c r="K272" s="522">
        <v>4.7709132579064478E-3</v>
      </c>
      <c r="T272" s="520">
        <v>266</v>
      </c>
      <c r="U272" s="520">
        <v>4.9832658576017281E-3</v>
      </c>
      <c r="AD272" s="520">
        <v>266</v>
      </c>
      <c r="AE272" s="520">
        <v>4.2196946027456828E-3</v>
      </c>
    </row>
    <row r="273" spans="10:31">
      <c r="J273" s="522">
        <v>267</v>
      </c>
      <c r="K273" s="522">
        <v>4.7550137324257674E-3</v>
      </c>
      <c r="T273" s="520">
        <v>267</v>
      </c>
      <c r="U273" s="520">
        <v>4.9864356814083351E-3</v>
      </c>
      <c r="AD273" s="520">
        <v>267</v>
      </c>
      <c r="AE273" s="520">
        <v>4.1967834713695796E-3</v>
      </c>
    </row>
    <row r="274" spans="10:31">
      <c r="J274" s="522">
        <v>268</v>
      </c>
      <c r="K274" s="522">
        <v>4.7513360499869452E-3</v>
      </c>
      <c r="T274" s="520">
        <v>268</v>
      </c>
      <c r="U274" s="520">
        <v>4.9765696490756484E-3</v>
      </c>
      <c r="AD274" s="520">
        <v>268</v>
      </c>
      <c r="AE274" s="520">
        <v>4.2261375128536931E-3</v>
      </c>
    </row>
    <row r="275" spans="10:31">
      <c r="J275" s="522">
        <v>269</v>
      </c>
      <c r="K275" s="522">
        <v>4.7584696733213461E-3</v>
      </c>
      <c r="T275" s="520">
        <v>269</v>
      </c>
      <c r="U275" s="520">
        <v>4.9696837410140113E-3</v>
      </c>
      <c r="AD275" s="520">
        <v>269</v>
      </c>
      <c r="AE275" s="520">
        <v>4.2151905732387548E-3</v>
      </c>
    </row>
    <row r="276" spans="10:31">
      <c r="J276" s="522">
        <v>270</v>
      </c>
      <c r="K276" s="522">
        <v>4.7436642615777845E-3</v>
      </c>
      <c r="T276" s="520">
        <v>270</v>
      </c>
      <c r="U276" s="520">
        <v>4.9780406358880484E-3</v>
      </c>
      <c r="AD276" s="520">
        <v>270</v>
      </c>
      <c r="AE276" s="520">
        <v>4.2168161159369527E-3</v>
      </c>
    </row>
    <row r="277" spans="10:31">
      <c r="J277" s="522">
        <v>271</v>
      </c>
      <c r="K277" s="522">
        <v>4.7492550993718423E-3</v>
      </c>
      <c r="T277" s="520">
        <v>271</v>
      </c>
      <c r="U277" s="520">
        <v>4.9816338368020522E-3</v>
      </c>
      <c r="AD277" s="520">
        <v>271</v>
      </c>
      <c r="AE277" s="520">
        <v>4.2228791537250359E-3</v>
      </c>
    </row>
    <row r="278" spans="10:31">
      <c r="J278" s="522">
        <v>272</v>
      </c>
      <c r="K278" s="522">
        <v>4.7578872618599935E-3</v>
      </c>
      <c r="T278" s="520">
        <v>272</v>
      </c>
      <c r="U278" s="520">
        <v>4.9659219755695694E-3</v>
      </c>
      <c r="AD278" s="520">
        <v>272</v>
      </c>
      <c r="AE278" s="520">
        <v>4.2025597333845283E-3</v>
      </c>
    </row>
    <row r="279" spans="10:31">
      <c r="J279" s="522">
        <v>273</v>
      </c>
      <c r="K279" s="522">
        <v>4.752238874473784E-3</v>
      </c>
      <c r="T279" s="520">
        <v>273</v>
      </c>
      <c r="U279" s="520">
        <v>4.974323649613515E-3</v>
      </c>
      <c r="AD279" s="520">
        <v>273</v>
      </c>
      <c r="AE279" s="520">
        <v>4.2061495444924374E-3</v>
      </c>
    </row>
    <row r="280" spans="10:31">
      <c r="J280" s="522">
        <v>274</v>
      </c>
      <c r="K280" s="522">
        <v>4.7529479552002553E-3</v>
      </c>
      <c r="T280" s="520">
        <v>274</v>
      </c>
      <c r="U280" s="520">
        <v>4.9656223756869801E-3</v>
      </c>
      <c r="AD280" s="520">
        <v>274</v>
      </c>
      <c r="AE280" s="520">
        <v>4.2064414571708359E-3</v>
      </c>
    </row>
    <row r="281" spans="10:31">
      <c r="J281" s="522">
        <v>275</v>
      </c>
      <c r="K281" s="522">
        <v>4.7623594820617073E-3</v>
      </c>
      <c r="T281" s="520">
        <v>275</v>
      </c>
      <c r="U281" s="520">
        <v>4.9845719785567635E-3</v>
      </c>
      <c r="AD281" s="520">
        <v>275</v>
      </c>
      <c r="AE281" s="520">
        <v>4.2128328497011208E-3</v>
      </c>
    </row>
    <row r="282" spans="10:31">
      <c r="J282" s="522">
        <v>276</v>
      </c>
      <c r="K282" s="522">
        <v>4.7757483282958113E-3</v>
      </c>
      <c r="T282" s="520">
        <v>276</v>
      </c>
      <c r="U282" s="520">
        <v>4.9778642436945509E-3</v>
      </c>
      <c r="AD282" s="520">
        <v>276</v>
      </c>
      <c r="AE282" s="520">
        <v>4.2166669009037492E-3</v>
      </c>
    </row>
    <row r="283" spans="10:31">
      <c r="J283" s="522">
        <v>277</v>
      </c>
      <c r="K283" s="522">
        <v>4.7528891874669662E-3</v>
      </c>
      <c r="T283" s="520">
        <v>277</v>
      </c>
      <c r="U283" s="520">
        <v>4.9752367474434319E-3</v>
      </c>
      <c r="AD283" s="520">
        <v>277</v>
      </c>
      <c r="AE283" s="520">
        <v>4.2034406291825222E-3</v>
      </c>
    </row>
    <row r="284" spans="10:31">
      <c r="J284" s="522">
        <v>278</v>
      </c>
      <c r="K284" s="522">
        <v>4.7601874371389213E-3</v>
      </c>
      <c r="T284" s="520">
        <v>278</v>
      </c>
      <c r="U284" s="520">
        <v>4.9608056615622525E-3</v>
      </c>
      <c r="AD284" s="520">
        <v>278</v>
      </c>
      <c r="AE284" s="520">
        <v>4.2255792082580464E-3</v>
      </c>
    </row>
    <row r="285" spans="10:31">
      <c r="J285" s="522">
        <v>279</v>
      </c>
      <c r="K285" s="522">
        <v>4.7665645810063923E-3</v>
      </c>
      <c r="T285" s="520">
        <v>279</v>
      </c>
      <c r="U285" s="520">
        <v>4.9786550048149213E-3</v>
      </c>
      <c r="AD285" s="520">
        <v>279</v>
      </c>
      <c r="AE285" s="520">
        <v>4.2151646531626086E-3</v>
      </c>
    </row>
    <row r="286" spans="10:31">
      <c r="J286" s="522">
        <v>280</v>
      </c>
      <c r="K286" s="522">
        <v>4.7592051531911341E-3</v>
      </c>
      <c r="T286" s="520">
        <v>280</v>
      </c>
      <c r="U286" s="520">
        <v>4.9732515309825216E-3</v>
      </c>
      <c r="AD286" s="520">
        <v>280</v>
      </c>
      <c r="AE286" s="520">
        <v>4.2211306273776707E-3</v>
      </c>
    </row>
    <row r="287" spans="10:31">
      <c r="J287" s="522">
        <v>281</v>
      </c>
      <c r="K287" s="522">
        <v>4.7495518356861516E-3</v>
      </c>
      <c r="T287" s="520">
        <v>281</v>
      </c>
      <c r="U287" s="520">
        <v>4.9794772906241683E-3</v>
      </c>
      <c r="AD287" s="520">
        <v>281</v>
      </c>
      <c r="AE287" s="520">
        <v>4.2026925596100207E-3</v>
      </c>
    </row>
    <row r="288" spans="10:31">
      <c r="J288" s="522">
        <v>282</v>
      </c>
      <c r="K288" s="522">
        <v>4.7537228802041163E-3</v>
      </c>
      <c r="T288" s="520">
        <v>282</v>
      </c>
      <c r="U288" s="520">
        <v>4.9807253510652698E-3</v>
      </c>
      <c r="AD288" s="520">
        <v>282</v>
      </c>
      <c r="AE288" s="520">
        <v>4.2159155648582936E-3</v>
      </c>
    </row>
    <row r="289" spans="10:31">
      <c r="J289" s="522">
        <v>283</v>
      </c>
      <c r="K289" s="522">
        <v>4.7578979758689383E-3</v>
      </c>
      <c r="T289" s="520">
        <v>283</v>
      </c>
      <c r="U289" s="520">
        <v>4.9810475574196189E-3</v>
      </c>
      <c r="AD289" s="520">
        <v>283</v>
      </c>
      <c r="AE289" s="520">
        <v>4.2140264842133344E-3</v>
      </c>
    </row>
    <row r="290" spans="10:31">
      <c r="J290" s="522">
        <v>284</v>
      </c>
      <c r="K290" s="522">
        <v>4.7481203770848518E-3</v>
      </c>
      <c r="T290" s="520">
        <v>284</v>
      </c>
      <c r="U290" s="520">
        <v>4.9803309088804534E-3</v>
      </c>
      <c r="AD290" s="520">
        <v>284</v>
      </c>
      <c r="AE290" s="520">
        <v>4.2155121493914526E-3</v>
      </c>
    </row>
    <row r="291" spans="10:31">
      <c r="J291" s="522">
        <v>285</v>
      </c>
      <c r="K291" s="522">
        <v>4.7584973978876746E-3</v>
      </c>
      <c r="T291" s="520">
        <v>285</v>
      </c>
      <c r="U291" s="520">
        <v>4.9783509212508407E-3</v>
      </c>
      <c r="AD291" s="520">
        <v>285</v>
      </c>
      <c r="AE291" s="520">
        <v>4.1991510343783976E-3</v>
      </c>
    </row>
    <row r="292" spans="10:31">
      <c r="J292" s="522">
        <v>286</v>
      </c>
      <c r="K292" s="522">
        <v>4.745541161243318E-3</v>
      </c>
      <c r="T292" s="520">
        <v>286</v>
      </c>
      <c r="U292" s="520">
        <v>4.9783840166114975E-3</v>
      </c>
      <c r="AD292" s="520">
        <v>286</v>
      </c>
      <c r="AE292" s="520">
        <v>4.2234618013633329E-3</v>
      </c>
    </row>
    <row r="293" spans="10:31">
      <c r="J293" s="522">
        <v>287</v>
      </c>
      <c r="K293" s="522">
        <v>4.7516470720111916E-3</v>
      </c>
      <c r="T293" s="520">
        <v>287</v>
      </c>
      <c r="U293" s="520">
        <v>4.9702295529118218E-3</v>
      </c>
      <c r="AD293" s="520">
        <v>287</v>
      </c>
      <c r="AE293" s="520">
        <v>4.2018644308130038E-3</v>
      </c>
    </row>
    <row r="294" spans="10:31">
      <c r="J294" s="522">
        <v>288</v>
      </c>
      <c r="K294" s="522">
        <v>4.7516286665313543E-3</v>
      </c>
      <c r="T294" s="520">
        <v>288</v>
      </c>
      <c r="U294" s="520">
        <v>4.9751693507397903E-3</v>
      </c>
      <c r="AD294" s="520">
        <v>288</v>
      </c>
      <c r="AE294" s="520">
        <v>4.2098821860460118E-3</v>
      </c>
    </row>
    <row r="295" spans="10:31">
      <c r="J295" s="522">
        <v>289</v>
      </c>
      <c r="K295" s="522">
        <v>4.744963559051278E-3</v>
      </c>
      <c r="T295" s="520">
        <v>289</v>
      </c>
      <c r="U295" s="520">
        <v>4.9666584623071523E-3</v>
      </c>
      <c r="AD295" s="520">
        <v>289</v>
      </c>
      <c r="AE295" s="520">
        <v>4.2233650566581822E-3</v>
      </c>
    </row>
    <row r="296" spans="10:31">
      <c r="J296" s="522">
        <v>290</v>
      </c>
      <c r="K296" s="522">
        <v>4.7538337989825336E-3</v>
      </c>
      <c r="T296" s="520">
        <v>290</v>
      </c>
      <c r="U296" s="520">
        <v>4.9644235619479967E-3</v>
      </c>
      <c r="AD296" s="520">
        <v>290</v>
      </c>
      <c r="AE296" s="520">
        <v>4.2257971515583265E-3</v>
      </c>
    </row>
    <row r="297" spans="10:31">
      <c r="J297" s="522">
        <v>291</v>
      </c>
      <c r="K297" s="522">
        <v>4.7530971932422516E-3</v>
      </c>
      <c r="T297" s="520">
        <v>291</v>
      </c>
      <c r="U297" s="520">
        <v>4.9834024135237999E-3</v>
      </c>
      <c r="AD297" s="520">
        <v>291</v>
      </c>
      <c r="AE297" s="520">
        <v>4.2119890243096265E-3</v>
      </c>
    </row>
    <row r="298" spans="10:31">
      <c r="J298" s="522">
        <v>292</v>
      </c>
      <c r="K298" s="522">
        <v>4.7394163607230744E-3</v>
      </c>
      <c r="T298" s="520">
        <v>292</v>
      </c>
      <c r="U298" s="520">
        <v>4.9607152635015722E-3</v>
      </c>
      <c r="AD298" s="520">
        <v>292</v>
      </c>
      <c r="AE298" s="520">
        <v>4.21617410211283E-3</v>
      </c>
    </row>
    <row r="299" spans="10:31">
      <c r="J299" s="522">
        <v>293</v>
      </c>
      <c r="K299" s="522">
        <v>4.7422913765454962E-3</v>
      </c>
      <c r="T299" s="520">
        <v>293</v>
      </c>
      <c r="U299" s="520">
        <v>4.9791314194113359E-3</v>
      </c>
      <c r="AD299" s="520">
        <v>293</v>
      </c>
      <c r="AE299" s="520">
        <v>4.2084006093720989E-3</v>
      </c>
    </row>
    <row r="300" spans="10:31">
      <c r="J300" s="522">
        <v>294</v>
      </c>
      <c r="K300" s="522">
        <v>4.7526151823901429E-3</v>
      </c>
      <c r="T300" s="520">
        <v>294</v>
      </c>
      <c r="U300" s="520">
        <v>4.9711664759343622E-3</v>
      </c>
      <c r="AD300" s="520">
        <v>294</v>
      </c>
      <c r="AE300" s="520">
        <v>4.2070711916260724E-3</v>
      </c>
    </row>
    <row r="301" spans="10:31">
      <c r="J301" s="522">
        <v>295</v>
      </c>
      <c r="K301" s="522">
        <v>4.7720125082220616E-3</v>
      </c>
      <c r="T301" s="520">
        <v>295</v>
      </c>
      <c r="U301" s="520">
        <v>4.9734827908728572E-3</v>
      </c>
      <c r="AD301" s="520">
        <v>295</v>
      </c>
      <c r="AE301" s="520">
        <v>4.2097558471010576E-3</v>
      </c>
    </row>
    <row r="302" spans="10:31">
      <c r="J302" s="522">
        <v>296</v>
      </c>
      <c r="K302" s="522">
        <v>4.7563805631613224E-3</v>
      </c>
      <c r="T302" s="520">
        <v>296</v>
      </c>
      <c r="U302" s="520">
        <v>4.9945887010987618E-3</v>
      </c>
      <c r="AD302" s="520">
        <v>296</v>
      </c>
      <c r="AE302" s="520">
        <v>4.1998492267276179E-3</v>
      </c>
    </row>
    <row r="303" spans="10:31">
      <c r="J303" s="522">
        <v>297</v>
      </c>
      <c r="K303" s="522">
        <v>4.7580556835868397E-3</v>
      </c>
      <c r="T303" s="520">
        <v>297</v>
      </c>
      <c r="U303" s="520">
        <v>4.9755813552945314E-3</v>
      </c>
      <c r="AD303" s="520">
        <v>297</v>
      </c>
      <c r="AE303" s="520">
        <v>4.2032390713425023E-3</v>
      </c>
    </row>
    <row r="304" spans="10:31">
      <c r="J304" s="522">
        <v>298</v>
      </c>
      <c r="K304" s="522">
        <v>4.7580945603991152E-3</v>
      </c>
      <c r="T304" s="520">
        <v>298</v>
      </c>
      <c r="U304" s="520">
        <v>4.9754250456308137E-3</v>
      </c>
      <c r="AD304" s="520">
        <v>298</v>
      </c>
      <c r="AE304" s="520">
        <v>4.2073153139513646E-3</v>
      </c>
    </row>
    <row r="305" spans="10:31">
      <c r="J305" s="522">
        <v>299</v>
      </c>
      <c r="K305" s="522">
        <v>4.7691000618547237E-3</v>
      </c>
      <c r="T305" s="520">
        <v>299</v>
      </c>
      <c r="U305" s="520">
        <v>4.9558912647064985E-3</v>
      </c>
      <c r="AD305" s="520">
        <v>299</v>
      </c>
      <c r="AE305" s="520">
        <v>4.2261810164636046E-3</v>
      </c>
    </row>
    <row r="306" spans="10:31">
      <c r="J306" s="522">
        <v>300</v>
      </c>
      <c r="K306" s="522">
        <v>4.7624192489445485E-3</v>
      </c>
      <c r="T306" s="520">
        <v>300</v>
      </c>
      <c r="U306" s="520">
        <v>4.9798909955063907E-3</v>
      </c>
      <c r="AD306" s="520">
        <v>300</v>
      </c>
      <c r="AE306" s="520">
        <v>4.2054812960096452E-3</v>
      </c>
    </row>
    <row r="307" spans="10:31">
      <c r="J307" s="522">
        <v>301</v>
      </c>
      <c r="K307" s="522">
        <v>4.7618400686775383E-3</v>
      </c>
      <c r="T307" s="520">
        <v>301</v>
      </c>
      <c r="U307" s="520">
        <v>4.9840647966021218E-3</v>
      </c>
      <c r="AD307" s="520">
        <v>301</v>
      </c>
      <c r="AE307" s="520">
        <v>4.2140832789653321E-3</v>
      </c>
    </row>
    <row r="308" spans="10:31">
      <c r="J308" s="522">
        <v>302</v>
      </c>
      <c r="K308" s="522">
        <v>4.7506271138726972E-3</v>
      </c>
      <c r="T308" s="520">
        <v>302</v>
      </c>
      <c r="U308" s="520">
        <v>4.9613187688728518E-3</v>
      </c>
      <c r="AD308" s="520">
        <v>302</v>
      </c>
      <c r="AE308" s="520">
        <v>4.2149738134636475E-3</v>
      </c>
    </row>
    <row r="309" spans="10:31">
      <c r="J309" s="522">
        <v>303</v>
      </c>
      <c r="K309" s="522">
        <v>4.7512456018621255E-3</v>
      </c>
      <c r="T309" s="520">
        <v>303</v>
      </c>
      <c r="U309" s="520">
        <v>4.9769825264796242E-3</v>
      </c>
      <c r="AD309" s="520">
        <v>303</v>
      </c>
      <c r="AE309" s="520">
        <v>4.2184885950986633E-3</v>
      </c>
    </row>
    <row r="310" spans="10:31">
      <c r="J310" s="522">
        <v>304</v>
      </c>
      <c r="K310" s="522">
        <v>4.7428042256885137E-3</v>
      </c>
      <c r="T310" s="520">
        <v>304</v>
      </c>
      <c r="U310" s="520">
        <v>4.9598917757742627E-3</v>
      </c>
      <c r="AD310" s="520">
        <v>304</v>
      </c>
      <c r="AE310" s="520">
        <v>4.210433885633756E-3</v>
      </c>
    </row>
    <row r="311" spans="10:31">
      <c r="J311" s="522">
        <v>305</v>
      </c>
      <c r="K311" s="522">
        <v>4.7524238613039132E-3</v>
      </c>
      <c r="T311" s="520">
        <v>305</v>
      </c>
      <c r="U311" s="520">
        <v>4.9621261370428483E-3</v>
      </c>
      <c r="AD311" s="520">
        <v>305</v>
      </c>
      <c r="AE311" s="520">
        <v>4.2222583698779343E-3</v>
      </c>
    </row>
    <row r="312" spans="10:31">
      <c r="J312" s="522">
        <v>306</v>
      </c>
      <c r="K312" s="522">
        <v>4.7607067771710653E-3</v>
      </c>
      <c r="T312" s="520">
        <v>306</v>
      </c>
      <c r="U312" s="520">
        <v>4.9683209979024404E-3</v>
      </c>
      <c r="AD312" s="520">
        <v>306</v>
      </c>
      <c r="AE312" s="520">
        <v>4.2170317213824004E-3</v>
      </c>
    </row>
    <row r="313" spans="10:31">
      <c r="J313" s="522">
        <v>307</v>
      </c>
      <c r="K313" s="522">
        <v>4.7503340872049309E-3</v>
      </c>
      <c r="T313" s="520">
        <v>307</v>
      </c>
      <c r="U313" s="520">
        <v>4.9833758222040843E-3</v>
      </c>
      <c r="AD313" s="520">
        <v>307</v>
      </c>
      <c r="AE313" s="520">
        <v>4.2176459787492283E-3</v>
      </c>
    </row>
    <row r="314" spans="10:31">
      <c r="J314" s="522">
        <v>308</v>
      </c>
      <c r="K314" s="522">
        <v>4.7580034812010862E-3</v>
      </c>
      <c r="T314" s="520">
        <v>308</v>
      </c>
      <c r="U314" s="520">
        <v>4.9776112515681221E-3</v>
      </c>
      <c r="AD314" s="520">
        <v>308</v>
      </c>
      <c r="AE314" s="520">
        <v>4.229292014468946E-3</v>
      </c>
    </row>
    <row r="315" spans="10:31">
      <c r="J315" s="522">
        <v>309</v>
      </c>
      <c r="K315" s="522">
        <v>4.7583995040141516E-3</v>
      </c>
      <c r="T315" s="520">
        <v>309</v>
      </c>
      <c r="U315" s="520">
        <v>4.9696278450183659E-3</v>
      </c>
      <c r="AD315" s="520">
        <v>309</v>
      </c>
      <c r="AE315" s="520">
        <v>4.2213069783475672E-3</v>
      </c>
    </row>
    <row r="316" spans="10:31">
      <c r="J316" s="522">
        <v>310</v>
      </c>
      <c r="K316" s="522">
        <v>4.7655175596888078E-3</v>
      </c>
      <c r="T316" s="520">
        <v>310</v>
      </c>
      <c r="U316" s="520">
        <v>4.9764174291854852E-3</v>
      </c>
      <c r="AD316" s="520">
        <v>310</v>
      </c>
      <c r="AE316" s="520">
        <v>4.2135373649000987E-3</v>
      </c>
    </row>
    <row r="317" spans="10:31">
      <c r="J317" s="522">
        <v>311</v>
      </c>
      <c r="K317" s="522">
        <v>4.7547091640427223E-3</v>
      </c>
      <c r="T317" s="520">
        <v>311</v>
      </c>
      <c r="U317" s="520">
        <v>4.9780189449565053E-3</v>
      </c>
      <c r="AD317" s="520">
        <v>311</v>
      </c>
      <c r="AE317" s="520">
        <v>4.2083225236863656E-3</v>
      </c>
    </row>
    <row r="318" spans="10:31">
      <c r="J318" s="522">
        <v>312</v>
      </c>
      <c r="K318" s="522">
        <v>4.7629886003647372E-3</v>
      </c>
      <c r="T318" s="520">
        <v>312</v>
      </c>
      <c r="U318" s="520">
        <v>4.9747824822070864E-3</v>
      </c>
      <c r="AD318" s="520">
        <v>312</v>
      </c>
      <c r="AE318" s="520">
        <v>4.215071391620662E-3</v>
      </c>
    </row>
    <row r="319" spans="10:31">
      <c r="J319" s="522">
        <v>313</v>
      </c>
      <c r="K319" s="522">
        <v>4.7744711938276447E-3</v>
      </c>
      <c r="T319" s="520">
        <v>313</v>
      </c>
      <c r="U319" s="520">
        <v>4.9746584035850368E-3</v>
      </c>
      <c r="AD319" s="520">
        <v>313</v>
      </c>
      <c r="AE319" s="520">
        <v>4.2170651015202842E-3</v>
      </c>
    </row>
    <row r="320" spans="10:31">
      <c r="J320" s="522">
        <v>314</v>
      </c>
      <c r="K320" s="522">
        <v>4.764254581437641E-3</v>
      </c>
      <c r="T320" s="520">
        <v>314</v>
      </c>
      <c r="U320" s="520">
        <v>4.9869391445393086E-3</v>
      </c>
      <c r="AD320" s="520">
        <v>314</v>
      </c>
      <c r="AE320" s="520">
        <v>4.2086277555445466E-3</v>
      </c>
    </row>
    <row r="321" spans="10:31">
      <c r="J321" s="522">
        <v>315</v>
      </c>
      <c r="K321" s="522">
        <v>4.7521045163504824E-3</v>
      </c>
      <c r="T321" s="520">
        <v>315</v>
      </c>
      <c r="U321" s="520">
        <v>4.9844339014440704E-3</v>
      </c>
      <c r="AD321" s="520">
        <v>315</v>
      </c>
      <c r="AE321" s="520">
        <v>4.2154856901058671E-3</v>
      </c>
    </row>
    <row r="322" spans="10:31">
      <c r="J322" s="522">
        <v>316</v>
      </c>
      <c r="K322" s="522">
        <v>4.7512926686082554E-3</v>
      </c>
      <c r="T322" s="520">
        <v>316</v>
      </c>
      <c r="U322" s="520">
        <v>4.9884667413613217E-3</v>
      </c>
      <c r="AD322" s="520">
        <v>316</v>
      </c>
      <c r="AE322" s="520">
        <v>4.1974310229231978E-3</v>
      </c>
    </row>
    <row r="323" spans="10:31">
      <c r="J323" s="522">
        <v>317</v>
      </c>
      <c r="K323" s="522">
        <v>4.7510838015266156E-3</v>
      </c>
      <c r="T323" s="520">
        <v>317</v>
      </c>
      <c r="U323" s="520">
        <v>4.9608432758016397E-3</v>
      </c>
      <c r="AD323" s="520">
        <v>317</v>
      </c>
      <c r="AE323" s="520">
        <v>4.2128747162393032E-3</v>
      </c>
    </row>
    <row r="324" spans="10:31">
      <c r="J324" s="522">
        <v>318</v>
      </c>
      <c r="K324" s="522">
        <v>4.7481349419250659E-3</v>
      </c>
      <c r="T324" s="520">
        <v>318</v>
      </c>
      <c r="U324" s="520">
        <v>4.973673708610956E-3</v>
      </c>
      <c r="AD324" s="520">
        <v>318</v>
      </c>
      <c r="AE324" s="520">
        <v>4.2178427686159464E-3</v>
      </c>
    </row>
    <row r="325" spans="10:31">
      <c r="J325" s="522">
        <v>319</v>
      </c>
      <c r="K325" s="522">
        <v>4.7651525530112765E-3</v>
      </c>
      <c r="T325" s="520">
        <v>319</v>
      </c>
      <c r="U325" s="520">
        <v>4.9695888442915495E-3</v>
      </c>
      <c r="AD325" s="520">
        <v>319</v>
      </c>
      <c r="AE325" s="520">
        <v>4.2106858433162801E-3</v>
      </c>
    </row>
    <row r="326" spans="10:31">
      <c r="J326" s="522">
        <v>320</v>
      </c>
      <c r="K326" s="522">
        <v>4.7822492646163624E-3</v>
      </c>
      <c r="T326" s="520">
        <v>320</v>
      </c>
      <c r="U326" s="520">
        <v>4.9850768294794866E-3</v>
      </c>
      <c r="AD326" s="520">
        <v>320</v>
      </c>
      <c r="AE326" s="520">
        <v>4.2056411267622747E-3</v>
      </c>
    </row>
    <row r="327" spans="10:31">
      <c r="J327" s="522">
        <v>321</v>
      </c>
      <c r="K327" s="522">
        <v>4.7685588220437655E-3</v>
      </c>
      <c r="T327" s="520">
        <v>321</v>
      </c>
      <c r="U327" s="520">
        <v>4.9793982425590175E-3</v>
      </c>
      <c r="AD327" s="520">
        <v>321</v>
      </c>
      <c r="AE327" s="520">
        <v>4.2210970871342053E-3</v>
      </c>
    </row>
    <row r="328" spans="10:31">
      <c r="J328" s="522">
        <v>322</v>
      </c>
      <c r="K328" s="522">
        <v>4.7469579402222052E-3</v>
      </c>
      <c r="T328" s="520">
        <v>322</v>
      </c>
      <c r="U328" s="520">
        <v>4.9974066987982929E-3</v>
      </c>
      <c r="AD328" s="520">
        <v>322</v>
      </c>
      <c r="AE328" s="520">
        <v>4.1876690471529688E-3</v>
      </c>
    </row>
    <row r="329" spans="10:31">
      <c r="J329" s="522">
        <v>323</v>
      </c>
      <c r="K329" s="522">
        <v>4.7628152614877231E-3</v>
      </c>
      <c r="T329" s="520">
        <v>323</v>
      </c>
      <c r="U329" s="520">
        <v>4.9851125845824188E-3</v>
      </c>
      <c r="AD329" s="520">
        <v>323</v>
      </c>
      <c r="AE329" s="520">
        <v>4.2038467000904776E-3</v>
      </c>
    </row>
    <row r="330" spans="10:31">
      <c r="J330" s="522">
        <v>324</v>
      </c>
      <c r="K330" s="522">
        <v>4.7387431061006033E-3</v>
      </c>
      <c r="T330" s="520">
        <v>324</v>
      </c>
      <c r="U330" s="520">
        <v>5.000220694248928E-3</v>
      </c>
      <c r="AD330" s="520">
        <v>324</v>
      </c>
      <c r="AE330" s="520">
        <v>4.2145224769586029E-3</v>
      </c>
    </row>
    <row r="331" spans="10:31">
      <c r="J331" s="522">
        <v>325</v>
      </c>
      <c r="K331" s="522">
        <v>4.7469677823061066E-3</v>
      </c>
      <c r="T331" s="520">
        <v>325</v>
      </c>
      <c r="U331" s="520">
        <v>4.9640078571364741E-3</v>
      </c>
      <c r="AD331" s="520">
        <v>325</v>
      </c>
      <c r="AE331" s="520">
        <v>4.2147233762964992E-3</v>
      </c>
    </row>
    <row r="332" spans="10:31">
      <c r="J332" s="522">
        <v>326</v>
      </c>
      <c r="K332" s="522">
        <v>4.7543374842017316E-3</v>
      </c>
      <c r="T332" s="520">
        <v>326</v>
      </c>
      <c r="U332" s="520">
        <v>4.9817279498558954E-3</v>
      </c>
      <c r="AD332" s="520">
        <v>326</v>
      </c>
      <c r="AE332" s="520">
        <v>4.2195612419201238E-3</v>
      </c>
    </row>
    <row r="333" spans="10:31">
      <c r="J333" s="522">
        <v>327</v>
      </c>
      <c r="K333" s="522">
        <v>4.7445513504374773E-3</v>
      </c>
      <c r="T333" s="520">
        <v>327</v>
      </c>
      <c r="U333" s="520">
        <v>4.9663188647309552E-3</v>
      </c>
      <c r="AD333" s="520">
        <v>327</v>
      </c>
      <c r="AE333" s="520">
        <v>4.2179593274922524E-3</v>
      </c>
    </row>
    <row r="334" spans="10:31">
      <c r="J334" s="522">
        <v>328</v>
      </c>
      <c r="K334" s="522">
        <v>4.7545460939258872E-3</v>
      </c>
      <c r="T334" s="520">
        <v>328</v>
      </c>
      <c r="U334" s="520">
        <v>4.9864923679764257E-3</v>
      </c>
      <c r="AD334" s="520">
        <v>328</v>
      </c>
      <c r="AE334" s="520">
        <v>4.2010728055235742E-3</v>
      </c>
    </row>
    <row r="335" spans="10:31">
      <c r="J335" s="522">
        <v>329</v>
      </c>
      <c r="K335" s="522">
        <v>4.7416583450721238E-3</v>
      </c>
      <c r="T335" s="520">
        <v>329</v>
      </c>
      <c r="U335" s="520">
        <v>4.9807182264301761E-3</v>
      </c>
      <c r="AD335" s="520">
        <v>329</v>
      </c>
      <c r="AE335" s="520">
        <v>4.2223502301735839E-3</v>
      </c>
    </row>
    <row r="336" spans="10:31">
      <c r="J336" s="522">
        <v>330</v>
      </c>
      <c r="K336" s="522">
        <v>4.7546602727717956E-3</v>
      </c>
      <c r="T336" s="520">
        <v>330</v>
      </c>
      <c r="U336" s="520">
        <v>4.9717514409897794E-3</v>
      </c>
      <c r="AD336" s="520">
        <v>330</v>
      </c>
      <c r="AE336" s="520">
        <v>4.2200360484377112E-3</v>
      </c>
    </row>
    <row r="337" spans="10:31">
      <c r="J337" s="522">
        <v>331</v>
      </c>
      <c r="K337" s="522">
        <v>4.7698617164952497E-3</v>
      </c>
      <c r="T337" s="520">
        <v>331</v>
      </c>
      <c r="U337" s="520">
        <v>4.9790180593239346E-3</v>
      </c>
      <c r="AD337" s="520">
        <v>331</v>
      </c>
      <c r="AE337" s="520">
        <v>4.2263178347535062E-3</v>
      </c>
    </row>
    <row r="338" spans="10:31">
      <c r="J338" s="522">
        <v>332</v>
      </c>
      <c r="K338" s="522">
        <v>4.765134794913339E-3</v>
      </c>
      <c r="T338" s="520">
        <v>332</v>
      </c>
      <c r="U338" s="520">
        <v>4.9693949527866311E-3</v>
      </c>
      <c r="AD338" s="520">
        <v>332</v>
      </c>
      <c r="AE338" s="520">
        <v>4.2226829782810284E-3</v>
      </c>
    </row>
    <row r="339" spans="10:31">
      <c r="J339" s="522">
        <v>333</v>
      </c>
      <c r="K339" s="522">
        <v>4.7573379251999396E-3</v>
      </c>
      <c r="T339" s="520">
        <v>333</v>
      </c>
      <c r="U339" s="520">
        <v>4.972366941418044E-3</v>
      </c>
      <c r="AD339" s="520">
        <v>333</v>
      </c>
      <c r="AE339" s="520">
        <v>4.2098810432939756E-3</v>
      </c>
    </row>
    <row r="340" spans="10:31">
      <c r="J340" s="522">
        <v>334</v>
      </c>
      <c r="K340" s="522">
        <v>4.7724512668893913E-3</v>
      </c>
      <c r="T340" s="520">
        <v>334</v>
      </c>
      <c r="U340" s="520">
        <v>4.976046936830656E-3</v>
      </c>
      <c r="AD340" s="520">
        <v>334</v>
      </c>
      <c r="AE340" s="520">
        <v>4.2173529660392032E-3</v>
      </c>
    </row>
    <row r="341" spans="10:31">
      <c r="J341" s="522">
        <v>335</v>
      </c>
      <c r="K341" s="522">
        <v>4.7538979277827551E-3</v>
      </c>
      <c r="T341" s="520">
        <v>335</v>
      </c>
      <c r="U341" s="520">
        <v>4.9790799683868394E-3</v>
      </c>
      <c r="AD341" s="520">
        <v>335</v>
      </c>
      <c r="AE341" s="520">
        <v>4.2080026968585298E-3</v>
      </c>
    </row>
    <row r="342" spans="10:31">
      <c r="J342" s="522">
        <v>336</v>
      </c>
      <c r="K342" s="522">
        <v>4.7478233843735659E-3</v>
      </c>
      <c r="T342" s="520">
        <v>336</v>
      </c>
      <c r="U342" s="520">
        <v>4.9851756863187862E-3</v>
      </c>
      <c r="AD342" s="520">
        <v>336</v>
      </c>
      <c r="AE342" s="520">
        <v>4.2072199178776843E-3</v>
      </c>
    </row>
    <row r="343" spans="10:31">
      <c r="J343" s="522">
        <v>337</v>
      </c>
      <c r="K343" s="522">
        <v>4.7634842557563763E-3</v>
      </c>
      <c r="T343" s="520">
        <v>337</v>
      </c>
      <c r="U343" s="520">
        <v>4.9733701057535964E-3</v>
      </c>
      <c r="AD343" s="520">
        <v>337</v>
      </c>
      <c r="AE343" s="520">
        <v>4.2173419424570797E-3</v>
      </c>
    </row>
    <row r="344" spans="10:31">
      <c r="J344" s="522">
        <v>338</v>
      </c>
      <c r="K344" s="522">
        <v>4.7537925734093848E-3</v>
      </c>
      <c r="T344" s="520">
        <v>338</v>
      </c>
      <c r="U344" s="520">
        <v>4.9692122182137411E-3</v>
      </c>
      <c r="AD344" s="520">
        <v>338</v>
      </c>
      <c r="AE344" s="520">
        <v>4.1991157370550166E-3</v>
      </c>
    </row>
    <row r="345" spans="10:31">
      <c r="J345" s="522">
        <v>339</v>
      </c>
      <c r="K345" s="522">
        <v>4.7674690692010371E-3</v>
      </c>
      <c r="T345" s="520">
        <v>339</v>
      </c>
      <c r="U345" s="520">
        <v>4.9732587833992937E-3</v>
      </c>
      <c r="AD345" s="520">
        <v>339</v>
      </c>
      <c r="AE345" s="520">
        <v>4.2099567659051595E-3</v>
      </c>
    </row>
    <row r="346" spans="10:31">
      <c r="J346" s="522">
        <v>340</v>
      </c>
      <c r="K346" s="522">
        <v>4.7560049626591402E-3</v>
      </c>
      <c r="T346" s="520">
        <v>340</v>
      </c>
      <c r="U346" s="520">
        <v>4.9715399739484467E-3</v>
      </c>
      <c r="AD346" s="520">
        <v>340</v>
      </c>
      <c r="AE346" s="520">
        <v>4.2070976989374278E-3</v>
      </c>
    </row>
    <row r="347" spans="10:31">
      <c r="J347" s="522">
        <v>341</v>
      </c>
      <c r="K347" s="522">
        <v>4.7524378172665955E-3</v>
      </c>
      <c r="T347" s="520">
        <v>341</v>
      </c>
      <c r="U347" s="520">
        <v>4.9718089330680138E-3</v>
      </c>
      <c r="AD347" s="520">
        <v>341</v>
      </c>
      <c r="AE347" s="520">
        <v>4.2113221257226753E-3</v>
      </c>
    </row>
    <row r="348" spans="10:31">
      <c r="J348" s="522">
        <v>342</v>
      </c>
      <c r="K348" s="522">
        <v>4.7655464553253875E-3</v>
      </c>
      <c r="T348" s="520">
        <v>342</v>
      </c>
      <c r="U348" s="520">
        <v>4.9726053616914638E-3</v>
      </c>
      <c r="AD348" s="520">
        <v>342</v>
      </c>
      <c r="AE348" s="520">
        <v>4.2198795107908195E-3</v>
      </c>
    </row>
    <row r="349" spans="10:31">
      <c r="J349" s="522">
        <v>343</v>
      </c>
      <c r="K349" s="522">
        <v>4.7540786534788979E-3</v>
      </c>
      <c r="T349" s="520">
        <v>343</v>
      </c>
      <c r="U349" s="520">
        <v>4.9770448855456879E-3</v>
      </c>
      <c r="AD349" s="520">
        <v>343</v>
      </c>
      <c r="AE349" s="520">
        <v>4.2056196156618529E-3</v>
      </c>
    </row>
    <row r="350" spans="10:31">
      <c r="J350" s="522">
        <v>344</v>
      </c>
      <c r="K350" s="522">
        <v>4.762744215111166E-3</v>
      </c>
      <c r="T350" s="520">
        <v>344</v>
      </c>
      <c r="U350" s="520">
        <v>4.9773627586354304E-3</v>
      </c>
      <c r="AD350" s="520">
        <v>344</v>
      </c>
      <c r="AE350" s="520">
        <v>4.2147701735723159E-3</v>
      </c>
    </row>
    <row r="351" spans="10:31">
      <c r="J351" s="522">
        <v>345</v>
      </c>
      <c r="K351" s="522">
        <v>4.7400450376293077E-3</v>
      </c>
      <c r="T351" s="520">
        <v>345</v>
      </c>
      <c r="U351" s="520">
        <v>4.9754229307711669E-3</v>
      </c>
      <c r="AD351" s="520">
        <v>345</v>
      </c>
      <c r="AE351" s="520">
        <v>4.2155651172119677E-3</v>
      </c>
    </row>
    <row r="352" spans="10:31">
      <c r="J352" s="522">
        <v>346</v>
      </c>
      <c r="K352" s="522">
        <v>4.7793368119733275E-3</v>
      </c>
      <c r="T352" s="520">
        <v>346</v>
      </c>
      <c r="U352" s="520">
        <v>4.9888643851940303E-3</v>
      </c>
      <c r="AD352" s="520">
        <v>346</v>
      </c>
      <c r="AE352" s="520">
        <v>4.2016199307630198E-3</v>
      </c>
    </row>
    <row r="353" spans="10:31">
      <c r="J353" s="522">
        <v>347</v>
      </c>
      <c r="K353" s="522">
        <v>4.7510550486403588E-3</v>
      </c>
      <c r="T353" s="520">
        <v>347</v>
      </c>
      <c r="U353" s="520">
        <v>4.9709741739108644E-3</v>
      </c>
      <c r="AD353" s="520">
        <v>347</v>
      </c>
      <c r="AE353" s="520">
        <v>4.2266391468779125E-3</v>
      </c>
    </row>
    <row r="354" spans="10:31">
      <c r="J354" s="522">
        <v>348</v>
      </c>
      <c r="K354" s="522">
        <v>4.7688132609914891E-3</v>
      </c>
      <c r="T354" s="520">
        <v>348</v>
      </c>
      <c r="U354" s="520">
        <v>4.9814380281939172E-3</v>
      </c>
      <c r="AD354" s="520">
        <v>348</v>
      </c>
      <c r="AE354" s="520">
        <v>4.2123022593519126E-3</v>
      </c>
    </row>
    <row r="355" spans="10:31">
      <c r="J355" s="522">
        <v>349</v>
      </c>
      <c r="K355" s="522">
        <v>4.7504603999551373E-3</v>
      </c>
      <c r="T355" s="520">
        <v>349</v>
      </c>
      <c r="U355" s="520">
        <v>4.9841458520803782E-3</v>
      </c>
      <c r="AD355" s="520">
        <v>349</v>
      </c>
      <c r="AE355" s="520">
        <v>4.2045427542550529E-3</v>
      </c>
    </row>
    <row r="356" spans="10:31">
      <c r="J356" s="522">
        <v>350</v>
      </c>
      <c r="K356" s="522">
        <v>4.7645607861074865E-3</v>
      </c>
      <c r="T356" s="520">
        <v>350</v>
      </c>
      <c r="U356" s="520">
        <v>4.963496420067914E-3</v>
      </c>
      <c r="AD356" s="520">
        <v>350</v>
      </c>
      <c r="AE356" s="520">
        <v>4.2104493053698967E-3</v>
      </c>
    </row>
    <row r="357" spans="10:31">
      <c r="J357" s="522">
        <v>351</v>
      </c>
      <c r="K357" s="522">
        <v>4.7436331034516705E-3</v>
      </c>
      <c r="T357" s="520">
        <v>351</v>
      </c>
      <c r="U357" s="520">
        <v>4.9710840203582721E-3</v>
      </c>
      <c r="AD357" s="520">
        <v>351</v>
      </c>
      <c r="AE357" s="520">
        <v>4.2070486443819841E-3</v>
      </c>
    </row>
    <row r="358" spans="10:31">
      <c r="J358" s="522">
        <v>352</v>
      </c>
      <c r="K358" s="522">
        <v>4.7602343095018125E-3</v>
      </c>
      <c r="T358" s="520">
        <v>352</v>
      </c>
      <c r="U358" s="520">
        <v>4.9736310390095561E-3</v>
      </c>
      <c r="AD358" s="520">
        <v>352</v>
      </c>
      <c r="AE358" s="520">
        <v>4.2084907160694291E-3</v>
      </c>
    </row>
    <row r="359" spans="10:31">
      <c r="J359" s="522">
        <v>353</v>
      </c>
      <c r="K359" s="522">
        <v>4.7638396878086752E-3</v>
      </c>
      <c r="T359" s="520">
        <v>353</v>
      </c>
      <c r="U359" s="520">
        <v>4.9821279605863234E-3</v>
      </c>
      <c r="AD359" s="520">
        <v>353</v>
      </c>
      <c r="AE359" s="520">
        <v>4.2252049059833072E-3</v>
      </c>
    </row>
    <row r="360" spans="10:31">
      <c r="J360" s="522">
        <v>354</v>
      </c>
      <c r="K360" s="522">
        <v>4.7467560439754704E-3</v>
      </c>
      <c r="T360" s="520">
        <v>354</v>
      </c>
      <c r="U360" s="520">
        <v>4.9809506210850762E-3</v>
      </c>
      <c r="AD360" s="520">
        <v>354</v>
      </c>
      <c r="AE360" s="520">
        <v>4.2267942752040322E-3</v>
      </c>
    </row>
    <row r="361" spans="10:31">
      <c r="J361" s="522">
        <v>355</v>
      </c>
      <c r="K361" s="522">
        <v>4.7407078789566664E-3</v>
      </c>
      <c r="T361" s="520">
        <v>355</v>
      </c>
      <c r="U361" s="520">
        <v>4.9742145843164999E-3</v>
      </c>
      <c r="AD361" s="520">
        <v>355</v>
      </c>
      <c r="AE361" s="520">
        <v>4.2013382121331632E-3</v>
      </c>
    </row>
    <row r="362" spans="10:31">
      <c r="J362" s="522">
        <v>356</v>
      </c>
      <c r="K362" s="522">
        <v>4.742798670821528E-3</v>
      </c>
      <c r="T362" s="520">
        <v>356</v>
      </c>
      <c r="U362" s="520">
        <v>4.9666250952660742E-3</v>
      </c>
      <c r="AD362" s="520">
        <v>356</v>
      </c>
      <c r="AE362" s="520">
        <v>4.2052126267963751E-3</v>
      </c>
    </row>
    <row r="363" spans="10:31">
      <c r="J363" s="522">
        <v>357</v>
      </c>
      <c r="K363" s="522">
        <v>4.7491308014282804E-3</v>
      </c>
      <c r="T363" s="520">
        <v>357</v>
      </c>
      <c r="U363" s="520">
        <v>4.9816417817858845E-3</v>
      </c>
      <c r="AD363" s="520">
        <v>357</v>
      </c>
      <c r="AE363" s="520">
        <v>4.2062670521334005E-3</v>
      </c>
    </row>
    <row r="364" spans="10:31">
      <c r="J364" s="522">
        <v>358</v>
      </c>
      <c r="K364" s="522">
        <v>4.763943639648497E-3</v>
      </c>
      <c r="T364" s="520">
        <v>358</v>
      </c>
      <c r="U364" s="520">
        <v>4.9636712507827498E-3</v>
      </c>
      <c r="AD364" s="520">
        <v>358</v>
      </c>
      <c r="AE364" s="520">
        <v>4.206045492089353E-3</v>
      </c>
    </row>
    <row r="365" spans="10:31">
      <c r="J365" s="522">
        <v>359</v>
      </c>
      <c r="K365" s="522">
        <v>4.7580641225113589E-3</v>
      </c>
      <c r="T365" s="520">
        <v>359</v>
      </c>
      <c r="U365" s="520">
        <v>4.9636631983746432E-3</v>
      </c>
      <c r="AD365" s="520">
        <v>359</v>
      </c>
      <c r="AE365" s="520">
        <v>4.228210057877233E-3</v>
      </c>
    </row>
    <row r="366" spans="10:31">
      <c r="J366" s="522">
        <v>360</v>
      </c>
      <c r="K366" s="522">
        <v>4.7550272994603994E-3</v>
      </c>
      <c r="T366" s="520">
        <v>360</v>
      </c>
      <c r="U366" s="520">
        <v>4.964460523949975E-3</v>
      </c>
      <c r="AD366" s="520">
        <v>360</v>
      </c>
      <c r="AE366" s="520">
        <v>4.2099163991097255E-3</v>
      </c>
    </row>
    <row r="367" spans="10:31">
      <c r="J367" s="522">
        <v>361</v>
      </c>
      <c r="K367" s="522">
        <v>4.7731594283466757E-3</v>
      </c>
      <c r="T367" s="520">
        <v>361</v>
      </c>
      <c r="U367" s="520">
        <v>4.9747516109331777E-3</v>
      </c>
      <c r="AD367" s="520">
        <v>361</v>
      </c>
      <c r="AE367" s="520">
        <v>4.2283580143552537E-3</v>
      </c>
    </row>
    <row r="368" spans="10:31">
      <c r="J368" s="522">
        <v>362</v>
      </c>
      <c r="K368" s="522">
        <v>4.7526473121200456E-3</v>
      </c>
      <c r="T368" s="520">
        <v>362</v>
      </c>
      <c r="U368" s="520">
        <v>4.9698929091289432E-3</v>
      </c>
      <c r="AD368" s="520">
        <v>362</v>
      </c>
      <c r="AE368" s="520">
        <v>4.207289644828029E-3</v>
      </c>
    </row>
    <row r="369" spans="10:31">
      <c r="J369" s="522">
        <v>363</v>
      </c>
      <c r="K369" s="522">
        <v>4.758046863908575E-3</v>
      </c>
      <c r="T369" s="520">
        <v>363</v>
      </c>
      <c r="U369" s="520">
        <v>4.9787937419476166E-3</v>
      </c>
      <c r="AD369" s="520">
        <v>363</v>
      </c>
      <c r="AE369" s="520">
        <v>4.2076523945823018E-3</v>
      </c>
    </row>
    <row r="370" spans="10:31">
      <c r="J370" s="522">
        <v>364</v>
      </c>
      <c r="K370" s="522">
        <v>4.7567170800828212E-3</v>
      </c>
      <c r="T370" s="520">
        <v>364</v>
      </c>
      <c r="U370" s="520">
        <v>4.9693063642942759E-3</v>
      </c>
      <c r="AD370" s="520">
        <v>364</v>
      </c>
      <c r="AE370" s="520">
        <v>4.212411058247518E-3</v>
      </c>
    </row>
    <row r="371" spans="10:31">
      <c r="J371" s="522">
        <v>365</v>
      </c>
      <c r="K371" s="522">
        <v>4.7606792773690898E-3</v>
      </c>
      <c r="T371" s="520">
        <v>365</v>
      </c>
      <c r="U371" s="520">
        <v>4.9679428474838222E-3</v>
      </c>
      <c r="AD371" s="520">
        <v>365</v>
      </c>
      <c r="AE371" s="520">
        <v>4.2176678009513196E-3</v>
      </c>
    </row>
    <row r="372" spans="10:31">
      <c r="J372" s="522">
        <v>366</v>
      </c>
      <c r="K372" s="522">
        <v>4.76010858233911E-3</v>
      </c>
      <c r="T372" s="520">
        <v>366</v>
      </c>
      <c r="U372" s="520">
        <v>4.9684903286977417E-3</v>
      </c>
      <c r="AD372" s="520">
        <v>366</v>
      </c>
      <c r="AE372" s="520">
        <v>4.2196058096312236E-3</v>
      </c>
    </row>
    <row r="373" spans="10:31">
      <c r="J373" s="522">
        <v>367</v>
      </c>
      <c r="K373" s="522">
        <v>4.7604110868910343E-3</v>
      </c>
      <c r="T373" s="520">
        <v>367</v>
      </c>
      <c r="U373" s="520">
        <v>4.9744369840178711E-3</v>
      </c>
      <c r="AD373" s="520">
        <v>367</v>
      </c>
      <c r="AE373" s="520">
        <v>4.2025740708716711E-3</v>
      </c>
    </row>
    <row r="374" spans="10:31">
      <c r="J374" s="522">
        <v>368</v>
      </c>
      <c r="K374" s="522">
        <v>4.7865735523721946E-3</v>
      </c>
      <c r="T374" s="520">
        <v>368</v>
      </c>
      <c r="U374" s="520">
        <v>4.9689744521266305E-3</v>
      </c>
      <c r="AD374" s="520">
        <v>368</v>
      </c>
      <c r="AE374" s="520">
        <v>4.21797929128558E-3</v>
      </c>
    </row>
    <row r="375" spans="10:31">
      <c r="J375" s="522">
        <v>369</v>
      </c>
      <c r="K375" s="522">
        <v>4.7615798582584818E-3</v>
      </c>
      <c r="T375" s="520">
        <v>369</v>
      </c>
      <c r="U375" s="520">
        <v>4.9841329937709835E-3</v>
      </c>
      <c r="AD375" s="520">
        <v>369</v>
      </c>
      <c r="AE375" s="520">
        <v>4.206067125533397E-3</v>
      </c>
    </row>
    <row r="376" spans="10:31">
      <c r="J376" s="522">
        <v>370</v>
      </c>
      <c r="K376" s="522">
        <v>4.7531476659282215E-3</v>
      </c>
      <c r="T376" s="520">
        <v>370</v>
      </c>
      <c r="U376" s="520">
        <v>4.9796116937271089E-3</v>
      </c>
      <c r="AD376" s="520">
        <v>370</v>
      </c>
      <c r="AE376" s="520">
        <v>4.2202955747485402E-3</v>
      </c>
    </row>
    <row r="377" spans="10:31">
      <c r="J377" s="522">
        <v>371</v>
      </c>
      <c r="K377" s="522">
        <v>4.7589361968048824E-3</v>
      </c>
      <c r="T377" s="520">
        <v>371</v>
      </c>
      <c r="U377" s="520">
        <v>4.967676844445594E-3</v>
      </c>
      <c r="AD377" s="520">
        <v>371</v>
      </c>
      <c r="AE377" s="520">
        <v>4.2221239037816688E-3</v>
      </c>
    </row>
    <row r="378" spans="10:31">
      <c r="J378" s="522">
        <v>372</v>
      </c>
      <c r="K378" s="522">
        <v>4.7607722709665026E-3</v>
      </c>
      <c r="T378" s="520">
        <v>372</v>
      </c>
      <c r="U378" s="520">
        <v>4.9730959646139099E-3</v>
      </c>
      <c r="AD378" s="520">
        <v>372</v>
      </c>
      <c r="AE378" s="520">
        <v>4.1980515400761691E-3</v>
      </c>
    </row>
    <row r="379" spans="10:31">
      <c r="J379" s="522">
        <v>373</v>
      </c>
      <c r="K379" s="522">
        <v>4.7712092152136648E-3</v>
      </c>
      <c r="T379" s="520">
        <v>373</v>
      </c>
      <c r="U379" s="520">
        <v>4.9689064873691055E-3</v>
      </c>
      <c r="AD379" s="520">
        <v>373</v>
      </c>
      <c r="AE379" s="520">
        <v>4.2225971878887738E-3</v>
      </c>
    </row>
    <row r="380" spans="10:31">
      <c r="J380" s="522">
        <v>374</v>
      </c>
      <c r="K380" s="522">
        <v>4.7440211559437798E-3</v>
      </c>
      <c r="T380" s="520">
        <v>374</v>
      </c>
      <c r="U380" s="520">
        <v>4.971007763083928E-3</v>
      </c>
      <c r="AD380" s="520">
        <v>374</v>
      </c>
      <c r="AE380" s="520">
        <v>4.2057909712831468E-3</v>
      </c>
    </row>
    <row r="381" spans="10:31">
      <c r="J381" s="522">
        <v>375</v>
      </c>
      <c r="K381" s="522">
        <v>4.7549382307077717E-3</v>
      </c>
      <c r="T381" s="520">
        <v>375</v>
      </c>
      <c r="U381" s="520">
        <v>4.9800732202578014E-3</v>
      </c>
      <c r="AD381" s="520">
        <v>375</v>
      </c>
      <c r="AE381" s="520">
        <v>4.2174092715835925E-3</v>
      </c>
    </row>
    <row r="382" spans="10:31">
      <c r="J382" s="522">
        <v>376</v>
      </c>
      <c r="K382" s="522">
        <v>4.7663140122333027E-3</v>
      </c>
      <c r="T382" s="520">
        <v>376</v>
      </c>
      <c r="U382" s="520">
        <v>4.9611068469630161E-3</v>
      </c>
      <c r="AD382" s="520">
        <v>376</v>
      </c>
      <c r="AE382" s="520">
        <v>4.2167656604236697E-3</v>
      </c>
    </row>
    <row r="383" spans="10:31">
      <c r="J383" s="522">
        <v>377</v>
      </c>
      <c r="K383" s="522">
        <v>4.7533779836821085E-3</v>
      </c>
      <c r="T383" s="520">
        <v>377</v>
      </c>
      <c r="U383" s="520">
        <v>4.991777054618304E-3</v>
      </c>
      <c r="AD383" s="520">
        <v>377</v>
      </c>
      <c r="AE383" s="520">
        <v>4.2089884002885561E-3</v>
      </c>
    </row>
    <row r="384" spans="10:31">
      <c r="J384" s="522">
        <v>378</v>
      </c>
      <c r="K384" s="522">
        <v>4.7506731038668279E-3</v>
      </c>
      <c r="T384" s="520">
        <v>378</v>
      </c>
      <c r="U384" s="520">
        <v>4.9837656339944804E-3</v>
      </c>
      <c r="AD384" s="520">
        <v>378</v>
      </c>
      <c r="AE384" s="520">
        <v>4.2063394466576786E-3</v>
      </c>
    </row>
    <row r="385" spans="10:31">
      <c r="J385" s="522">
        <v>379</v>
      </c>
      <c r="K385" s="522">
        <v>4.7745346111283723E-3</v>
      </c>
      <c r="T385" s="520">
        <v>379</v>
      </c>
      <c r="U385" s="520">
        <v>4.9761545607138668E-3</v>
      </c>
      <c r="AD385" s="520">
        <v>379</v>
      </c>
      <c r="AE385" s="520">
        <v>4.217438078823391E-3</v>
      </c>
    </row>
    <row r="386" spans="10:31">
      <c r="J386" s="522">
        <v>380</v>
      </c>
      <c r="K386" s="522">
        <v>4.7628468761785918E-3</v>
      </c>
      <c r="T386" s="520">
        <v>380</v>
      </c>
      <c r="U386" s="520">
        <v>4.9580581943334525E-3</v>
      </c>
      <c r="AD386" s="520">
        <v>380</v>
      </c>
      <c r="AE386" s="520">
        <v>4.2224437704642898E-3</v>
      </c>
    </row>
    <row r="387" spans="10:31">
      <c r="J387" s="522">
        <v>381</v>
      </c>
      <c r="K387" s="522">
        <v>4.7468280260321441E-3</v>
      </c>
      <c r="T387" s="520">
        <v>381</v>
      </c>
      <c r="U387" s="520">
        <v>4.9677377884799903E-3</v>
      </c>
      <c r="AD387" s="520">
        <v>381</v>
      </c>
      <c r="AE387" s="520">
        <v>4.2235618692491759E-3</v>
      </c>
    </row>
    <row r="388" spans="10:31">
      <c r="J388" s="522">
        <v>382</v>
      </c>
      <c r="K388" s="522">
        <v>4.7727769881098538E-3</v>
      </c>
      <c r="T388" s="520">
        <v>382</v>
      </c>
      <c r="U388" s="520">
        <v>4.9721918427318816E-3</v>
      </c>
      <c r="AD388" s="520">
        <v>382</v>
      </c>
      <c r="AE388" s="520">
        <v>4.1996277136284368E-3</v>
      </c>
    </row>
    <row r="389" spans="10:31">
      <c r="J389" s="522">
        <v>383</v>
      </c>
      <c r="K389" s="522">
        <v>4.7377328045921322E-3</v>
      </c>
      <c r="T389" s="520">
        <v>383</v>
      </c>
      <c r="U389" s="520">
        <v>4.9887968066612198E-3</v>
      </c>
      <c r="AD389" s="520">
        <v>383</v>
      </c>
      <c r="AE389" s="520">
        <v>4.2004275674944131E-3</v>
      </c>
    </row>
    <row r="390" spans="10:31">
      <c r="J390" s="522">
        <v>384</v>
      </c>
      <c r="K390" s="522">
        <v>4.7509257884597823E-3</v>
      </c>
      <c r="T390" s="520">
        <v>384</v>
      </c>
      <c r="U390" s="520">
        <v>4.982375737405201E-3</v>
      </c>
      <c r="AD390" s="520">
        <v>384</v>
      </c>
      <c r="AE390" s="520">
        <v>4.2017120504936369E-3</v>
      </c>
    </row>
    <row r="391" spans="10:31">
      <c r="J391" s="522">
        <v>385</v>
      </c>
      <c r="K391" s="522">
        <v>4.7615947416301445E-3</v>
      </c>
      <c r="T391" s="520">
        <v>385</v>
      </c>
      <c r="U391" s="520">
        <v>4.9869153802623899E-3</v>
      </c>
      <c r="AD391" s="520">
        <v>385</v>
      </c>
      <c r="AE391" s="520">
        <v>4.2346954971116194E-3</v>
      </c>
    </row>
    <row r="392" spans="10:31">
      <c r="J392" s="522">
        <v>386</v>
      </c>
      <c r="K392" s="522">
        <v>4.7598899530679082E-3</v>
      </c>
      <c r="T392" s="520">
        <v>386</v>
      </c>
      <c r="U392" s="520">
        <v>4.9636927522126017E-3</v>
      </c>
      <c r="AD392" s="520">
        <v>386</v>
      </c>
      <c r="AE392" s="520">
        <v>4.1994817373815201E-3</v>
      </c>
    </row>
    <row r="393" spans="10:31">
      <c r="J393" s="522">
        <v>387</v>
      </c>
      <c r="K393" s="522">
        <v>4.7706437265386268E-3</v>
      </c>
      <c r="T393" s="520">
        <v>387</v>
      </c>
      <c r="U393" s="520">
        <v>4.957911205185365E-3</v>
      </c>
      <c r="AD393" s="520">
        <v>387</v>
      </c>
      <c r="AE393" s="520">
        <v>4.2158363178414352E-3</v>
      </c>
    </row>
    <row r="394" spans="10:31">
      <c r="J394" s="522">
        <v>388</v>
      </c>
      <c r="K394" s="522">
        <v>4.7625300741048256E-3</v>
      </c>
      <c r="T394" s="520">
        <v>388</v>
      </c>
      <c r="U394" s="520">
        <v>4.9690810833856293E-3</v>
      </c>
      <c r="AD394" s="520">
        <v>388</v>
      </c>
      <c r="AE394" s="520">
        <v>4.2164496670833501E-3</v>
      </c>
    </row>
    <row r="395" spans="10:31">
      <c r="J395" s="522">
        <v>389</v>
      </c>
      <c r="K395" s="522">
        <v>4.7592127478508798E-3</v>
      </c>
      <c r="T395" s="520">
        <v>389</v>
      </c>
      <c r="U395" s="520">
        <v>4.9897390079255326E-3</v>
      </c>
      <c r="AD395" s="520">
        <v>389</v>
      </c>
      <c r="AE395" s="520">
        <v>4.2032298934584662E-3</v>
      </c>
    </row>
    <row r="396" spans="10:31">
      <c r="J396" s="522">
        <v>390</v>
      </c>
      <c r="K396" s="522">
        <v>4.7393941729653782E-3</v>
      </c>
      <c r="T396" s="520">
        <v>390</v>
      </c>
      <c r="U396" s="520">
        <v>4.9922048559735031E-3</v>
      </c>
      <c r="AD396" s="520">
        <v>390</v>
      </c>
      <c r="AE396" s="520">
        <v>4.1913552813273389E-3</v>
      </c>
    </row>
    <row r="397" spans="10:31">
      <c r="J397" s="522">
        <v>391</v>
      </c>
      <c r="K397" s="522">
        <v>4.7618919400687224E-3</v>
      </c>
      <c r="T397" s="520">
        <v>391</v>
      </c>
      <c r="U397" s="520">
        <v>4.9754631262919763E-3</v>
      </c>
      <c r="AD397" s="520">
        <v>391</v>
      </c>
      <c r="AE397" s="520">
        <v>4.2019294264759206E-3</v>
      </c>
    </row>
    <row r="398" spans="10:31">
      <c r="J398" s="522">
        <v>392</v>
      </c>
      <c r="K398" s="522">
        <v>4.7560389129191454E-3</v>
      </c>
      <c r="T398" s="520">
        <v>392</v>
      </c>
      <c r="U398" s="520">
        <v>4.9910687529289644E-3</v>
      </c>
      <c r="AD398" s="520">
        <v>392</v>
      </c>
      <c r="AE398" s="520">
        <v>4.2295683649055766E-3</v>
      </c>
    </row>
    <row r="399" spans="10:31">
      <c r="J399" s="522">
        <v>393</v>
      </c>
      <c r="K399" s="522">
        <v>4.7720917345693611E-3</v>
      </c>
      <c r="T399" s="520">
        <v>393</v>
      </c>
      <c r="U399" s="520">
        <v>4.9817722533096525E-3</v>
      </c>
      <c r="AD399" s="520">
        <v>393</v>
      </c>
      <c r="AE399" s="520">
        <v>4.2113356432910498E-3</v>
      </c>
    </row>
    <row r="400" spans="10:31">
      <c r="J400" s="522">
        <v>394</v>
      </c>
      <c r="K400" s="522">
        <v>4.7749910958241179E-3</v>
      </c>
      <c r="T400" s="520">
        <v>394</v>
      </c>
      <c r="U400" s="520">
        <v>4.970642683665925E-3</v>
      </c>
      <c r="AD400" s="520">
        <v>394</v>
      </c>
      <c r="AE400" s="520">
        <v>4.2035211463074852E-3</v>
      </c>
    </row>
    <row r="401" spans="10:31">
      <c r="J401" s="522">
        <v>395</v>
      </c>
      <c r="K401" s="522">
        <v>4.7740853862993692E-3</v>
      </c>
      <c r="T401" s="520">
        <v>395</v>
      </c>
      <c r="U401" s="520">
        <v>4.9752136349245106E-3</v>
      </c>
      <c r="AD401" s="520">
        <v>395</v>
      </c>
      <c r="AE401" s="520">
        <v>4.207117216391219E-3</v>
      </c>
    </row>
    <row r="402" spans="10:31">
      <c r="J402" s="522">
        <v>396</v>
      </c>
      <c r="K402" s="522">
        <v>4.7911343186052687E-3</v>
      </c>
      <c r="T402" s="520">
        <v>396</v>
      </c>
      <c r="U402" s="520">
        <v>4.9761621492581277E-3</v>
      </c>
      <c r="AD402" s="520">
        <v>396</v>
      </c>
      <c r="AE402" s="520">
        <v>4.2097002061972809E-3</v>
      </c>
    </row>
    <row r="403" spans="10:31">
      <c r="J403" s="522">
        <v>397</v>
      </c>
      <c r="K403" s="522">
        <v>4.758984095996132E-3</v>
      </c>
      <c r="T403" s="520">
        <v>397</v>
      </c>
      <c r="U403" s="520">
        <v>4.9562654602596824E-3</v>
      </c>
      <c r="AD403" s="520">
        <v>397</v>
      </c>
      <c r="AE403" s="520">
        <v>4.2075749185950121E-3</v>
      </c>
    </row>
    <row r="404" spans="10:31">
      <c r="J404" s="522">
        <v>398</v>
      </c>
      <c r="K404" s="522">
        <v>4.7605418455710456E-3</v>
      </c>
      <c r="T404" s="520">
        <v>398</v>
      </c>
      <c r="U404" s="520">
        <v>4.9736548850935767E-3</v>
      </c>
      <c r="AD404" s="520">
        <v>398</v>
      </c>
      <c r="AE404" s="520">
        <v>4.2143922141350907E-3</v>
      </c>
    </row>
    <row r="405" spans="10:31">
      <c r="J405" s="522">
        <v>399</v>
      </c>
      <c r="K405" s="522">
        <v>4.7561973593541213E-3</v>
      </c>
      <c r="T405" s="520">
        <v>399</v>
      </c>
      <c r="U405" s="520">
        <v>4.9874786658825289E-3</v>
      </c>
      <c r="AD405" s="520">
        <v>399</v>
      </c>
      <c r="AE405" s="520">
        <v>4.2083041295852223E-3</v>
      </c>
    </row>
    <row r="406" spans="10:31">
      <c r="J406" s="522">
        <v>400</v>
      </c>
      <c r="K406" s="522">
        <v>4.7707177657753015E-3</v>
      </c>
      <c r="T406" s="520">
        <v>400</v>
      </c>
      <c r="U406" s="520">
        <v>4.9634542854694501E-3</v>
      </c>
      <c r="AD406" s="520">
        <v>400</v>
      </c>
      <c r="AE406" s="520">
        <v>4.2088936670456826E-3</v>
      </c>
    </row>
    <row r="407" spans="10:31">
      <c r="J407" s="522">
        <v>401</v>
      </c>
      <c r="K407" s="522">
        <v>4.7588178745699965E-3</v>
      </c>
      <c r="T407" s="520">
        <v>401</v>
      </c>
      <c r="U407" s="520">
        <v>4.9921269874097498E-3</v>
      </c>
      <c r="AD407" s="520">
        <v>401</v>
      </c>
      <c r="AE407" s="520">
        <v>4.2025199894564578E-3</v>
      </c>
    </row>
    <row r="408" spans="10:31">
      <c r="J408" s="522">
        <v>402</v>
      </c>
      <c r="K408" s="522">
        <v>4.744631016574301E-3</v>
      </c>
      <c r="T408" s="520">
        <v>402</v>
      </c>
      <c r="U408" s="520">
        <v>4.9632743927758649E-3</v>
      </c>
      <c r="AD408" s="520">
        <v>402</v>
      </c>
      <c r="AE408" s="520">
        <v>4.2283665486519692E-3</v>
      </c>
    </row>
    <row r="409" spans="10:31">
      <c r="J409" s="522">
        <v>403</v>
      </c>
      <c r="K409" s="522">
        <v>4.7685469478590771E-3</v>
      </c>
      <c r="T409" s="520">
        <v>403</v>
      </c>
      <c r="U409" s="520">
        <v>4.9658511841138642E-3</v>
      </c>
      <c r="AD409" s="520">
        <v>403</v>
      </c>
      <c r="AE409" s="520">
        <v>4.2180212750106902E-3</v>
      </c>
    </row>
    <row r="410" spans="10:31">
      <c r="J410" s="522">
        <v>404</v>
      </c>
      <c r="K410" s="522">
        <v>4.7685587771624108E-3</v>
      </c>
      <c r="T410" s="520">
        <v>404</v>
      </c>
      <c r="U410" s="520">
        <v>4.9678289963268193E-3</v>
      </c>
      <c r="AD410" s="520">
        <v>404</v>
      </c>
      <c r="AE410" s="520">
        <v>4.204316641939064E-3</v>
      </c>
    </row>
    <row r="411" spans="10:31">
      <c r="J411" s="522">
        <v>405</v>
      </c>
      <c r="K411" s="522">
        <v>4.7676521150113709E-3</v>
      </c>
      <c r="T411" s="520">
        <v>405</v>
      </c>
      <c r="U411" s="520">
        <v>4.9767091664027511E-3</v>
      </c>
      <c r="AD411" s="520">
        <v>405</v>
      </c>
      <c r="AE411" s="520">
        <v>4.2223723644235914E-3</v>
      </c>
    </row>
    <row r="412" spans="10:31">
      <c r="J412" s="522">
        <v>406</v>
      </c>
      <c r="K412" s="522">
        <v>4.7613528387326718E-3</v>
      </c>
      <c r="T412" s="520">
        <v>406</v>
      </c>
      <c r="U412" s="520">
        <v>4.9670725137151792E-3</v>
      </c>
      <c r="AD412" s="520">
        <v>406</v>
      </c>
      <c r="AE412" s="520">
        <v>4.2070048868660661E-3</v>
      </c>
    </row>
    <row r="413" spans="10:31">
      <c r="J413" s="522">
        <v>407</v>
      </c>
      <c r="K413" s="522">
        <v>4.7681754813584864E-3</v>
      </c>
      <c r="T413" s="520">
        <v>407</v>
      </c>
      <c r="U413" s="520">
        <v>4.9670258092246108E-3</v>
      </c>
      <c r="AD413" s="520">
        <v>407</v>
      </c>
      <c r="AE413" s="520">
        <v>4.2167344271009238E-3</v>
      </c>
    </row>
    <row r="414" spans="10:31">
      <c r="J414" s="522">
        <v>408</v>
      </c>
      <c r="K414" s="522">
        <v>4.756610332091897E-3</v>
      </c>
      <c r="T414" s="520">
        <v>408</v>
      </c>
      <c r="U414" s="520">
        <v>4.9723656522550211E-3</v>
      </c>
      <c r="AD414" s="520">
        <v>408</v>
      </c>
      <c r="AE414" s="520">
        <v>4.2028291924532729E-3</v>
      </c>
    </row>
    <row r="415" spans="10:31">
      <c r="J415" s="522">
        <v>409</v>
      </c>
      <c r="K415" s="522">
        <v>4.777984097282092E-3</v>
      </c>
      <c r="T415" s="520">
        <v>409</v>
      </c>
      <c r="U415" s="520">
        <v>4.972684549906476E-3</v>
      </c>
      <c r="AD415" s="520">
        <v>409</v>
      </c>
      <c r="AE415" s="520">
        <v>4.2120336517685649E-3</v>
      </c>
    </row>
    <row r="416" spans="10:31">
      <c r="J416" s="522">
        <v>410</v>
      </c>
      <c r="K416" s="522">
        <v>4.7528746832401717E-3</v>
      </c>
      <c r="T416" s="520">
        <v>410</v>
      </c>
      <c r="U416" s="520">
        <v>4.9804954398698651E-3</v>
      </c>
      <c r="AD416" s="520">
        <v>410</v>
      </c>
      <c r="AE416" s="520">
        <v>4.2233340382871508E-3</v>
      </c>
    </row>
    <row r="417" spans="10:31">
      <c r="J417" s="522">
        <v>411</v>
      </c>
      <c r="K417" s="522">
        <v>4.7592359291517214E-3</v>
      </c>
      <c r="T417" s="520">
        <v>411</v>
      </c>
      <c r="U417" s="520">
        <v>4.9793541638549332E-3</v>
      </c>
      <c r="AD417" s="520">
        <v>411</v>
      </c>
      <c r="AE417" s="520">
        <v>4.2153540019744494E-3</v>
      </c>
    </row>
    <row r="418" spans="10:31">
      <c r="J418" s="522">
        <v>412</v>
      </c>
      <c r="K418" s="522">
        <v>4.7705510815319553E-3</v>
      </c>
      <c r="T418" s="520">
        <v>412</v>
      </c>
      <c r="U418" s="520">
        <v>4.9783434697105488E-3</v>
      </c>
      <c r="AD418" s="520">
        <v>412</v>
      </c>
      <c r="AE418" s="520">
        <v>4.2139243714346295E-3</v>
      </c>
    </row>
    <row r="419" spans="10:31">
      <c r="J419" s="522">
        <v>413</v>
      </c>
      <c r="K419" s="522">
        <v>4.7532963402767128E-3</v>
      </c>
      <c r="T419" s="520">
        <v>413</v>
      </c>
      <c r="U419" s="520">
        <v>4.9717923363665492E-3</v>
      </c>
      <c r="AD419" s="520">
        <v>413</v>
      </c>
      <c r="AE419" s="520">
        <v>4.2086554185355165E-3</v>
      </c>
    </row>
    <row r="420" spans="10:31">
      <c r="J420" s="522">
        <v>414</v>
      </c>
      <c r="K420" s="522">
        <v>4.7650800453056964E-3</v>
      </c>
      <c r="T420" s="520">
        <v>414</v>
      </c>
      <c r="U420" s="520">
        <v>4.9778255837795663E-3</v>
      </c>
      <c r="AD420" s="520">
        <v>414</v>
      </c>
      <c r="AE420" s="520">
        <v>4.2105535461628421E-3</v>
      </c>
    </row>
    <row r="421" spans="10:31">
      <c r="J421" s="522">
        <v>415</v>
      </c>
      <c r="K421" s="522">
        <v>4.7391429555126473E-3</v>
      </c>
      <c r="T421" s="520">
        <v>415</v>
      </c>
      <c r="U421" s="520">
        <v>4.9777798382681917E-3</v>
      </c>
      <c r="AD421" s="520">
        <v>415</v>
      </c>
      <c r="AE421" s="520">
        <v>4.2196740981721437E-3</v>
      </c>
    </row>
    <row r="422" spans="10:31">
      <c r="J422" s="522">
        <v>416</v>
      </c>
      <c r="K422" s="522">
        <v>4.7654028096703873E-3</v>
      </c>
      <c r="T422" s="520">
        <v>416</v>
      </c>
      <c r="U422" s="520">
        <v>4.96775033296111E-3</v>
      </c>
      <c r="AD422" s="520">
        <v>416</v>
      </c>
      <c r="AE422" s="520">
        <v>4.1991515191606744E-3</v>
      </c>
    </row>
    <row r="423" spans="10:31">
      <c r="J423" s="522">
        <v>417</v>
      </c>
      <c r="K423" s="522">
        <v>4.7481369557204646E-3</v>
      </c>
      <c r="T423" s="520">
        <v>417</v>
      </c>
      <c r="U423" s="520">
        <v>4.969478230421002E-3</v>
      </c>
      <c r="AD423" s="520">
        <v>417</v>
      </c>
      <c r="AE423" s="520">
        <v>4.2215192210582481E-3</v>
      </c>
    </row>
    <row r="424" spans="10:31">
      <c r="J424" s="522">
        <v>418</v>
      </c>
      <c r="K424" s="522">
        <v>4.7746869320286819E-3</v>
      </c>
      <c r="T424" s="520">
        <v>418</v>
      </c>
      <c r="U424" s="520">
        <v>4.9823857635298606E-3</v>
      </c>
      <c r="AD424" s="520">
        <v>418</v>
      </c>
      <c r="AE424" s="520">
        <v>4.219506022088264E-3</v>
      </c>
    </row>
    <row r="425" spans="10:31">
      <c r="J425" s="522">
        <v>419</v>
      </c>
      <c r="K425" s="522">
        <v>4.762486721042041E-3</v>
      </c>
      <c r="T425" s="520">
        <v>419</v>
      </c>
      <c r="U425" s="520">
        <v>4.974298229450197E-3</v>
      </c>
      <c r="AD425" s="520">
        <v>419</v>
      </c>
      <c r="AE425" s="520">
        <v>4.2080064370931649E-3</v>
      </c>
    </row>
    <row r="426" spans="10:31">
      <c r="J426" s="522">
        <v>420</v>
      </c>
      <c r="K426" s="522">
        <v>4.7328369541192496E-3</v>
      </c>
      <c r="T426" s="520">
        <v>420</v>
      </c>
      <c r="U426" s="520">
        <v>4.9771130065102169E-3</v>
      </c>
      <c r="AD426" s="520">
        <v>420</v>
      </c>
      <c r="AE426" s="520">
        <v>4.1892852075888871E-3</v>
      </c>
    </row>
    <row r="427" spans="10:31">
      <c r="J427" s="522">
        <v>421</v>
      </c>
      <c r="K427" s="522">
        <v>4.7654096400162769E-3</v>
      </c>
      <c r="T427" s="520">
        <v>421</v>
      </c>
      <c r="U427" s="520">
        <v>4.9804621293570838E-3</v>
      </c>
      <c r="AD427" s="520">
        <v>421</v>
      </c>
      <c r="AE427" s="520">
        <v>4.223432414282048E-3</v>
      </c>
    </row>
    <row r="428" spans="10:31">
      <c r="J428" s="522">
        <v>422</v>
      </c>
      <c r="K428" s="522">
        <v>4.7630395451587837E-3</v>
      </c>
      <c r="T428" s="520">
        <v>422</v>
      </c>
      <c r="U428" s="520">
        <v>4.9771238672191151E-3</v>
      </c>
      <c r="AD428" s="520">
        <v>422</v>
      </c>
      <c r="AE428" s="520">
        <v>4.222158777480705E-3</v>
      </c>
    </row>
    <row r="429" spans="10:31">
      <c r="J429" s="522">
        <v>423</v>
      </c>
      <c r="K429" s="522">
        <v>4.7588017136793908E-3</v>
      </c>
      <c r="T429" s="520">
        <v>423</v>
      </c>
      <c r="U429" s="520">
        <v>4.9714464260981715E-3</v>
      </c>
      <c r="AD429" s="520">
        <v>423</v>
      </c>
      <c r="AE429" s="520">
        <v>4.1986502605998021E-3</v>
      </c>
    </row>
    <row r="430" spans="10:31">
      <c r="J430" s="522">
        <v>424</v>
      </c>
      <c r="K430" s="522">
        <v>4.7449677899413885E-3</v>
      </c>
      <c r="T430" s="520">
        <v>424</v>
      </c>
      <c r="U430" s="520">
        <v>4.9913431007658398E-3</v>
      </c>
      <c r="AD430" s="520">
        <v>424</v>
      </c>
      <c r="AE430" s="520">
        <v>4.2186544699702472E-3</v>
      </c>
    </row>
    <row r="431" spans="10:31">
      <c r="J431" s="522">
        <v>425</v>
      </c>
      <c r="K431" s="522">
        <v>4.7696428719830389E-3</v>
      </c>
      <c r="T431" s="520">
        <v>425</v>
      </c>
      <c r="U431" s="520">
        <v>4.975644224298712E-3</v>
      </c>
      <c r="AD431" s="520">
        <v>425</v>
      </c>
      <c r="AE431" s="520">
        <v>4.1982251645164672E-3</v>
      </c>
    </row>
    <row r="432" spans="10:31">
      <c r="J432" s="522">
        <v>426</v>
      </c>
      <c r="K432" s="522">
        <v>4.7567628139529522E-3</v>
      </c>
      <c r="T432" s="520">
        <v>426</v>
      </c>
      <c r="U432" s="520">
        <v>4.9739565326909927E-3</v>
      </c>
      <c r="AD432" s="520">
        <v>426</v>
      </c>
      <c r="AE432" s="520">
        <v>4.199968915370016E-3</v>
      </c>
    </row>
    <row r="433" spans="10:31">
      <c r="J433" s="522">
        <v>427</v>
      </c>
      <c r="K433" s="522">
        <v>4.7825368411476337E-3</v>
      </c>
      <c r="T433" s="520">
        <v>427</v>
      </c>
      <c r="U433" s="520">
        <v>4.9807835351815127E-3</v>
      </c>
      <c r="AD433" s="520">
        <v>427</v>
      </c>
      <c r="AE433" s="520">
        <v>4.2079063762845191E-3</v>
      </c>
    </row>
    <row r="434" spans="10:31">
      <c r="J434" s="522">
        <v>428</v>
      </c>
      <c r="K434" s="522">
        <v>4.7558334096147849E-3</v>
      </c>
      <c r="T434" s="520">
        <v>428</v>
      </c>
      <c r="U434" s="520">
        <v>4.9749948242973092E-3</v>
      </c>
      <c r="AD434" s="520">
        <v>428</v>
      </c>
      <c r="AE434" s="520">
        <v>4.2079161903336749E-3</v>
      </c>
    </row>
    <row r="435" spans="10:31">
      <c r="J435" s="522">
        <v>429</v>
      </c>
      <c r="K435" s="522">
        <v>4.7372471949501584E-3</v>
      </c>
      <c r="T435" s="520">
        <v>429</v>
      </c>
      <c r="U435" s="520">
        <v>4.9841845668974899E-3</v>
      </c>
      <c r="AD435" s="520">
        <v>429</v>
      </c>
      <c r="AE435" s="520">
        <v>4.2103744404312082E-3</v>
      </c>
    </row>
    <row r="436" spans="10:31">
      <c r="J436" s="522">
        <v>430</v>
      </c>
      <c r="K436" s="522">
        <v>4.7441899723737963E-3</v>
      </c>
      <c r="T436" s="520">
        <v>430</v>
      </c>
      <c r="U436" s="520">
        <v>4.9735132222426884E-3</v>
      </c>
      <c r="AD436" s="520">
        <v>430</v>
      </c>
      <c r="AE436" s="520">
        <v>4.2199718927112984E-3</v>
      </c>
    </row>
    <row r="437" spans="10:31">
      <c r="J437" s="522">
        <v>431</v>
      </c>
      <c r="K437" s="522">
        <v>4.7609370527829792E-3</v>
      </c>
      <c r="T437" s="520">
        <v>431</v>
      </c>
      <c r="U437" s="520">
        <v>4.9742556203450899E-3</v>
      </c>
      <c r="AD437" s="520">
        <v>431</v>
      </c>
      <c r="AE437" s="520">
        <v>4.2205550386072606E-3</v>
      </c>
    </row>
    <row r="438" spans="10:31">
      <c r="J438" s="522">
        <v>432</v>
      </c>
      <c r="K438" s="522">
        <v>4.7723157968454473E-3</v>
      </c>
      <c r="T438" s="520">
        <v>432</v>
      </c>
      <c r="U438" s="520">
        <v>4.9590123948510855E-3</v>
      </c>
      <c r="AD438" s="520">
        <v>432</v>
      </c>
      <c r="AE438" s="520">
        <v>4.2148835746068153E-3</v>
      </c>
    </row>
    <row r="439" spans="10:31">
      <c r="J439" s="522">
        <v>433</v>
      </c>
      <c r="K439" s="522">
        <v>4.7694326201753109E-3</v>
      </c>
      <c r="T439" s="520">
        <v>433</v>
      </c>
      <c r="U439" s="520">
        <v>4.9794305671019765E-3</v>
      </c>
      <c r="AD439" s="520">
        <v>433</v>
      </c>
      <c r="AE439" s="520">
        <v>4.2037479482886098E-3</v>
      </c>
    </row>
    <row r="440" spans="10:31">
      <c r="J440" s="522">
        <v>434</v>
      </c>
      <c r="K440" s="522">
        <v>4.7558988642859065E-3</v>
      </c>
      <c r="T440" s="520">
        <v>434</v>
      </c>
      <c r="U440" s="520">
        <v>4.9648873015631003E-3</v>
      </c>
      <c r="AD440" s="520">
        <v>434</v>
      </c>
      <c r="AE440" s="520">
        <v>4.2059586207060257E-3</v>
      </c>
    </row>
    <row r="441" spans="10:31">
      <c r="J441" s="522">
        <v>435</v>
      </c>
      <c r="K441" s="522">
        <v>4.762377476071087E-3</v>
      </c>
      <c r="T441" s="520">
        <v>435</v>
      </c>
      <c r="U441" s="520">
        <v>4.9823896172345684E-3</v>
      </c>
      <c r="AD441" s="520">
        <v>435</v>
      </c>
      <c r="AE441" s="520">
        <v>4.220676051096643E-3</v>
      </c>
    </row>
    <row r="442" spans="10:31">
      <c r="J442" s="522">
        <v>436</v>
      </c>
      <c r="K442" s="522">
        <v>4.7618974210611766E-3</v>
      </c>
      <c r="T442" s="520">
        <v>436</v>
      </c>
      <c r="U442" s="520">
        <v>4.9747119169341256E-3</v>
      </c>
      <c r="AD442" s="520">
        <v>436</v>
      </c>
      <c r="AE442" s="520">
        <v>4.2212590811070748E-3</v>
      </c>
    </row>
    <row r="443" spans="10:31">
      <c r="J443" s="522">
        <v>437</v>
      </c>
      <c r="K443" s="522">
        <v>4.7706357342860656E-3</v>
      </c>
      <c r="T443" s="520">
        <v>437</v>
      </c>
      <c r="U443" s="520">
        <v>4.9665443516785125E-3</v>
      </c>
      <c r="AD443" s="520">
        <v>437</v>
      </c>
      <c r="AE443" s="520">
        <v>4.2335216345296888E-3</v>
      </c>
    </row>
    <row r="444" spans="10:31">
      <c r="J444" s="522">
        <v>438</v>
      </c>
      <c r="K444" s="522">
        <v>4.7801915637725283E-3</v>
      </c>
      <c r="T444" s="520">
        <v>438</v>
      </c>
      <c r="U444" s="520">
        <v>4.9863723529217467E-3</v>
      </c>
      <c r="AD444" s="520">
        <v>438</v>
      </c>
      <c r="AE444" s="520">
        <v>4.2126097113284458E-3</v>
      </c>
    </row>
    <row r="445" spans="10:31">
      <c r="J445" s="522">
        <v>439</v>
      </c>
      <c r="K445" s="522">
        <v>4.7485022454536868E-3</v>
      </c>
      <c r="T445" s="520">
        <v>439</v>
      </c>
      <c r="U445" s="520">
        <v>4.9520613729640509E-3</v>
      </c>
      <c r="AD445" s="520">
        <v>439</v>
      </c>
      <c r="AE445" s="520">
        <v>4.1922736229371045E-3</v>
      </c>
    </row>
    <row r="446" spans="10:31">
      <c r="J446" s="522">
        <v>440</v>
      </c>
      <c r="K446" s="522">
        <v>4.7557238115961331E-3</v>
      </c>
      <c r="T446" s="520">
        <v>440</v>
      </c>
      <c r="U446" s="520">
        <v>4.9785737582931488E-3</v>
      </c>
      <c r="AD446" s="520">
        <v>440</v>
      </c>
      <c r="AE446" s="520">
        <v>4.2113726066266002E-3</v>
      </c>
    </row>
    <row r="447" spans="10:31">
      <c r="J447" s="522">
        <v>441</v>
      </c>
      <c r="K447" s="522">
        <v>4.7500641030009498E-3</v>
      </c>
      <c r="T447" s="520">
        <v>441</v>
      </c>
      <c r="U447" s="520">
        <v>4.9718317894665602E-3</v>
      </c>
      <c r="AD447" s="520">
        <v>441</v>
      </c>
      <c r="AE447" s="520">
        <v>4.2054987122207644E-3</v>
      </c>
    </row>
    <row r="448" spans="10:31">
      <c r="J448" s="522">
        <v>442</v>
      </c>
      <c r="K448" s="522">
        <v>4.7576248497481601E-3</v>
      </c>
      <c r="T448" s="520">
        <v>442</v>
      </c>
      <c r="U448" s="520">
        <v>4.9803472399811586E-3</v>
      </c>
      <c r="AD448" s="520">
        <v>442</v>
      </c>
      <c r="AE448" s="520">
        <v>4.203829448996204E-3</v>
      </c>
    </row>
    <row r="449" spans="10:31">
      <c r="J449" s="522">
        <v>443</v>
      </c>
      <c r="K449" s="522">
        <v>4.7695783801007616E-3</v>
      </c>
      <c r="T449" s="520">
        <v>443</v>
      </c>
      <c r="U449" s="520">
        <v>4.9759257787884799E-3</v>
      </c>
      <c r="AD449" s="520">
        <v>443</v>
      </c>
      <c r="AE449" s="520">
        <v>4.2288082569551036E-3</v>
      </c>
    </row>
    <row r="450" spans="10:31">
      <c r="J450" s="522">
        <v>444</v>
      </c>
      <c r="K450" s="522">
        <v>4.7431042424680471E-3</v>
      </c>
      <c r="T450" s="520">
        <v>444</v>
      </c>
      <c r="U450" s="520">
        <v>4.9730126337523351E-3</v>
      </c>
      <c r="AD450" s="520">
        <v>444</v>
      </c>
      <c r="AE450" s="520">
        <v>4.2162888125984463E-3</v>
      </c>
    </row>
    <row r="451" spans="10:31">
      <c r="J451" s="522">
        <v>445</v>
      </c>
      <c r="K451" s="522">
        <v>4.7542739435130869E-3</v>
      </c>
      <c r="T451" s="520">
        <v>445</v>
      </c>
      <c r="U451" s="520">
        <v>4.9675359859488047E-3</v>
      </c>
      <c r="AD451" s="520">
        <v>445</v>
      </c>
      <c r="AE451" s="520">
        <v>4.2150738314799107E-3</v>
      </c>
    </row>
    <row r="452" spans="10:31">
      <c r="J452" s="522">
        <v>446</v>
      </c>
      <c r="K452" s="522">
        <v>4.7491038757927493E-3</v>
      </c>
      <c r="T452" s="520">
        <v>446</v>
      </c>
      <c r="U452" s="520">
        <v>4.9899697436213758E-3</v>
      </c>
      <c r="AD452" s="520">
        <v>446</v>
      </c>
      <c r="AE452" s="520">
        <v>4.2234845132785668E-3</v>
      </c>
    </row>
    <row r="453" spans="10:31">
      <c r="J453" s="522">
        <v>447</v>
      </c>
      <c r="K453" s="522">
        <v>4.7478334106270297E-3</v>
      </c>
      <c r="T453" s="520">
        <v>447</v>
      </c>
      <c r="U453" s="520">
        <v>4.9743422908487831E-3</v>
      </c>
      <c r="AD453" s="520">
        <v>447</v>
      </c>
      <c r="AE453" s="520">
        <v>4.2075138023198533E-3</v>
      </c>
    </row>
    <row r="454" spans="10:31">
      <c r="J454" s="522">
        <v>448</v>
      </c>
      <c r="K454" s="522">
        <v>4.7421635825649891E-3</v>
      </c>
      <c r="T454" s="520">
        <v>448</v>
      </c>
      <c r="U454" s="520">
        <v>4.9835439677238256E-3</v>
      </c>
      <c r="AD454" s="520">
        <v>448</v>
      </c>
      <c r="AE454" s="520">
        <v>4.223145921817769E-3</v>
      </c>
    </row>
    <row r="455" spans="10:31">
      <c r="J455" s="522">
        <v>449</v>
      </c>
      <c r="K455" s="522">
        <v>4.764306172411881E-3</v>
      </c>
      <c r="T455" s="520">
        <v>449</v>
      </c>
      <c r="U455" s="520">
        <v>4.9686423699067178E-3</v>
      </c>
      <c r="AD455" s="520">
        <v>449</v>
      </c>
      <c r="AE455" s="520">
        <v>4.2113372564210605E-3</v>
      </c>
    </row>
    <row r="456" spans="10:31">
      <c r="J456" s="522">
        <v>450</v>
      </c>
      <c r="K456" s="522">
        <v>4.7483365528808797E-3</v>
      </c>
      <c r="T456" s="520">
        <v>450</v>
      </c>
      <c r="U456" s="520">
        <v>4.9776802431780436E-3</v>
      </c>
      <c r="AD456" s="520">
        <v>450</v>
      </c>
      <c r="AE456" s="520">
        <v>4.2082104015181898E-3</v>
      </c>
    </row>
    <row r="457" spans="10:31">
      <c r="J457" s="522">
        <v>451</v>
      </c>
      <c r="K457" s="522">
        <v>4.7506037454364746E-3</v>
      </c>
      <c r="T457" s="520">
        <v>451</v>
      </c>
      <c r="U457" s="520">
        <v>4.9982709243336365E-3</v>
      </c>
      <c r="AD457" s="520">
        <v>451</v>
      </c>
      <c r="AE457" s="520">
        <v>4.2202344414837955E-3</v>
      </c>
    </row>
    <row r="458" spans="10:31">
      <c r="J458" s="522">
        <v>452</v>
      </c>
      <c r="K458" s="522">
        <v>4.7627704529114214E-3</v>
      </c>
      <c r="T458" s="520">
        <v>452</v>
      </c>
      <c r="U458" s="520">
        <v>4.9827128300372822E-3</v>
      </c>
      <c r="AD458" s="520">
        <v>452</v>
      </c>
      <c r="AE458" s="520">
        <v>4.1976914805942345E-3</v>
      </c>
    </row>
    <row r="459" spans="10:31">
      <c r="J459" s="522">
        <v>453</v>
      </c>
      <c r="K459" s="522">
        <v>4.7722570071300485E-3</v>
      </c>
      <c r="T459" s="520">
        <v>453</v>
      </c>
      <c r="U459" s="520">
        <v>4.9761025563274186E-3</v>
      </c>
      <c r="AD459" s="520">
        <v>453</v>
      </c>
      <c r="AE459" s="520">
        <v>4.2211316279248488E-3</v>
      </c>
    </row>
    <row r="460" spans="10:31">
      <c r="J460" s="522">
        <v>454</v>
      </c>
      <c r="K460" s="522">
        <v>4.7712817629228131E-3</v>
      </c>
      <c r="T460" s="520">
        <v>454</v>
      </c>
      <c r="U460" s="520">
        <v>4.9773709602653413E-3</v>
      </c>
      <c r="AD460" s="520">
        <v>454</v>
      </c>
      <c r="AE460" s="520">
        <v>4.2047967236011705E-3</v>
      </c>
    </row>
    <row r="461" spans="10:31">
      <c r="J461" s="522">
        <v>455</v>
      </c>
      <c r="K461" s="522">
        <v>4.7278759999125385E-3</v>
      </c>
      <c r="T461" s="520">
        <v>455</v>
      </c>
      <c r="U461" s="520">
        <v>4.964767904170231E-3</v>
      </c>
      <c r="AD461" s="520">
        <v>455</v>
      </c>
      <c r="AE461" s="520">
        <v>4.1992961277988348E-3</v>
      </c>
    </row>
    <row r="462" spans="10:31">
      <c r="J462" s="522">
        <v>456</v>
      </c>
      <c r="K462" s="522">
        <v>4.7593603556665073E-3</v>
      </c>
      <c r="T462" s="520">
        <v>456</v>
      </c>
      <c r="U462" s="520">
        <v>4.9657053569666064E-3</v>
      </c>
      <c r="AD462" s="520">
        <v>456</v>
      </c>
      <c r="AE462" s="520">
        <v>4.2064823790976787E-3</v>
      </c>
    </row>
    <row r="463" spans="10:31">
      <c r="J463" s="522">
        <v>457</v>
      </c>
      <c r="K463" s="522">
        <v>4.7576862361624521E-3</v>
      </c>
      <c r="T463" s="520">
        <v>457</v>
      </c>
      <c r="U463" s="520">
        <v>4.9827524249083585E-3</v>
      </c>
      <c r="AD463" s="520">
        <v>457</v>
      </c>
      <c r="AE463" s="520">
        <v>4.226412120764301E-3</v>
      </c>
    </row>
    <row r="464" spans="10:31">
      <c r="J464" s="522">
        <v>458</v>
      </c>
      <c r="K464" s="522">
        <v>4.759642605065101E-3</v>
      </c>
      <c r="T464" s="520">
        <v>458</v>
      </c>
      <c r="U464" s="520">
        <v>4.9690969485262568E-3</v>
      </c>
      <c r="AD464" s="520">
        <v>458</v>
      </c>
      <c r="AE464" s="520">
        <v>4.20512507062221E-3</v>
      </c>
    </row>
    <row r="465" spans="10:31">
      <c r="J465" s="522">
        <v>459</v>
      </c>
      <c r="K465" s="522">
        <v>4.7578567531124374E-3</v>
      </c>
      <c r="T465" s="520">
        <v>459</v>
      </c>
      <c r="U465" s="520">
        <v>4.9683619116833036E-3</v>
      </c>
      <c r="AD465" s="520">
        <v>459</v>
      </c>
      <c r="AE465" s="520">
        <v>4.2168750355437495E-3</v>
      </c>
    </row>
    <row r="466" spans="10:31">
      <c r="J466" s="522">
        <v>460</v>
      </c>
      <c r="K466" s="522">
        <v>4.7505235680280417E-3</v>
      </c>
      <c r="T466" s="520">
        <v>460</v>
      </c>
      <c r="U466" s="520">
        <v>4.9594481989927129E-3</v>
      </c>
      <c r="AD466" s="520">
        <v>460</v>
      </c>
      <c r="AE466" s="520">
        <v>4.2046091857556806E-3</v>
      </c>
    </row>
    <row r="467" spans="10:31">
      <c r="J467" s="522">
        <v>461</v>
      </c>
      <c r="K467" s="522">
        <v>4.7378847769910604E-3</v>
      </c>
      <c r="T467" s="520">
        <v>461</v>
      </c>
      <c r="U467" s="520">
        <v>4.9727069782022158E-3</v>
      </c>
      <c r="AD467" s="520">
        <v>461</v>
      </c>
      <c r="AE467" s="520">
        <v>4.2208196822552512E-3</v>
      </c>
    </row>
    <row r="468" spans="10:31">
      <c r="J468" s="522">
        <v>462</v>
      </c>
      <c r="K468" s="522">
        <v>4.784255097397252E-3</v>
      </c>
      <c r="T468" s="520">
        <v>462</v>
      </c>
      <c r="U468" s="520">
        <v>4.9868187691190649E-3</v>
      </c>
      <c r="AD468" s="520">
        <v>462</v>
      </c>
      <c r="AE468" s="520">
        <v>4.1901863033041477E-3</v>
      </c>
    </row>
    <row r="469" spans="10:31">
      <c r="J469" s="522">
        <v>463</v>
      </c>
      <c r="K469" s="522">
        <v>4.7663790512898693E-3</v>
      </c>
      <c r="T469" s="520">
        <v>463</v>
      </c>
      <c r="U469" s="520">
        <v>4.9834768116452143E-3</v>
      </c>
      <c r="AD469" s="520">
        <v>463</v>
      </c>
      <c r="AE469" s="520">
        <v>4.2228970616297965E-3</v>
      </c>
    </row>
    <row r="470" spans="10:31">
      <c r="J470" s="522">
        <v>464</v>
      </c>
      <c r="K470" s="522">
        <v>4.7529723593338182E-3</v>
      </c>
      <c r="T470" s="520">
        <v>464</v>
      </c>
      <c r="U470" s="520">
        <v>4.9875261327147142E-3</v>
      </c>
      <c r="AD470" s="520">
        <v>464</v>
      </c>
      <c r="AE470" s="520">
        <v>4.2129477669508152E-3</v>
      </c>
    </row>
    <row r="471" spans="10:31">
      <c r="J471" s="522">
        <v>465</v>
      </c>
      <c r="K471" s="522">
        <v>4.7753792818869484E-3</v>
      </c>
      <c r="T471" s="520">
        <v>465</v>
      </c>
      <c r="U471" s="520">
        <v>4.96790417170998E-3</v>
      </c>
      <c r="AD471" s="520">
        <v>465</v>
      </c>
      <c r="AE471" s="520">
        <v>4.1989726734277619E-3</v>
      </c>
    </row>
    <row r="472" spans="10:31">
      <c r="J472" s="522">
        <v>466</v>
      </c>
      <c r="K472" s="522">
        <v>4.7418059186344844E-3</v>
      </c>
      <c r="T472" s="520">
        <v>466</v>
      </c>
      <c r="U472" s="520">
        <v>4.9688287072304537E-3</v>
      </c>
      <c r="AD472" s="520">
        <v>466</v>
      </c>
      <c r="AE472" s="520">
        <v>4.2100213383847538E-3</v>
      </c>
    </row>
    <row r="473" spans="10:31">
      <c r="J473" s="522">
        <v>467</v>
      </c>
      <c r="K473" s="522">
        <v>4.7424366968335891E-3</v>
      </c>
      <c r="T473" s="520">
        <v>467</v>
      </c>
      <c r="U473" s="520">
        <v>4.9624314934627696E-3</v>
      </c>
      <c r="AD473" s="520">
        <v>467</v>
      </c>
      <c r="AE473" s="520">
        <v>4.2387942812880273E-3</v>
      </c>
    </row>
    <row r="474" spans="10:31">
      <c r="J474" s="522">
        <v>468</v>
      </c>
      <c r="K474" s="522">
        <v>4.7664994472412445E-3</v>
      </c>
      <c r="T474" s="520">
        <v>468</v>
      </c>
      <c r="U474" s="520">
        <v>4.9713573469555745E-3</v>
      </c>
      <c r="AD474" s="520">
        <v>468</v>
      </c>
      <c r="AE474" s="520">
        <v>4.217863021352488E-3</v>
      </c>
    </row>
    <row r="475" spans="10:31">
      <c r="J475" s="522">
        <v>469</v>
      </c>
      <c r="K475" s="522">
        <v>4.7701881009834116E-3</v>
      </c>
      <c r="T475" s="520">
        <v>469</v>
      </c>
      <c r="U475" s="520">
        <v>4.9813108892646403E-3</v>
      </c>
      <c r="AD475" s="520">
        <v>469</v>
      </c>
      <c r="AE475" s="520">
        <v>4.2061794164922825E-3</v>
      </c>
    </row>
    <row r="476" spans="10:31">
      <c r="J476" s="522">
        <v>470</v>
      </c>
      <c r="K476" s="522">
        <v>4.7571333603894173E-3</v>
      </c>
      <c r="T476" s="520">
        <v>470</v>
      </c>
      <c r="U476" s="520">
        <v>4.9692045635566506E-3</v>
      </c>
      <c r="AD476" s="520">
        <v>470</v>
      </c>
      <c r="AE476" s="520">
        <v>4.2156218463281058E-3</v>
      </c>
    </row>
    <row r="477" spans="10:31">
      <c r="J477" s="522">
        <v>471</v>
      </c>
      <c r="K477" s="522">
        <v>4.763647750970804E-3</v>
      </c>
      <c r="T477" s="520">
        <v>471</v>
      </c>
      <c r="U477" s="520">
        <v>4.9784546991662485E-3</v>
      </c>
      <c r="AD477" s="520">
        <v>471</v>
      </c>
      <c r="AE477" s="520">
        <v>4.2144757473542979E-3</v>
      </c>
    </row>
    <row r="478" spans="10:31">
      <c r="J478" s="522">
        <v>472</v>
      </c>
      <c r="K478" s="522">
        <v>4.7571290085131604E-3</v>
      </c>
      <c r="T478" s="520">
        <v>472</v>
      </c>
      <c r="U478" s="520">
        <v>4.9653948842153179E-3</v>
      </c>
      <c r="AD478" s="520">
        <v>472</v>
      </c>
      <c r="AE478" s="520">
        <v>4.2350153915932257E-3</v>
      </c>
    </row>
    <row r="479" spans="10:31">
      <c r="J479" s="522">
        <v>473</v>
      </c>
      <c r="K479" s="522">
        <v>4.7570284470393369E-3</v>
      </c>
      <c r="T479" s="520">
        <v>473</v>
      </c>
      <c r="U479" s="520">
        <v>4.9656510157208098E-3</v>
      </c>
      <c r="AD479" s="520">
        <v>473</v>
      </c>
      <c r="AE479" s="520">
        <v>4.2147545616760696E-3</v>
      </c>
    </row>
    <row r="480" spans="10:31">
      <c r="J480" s="522">
        <v>474</v>
      </c>
      <c r="K480" s="522">
        <v>4.7439696383305098E-3</v>
      </c>
      <c r="T480" s="520">
        <v>474</v>
      </c>
      <c r="U480" s="520">
        <v>4.9919383469666694E-3</v>
      </c>
      <c r="AD480" s="520">
        <v>474</v>
      </c>
      <c r="AE480" s="520">
        <v>4.2080128201648871E-3</v>
      </c>
    </row>
    <row r="481" spans="10:31">
      <c r="J481" s="522">
        <v>475</v>
      </c>
      <c r="K481" s="522">
        <v>4.767829216889518E-3</v>
      </c>
      <c r="T481" s="520">
        <v>475</v>
      </c>
      <c r="U481" s="520">
        <v>4.9823306268895516E-3</v>
      </c>
      <c r="AD481" s="520">
        <v>475</v>
      </c>
      <c r="AE481" s="520">
        <v>4.2015734605704742E-3</v>
      </c>
    </row>
    <row r="482" spans="10:31">
      <c r="J482" s="522">
        <v>476</v>
      </c>
      <c r="K482" s="522">
        <v>4.7795333228748734E-3</v>
      </c>
      <c r="T482" s="520">
        <v>476</v>
      </c>
      <c r="U482" s="520">
        <v>4.9667310645473799E-3</v>
      </c>
      <c r="AD482" s="520">
        <v>476</v>
      </c>
      <c r="AE482" s="520">
        <v>4.2175099973290183E-3</v>
      </c>
    </row>
    <row r="483" spans="10:31">
      <c r="J483" s="522">
        <v>477</v>
      </c>
      <c r="K483" s="522">
        <v>4.7448432733824802E-3</v>
      </c>
      <c r="T483" s="520">
        <v>477</v>
      </c>
      <c r="U483" s="520">
        <v>4.9683205651654501E-3</v>
      </c>
      <c r="AD483" s="520">
        <v>477</v>
      </c>
      <c r="AE483" s="520">
        <v>4.2022807881109108E-3</v>
      </c>
    </row>
    <row r="484" spans="10:31">
      <c r="J484" s="522">
        <v>478</v>
      </c>
      <c r="K484" s="522">
        <v>4.7432641847310582E-3</v>
      </c>
      <c r="T484" s="520">
        <v>478</v>
      </c>
      <c r="U484" s="520">
        <v>4.9680419185968491E-3</v>
      </c>
      <c r="AD484" s="520">
        <v>478</v>
      </c>
      <c r="AE484" s="520">
        <v>4.2032530343292405E-3</v>
      </c>
    </row>
    <row r="485" spans="10:31">
      <c r="J485" s="522">
        <v>479</v>
      </c>
      <c r="K485" s="522">
        <v>4.7566112509326713E-3</v>
      </c>
      <c r="T485" s="520">
        <v>479</v>
      </c>
      <c r="U485" s="520">
        <v>4.9712647699585444E-3</v>
      </c>
      <c r="AD485" s="520">
        <v>479</v>
      </c>
      <c r="AE485" s="520">
        <v>4.2088142189763821E-3</v>
      </c>
    </row>
    <row r="486" spans="10:31">
      <c r="J486" s="522">
        <v>480</v>
      </c>
      <c r="K486" s="522">
        <v>4.7352738472212184E-3</v>
      </c>
      <c r="T486" s="520">
        <v>480</v>
      </c>
      <c r="U486" s="520">
        <v>4.9606003433494339E-3</v>
      </c>
      <c r="AD486" s="520">
        <v>480</v>
      </c>
      <c r="AE486" s="520">
        <v>4.2153770850597086E-3</v>
      </c>
    </row>
    <row r="487" spans="10:31">
      <c r="J487" s="522">
        <v>481</v>
      </c>
      <c r="K487" s="522">
        <v>4.7511973054222964E-3</v>
      </c>
      <c r="T487" s="520">
        <v>481</v>
      </c>
      <c r="U487" s="520">
        <v>4.9713696903636488E-3</v>
      </c>
      <c r="AD487" s="520">
        <v>481</v>
      </c>
      <c r="AE487" s="520">
        <v>4.1985818573047652E-3</v>
      </c>
    </row>
    <row r="488" spans="10:31">
      <c r="J488" s="522">
        <v>482</v>
      </c>
      <c r="K488" s="522">
        <v>4.7563485619326468E-3</v>
      </c>
      <c r="T488" s="520">
        <v>482</v>
      </c>
      <c r="U488" s="520">
        <v>4.9786172474640088E-3</v>
      </c>
      <c r="AD488" s="520">
        <v>482</v>
      </c>
      <c r="AE488" s="520">
        <v>4.2220677242959595E-3</v>
      </c>
    </row>
    <row r="489" spans="10:31">
      <c r="J489" s="522">
        <v>483</v>
      </c>
      <c r="K489" s="522">
        <v>4.742898071845289E-3</v>
      </c>
      <c r="T489" s="520">
        <v>483</v>
      </c>
      <c r="U489" s="520">
        <v>4.9632173778605742E-3</v>
      </c>
      <c r="AD489" s="520">
        <v>483</v>
      </c>
      <c r="AE489" s="520">
        <v>4.2147839536206388E-3</v>
      </c>
    </row>
    <row r="490" spans="10:31">
      <c r="J490" s="522">
        <v>484</v>
      </c>
      <c r="K490" s="522">
        <v>4.7630099626302996E-3</v>
      </c>
      <c r="T490" s="520">
        <v>484</v>
      </c>
      <c r="U490" s="520">
        <v>4.9785873364237314E-3</v>
      </c>
      <c r="AD490" s="520">
        <v>484</v>
      </c>
      <c r="AE490" s="520">
        <v>4.2216441755950672E-3</v>
      </c>
    </row>
    <row r="491" spans="10:31">
      <c r="J491" s="522">
        <v>485</v>
      </c>
      <c r="K491" s="522">
        <v>4.7488948596829386E-3</v>
      </c>
      <c r="T491" s="520">
        <v>485</v>
      </c>
      <c r="U491" s="520">
        <v>4.9745635574183367E-3</v>
      </c>
      <c r="AD491" s="520">
        <v>485</v>
      </c>
      <c r="AE491" s="520">
        <v>4.2134904725185966E-3</v>
      </c>
    </row>
    <row r="492" spans="10:31">
      <c r="J492" s="522">
        <v>486</v>
      </c>
      <c r="K492" s="522">
        <v>4.7709242473429102E-3</v>
      </c>
      <c r="T492" s="520">
        <v>486</v>
      </c>
      <c r="U492" s="520">
        <v>4.9860193383776605E-3</v>
      </c>
      <c r="AD492" s="520">
        <v>486</v>
      </c>
      <c r="AE492" s="520">
        <v>4.2217537674577067E-3</v>
      </c>
    </row>
    <row r="493" spans="10:31">
      <c r="J493" s="522">
        <v>487</v>
      </c>
      <c r="K493" s="522">
        <v>4.7650018930054574E-3</v>
      </c>
      <c r="T493" s="520">
        <v>487</v>
      </c>
      <c r="U493" s="520">
        <v>4.9828351348855313E-3</v>
      </c>
      <c r="AD493" s="520">
        <v>487</v>
      </c>
      <c r="AE493" s="520">
        <v>4.2113018295100854E-3</v>
      </c>
    </row>
    <row r="494" spans="10:31">
      <c r="J494" s="522">
        <v>488</v>
      </c>
      <c r="K494" s="522">
        <v>4.7581691083419236E-3</v>
      </c>
      <c r="T494" s="520">
        <v>488</v>
      </c>
      <c r="U494" s="520">
        <v>4.95731299653059E-3</v>
      </c>
      <c r="AD494" s="520">
        <v>488</v>
      </c>
      <c r="AE494" s="520">
        <v>4.2182688959117101E-3</v>
      </c>
    </row>
    <row r="495" spans="10:31">
      <c r="J495" s="522">
        <v>489</v>
      </c>
      <c r="K495" s="522">
        <v>4.7584735396687871E-3</v>
      </c>
      <c r="T495" s="520">
        <v>489</v>
      </c>
      <c r="U495" s="520">
        <v>4.9823408481350648E-3</v>
      </c>
      <c r="AD495" s="520">
        <v>489</v>
      </c>
      <c r="AE495" s="520">
        <v>4.1917357805879834E-3</v>
      </c>
    </row>
    <row r="496" spans="10:31">
      <c r="J496" s="522">
        <v>490</v>
      </c>
      <c r="K496" s="522">
        <v>4.7369212242603384E-3</v>
      </c>
      <c r="T496" s="520">
        <v>490</v>
      </c>
      <c r="U496" s="520">
        <v>4.9890584606233678E-3</v>
      </c>
      <c r="AD496" s="520">
        <v>490</v>
      </c>
      <c r="AE496" s="520">
        <v>4.2009912231119641E-3</v>
      </c>
    </row>
    <row r="497" spans="10:31">
      <c r="J497" s="522">
        <v>491</v>
      </c>
      <c r="K497" s="522">
        <v>4.745828212335876E-3</v>
      </c>
      <c r="T497" s="520">
        <v>491</v>
      </c>
      <c r="U497" s="520">
        <v>4.9732573057605445E-3</v>
      </c>
      <c r="AD497" s="520">
        <v>491</v>
      </c>
      <c r="AE497" s="520">
        <v>4.2080170538112459E-3</v>
      </c>
    </row>
    <row r="498" spans="10:31">
      <c r="J498" s="522">
        <v>492</v>
      </c>
      <c r="K498" s="522">
        <v>4.7664764154473566E-3</v>
      </c>
      <c r="T498" s="520">
        <v>492</v>
      </c>
      <c r="U498" s="520">
        <v>4.9779696688936727E-3</v>
      </c>
      <c r="AD498" s="520">
        <v>492</v>
      </c>
      <c r="AE498" s="520">
        <v>4.2032539210860326E-3</v>
      </c>
    </row>
    <row r="499" spans="10:31">
      <c r="J499" s="522">
        <v>493</v>
      </c>
      <c r="K499" s="522">
        <v>4.7596395666735557E-3</v>
      </c>
      <c r="T499" s="520">
        <v>493</v>
      </c>
      <c r="U499" s="520">
        <v>4.9620828176340304E-3</v>
      </c>
      <c r="AD499" s="520">
        <v>493</v>
      </c>
      <c r="AE499" s="520">
        <v>4.2246172168884846E-3</v>
      </c>
    </row>
    <row r="500" spans="10:31">
      <c r="J500" s="522">
        <v>494</v>
      </c>
      <c r="K500" s="522">
        <v>4.7659969735055997E-3</v>
      </c>
      <c r="T500" s="520">
        <v>494</v>
      </c>
      <c r="U500" s="520">
        <v>4.9636716515948764E-3</v>
      </c>
      <c r="AD500" s="520">
        <v>494</v>
      </c>
      <c r="AE500" s="520">
        <v>4.224923821442861E-3</v>
      </c>
    </row>
    <row r="501" spans="10:31">
      <c r="J501" s="522">
        <v>495</v>
      </c>
      <c r="K501" s="522">
        <v>4.7557463414530663E-3</v>
      </c>
      <c r="T501" s="520">
        <v>495</v>
      </c>
      <c r="U501" s="520">
        <v>4.9712743465870875E-3</v>
      </c>
      <c r="AD501" s="520">
        <v>495</v>
      </c>
      <c r="AE501" s="520">
        <v>4.2216247613892323E-3</v>
      </c>
    </row>
    <row r="502" spans="10:31">
      <c r="J502" s="522">
        <v>496</v>
      </c>
      <c r="K502" s="522">
        <v>4.7602204887385521E-3</v>
      </c>
      <c r="T502" s="520">
        <v>496</v>
      </c>
      <c r="U502" s="520">
        <v>4.9769371546596903E-3</v>
      </c>
      <c r="AD502" s="520">
        <v>496</v>
      </c>
      <c r="AE502" s="520">
        <v>4.2041322928200765E-3</v>
      </c>
    </row>
    <row r="503" spans="10:31">
      <c r="J503" s="522">
        <v>497</v>
      </c>
      <c r="K503" s="522">
        <v>4.7531802429681786E-3</v>
      </c>
      <c r="T503" s="520">
        <v>497</v>
      </c>
      <c r="U503" s="520">
        <v>4.9875654616763996E-3</v>
      </c>
      <c r="AD503" s="520">
        <v>497</v>
      </c>
      <c r="AE503" s="520">
        <v>4.2016475371238864E-3</v>
      </c>
    </row>
    <row r="504" spans="10:31">
      <c r="J504" s="522">
        <v>498</v>
      </c>
      <c r="K504" s="522">
        <v>4.780296400825528E-3</v>
      </c>
      <c r="T504" s="520">
        <v>498</v>
      </c>
      <c r="U504" s="520">
        <v>4.9776591287556387E-3</v>
      </c>
      <c r="AD504" s="520">
        <v>498</v>
      </c>
      <c r="AE504" s="520">
        <v>4.2157612304167535E-3</v>
      </c>
    </row>
    <row r="505" spans="10:31">
      <c r="J505" s="522">
        <v>499</v>
      </c>
      <c r="K505" s="522">
        <v>4.7677610185508914E-3</v>
      </c>
      <c r="T505" s="520">
        <v>499</v>
      </c>
      <c r="U505" s="520">
        <v>4.9635054068555102E-3</v>
      </c>
      <c r="AD505" s="520">
        <v>499</v>
      </c>
      <c r="AE505" s="520">
        <v>4.2152881598181485E-3</v>
      </c>
    </row>
    <row r="506" spans="10:31">
      <c r="J506" s="522">
        <v>500</v>
      </c>
      <c r="K506" s="522">
        <v>4.7510028079680933E-3</v>
      </c>
      <c r="T506" s="520">
        <v>500</v>
      </c>
      <c r="U506" s="520">
        <v>4.9701305853371196E-3</v>
      </c>
      <c r="AD506" s="520">
        <v>500</v>
      </c>
      <c r="AE506" s="520">
        <v>4.2232888633087044E-3</v>
      </c>
    </row>
  </sheetData>
  <pageMargins left="0.7" right="0.7" top="0.75" bottom="0.75" header="0.3" footer="0.3"/>
  <pageSetup orientation="portrait" verticalDpi="0" r:id="rId1"/>
  <drawing r:id="rId2"/>
  <legacyDrawing r:id="rId3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autoPageBreaks="0"/>
  </sheetPr>
  <dimension ref="B1:OR117"/>
  <sheetViews>
    <sheetView tabSelected="1" topLeftCell="B3" zoomScale="70" zoomScaleNormal="70" zoomScalePageLayoutView="70" workbookViewId="0">
      <pane xSplit="1" ySplit="4" topLeftCell="C7" activePane="bottomRight" state="frozenSplit"/>
      <selection activeCell="B3" sqref="B3"/>
      <selection pane="topRight" activeCell="H3" sqref="H3"/>
      <selection pane="bottomLeft" activeCell="B18" sqref="B18"/>
      <selection pane="bottomRight" activeCell="B15" sqref="B15"/>
    </sheetView>
  </sheetViews>
  <sheetFormatPr defaultColWidth="17.6640625" defaultRowHeight="18"/>
  <cols>
    <col min="1" max="1" width="17.6640625" style="1"/>
    <col min="2" max="2" width="32.44140625" style="245" customWidth="1"/>
    <col min="3" max="3" width="30.88671875" style="5" customWidth="1"/>
    <col min="4" max="4" width="27.44140625" style="5" customWidth="1"/>
    <col min="5" max="5" width="20.6640625" style="67" customWidth="1"/>
    <col min="6" max="6" width="20.6640625" style="5" customWidth="1"/>
    <col min="7" max="7" width="17.6640625" style="5"/>
    <col min="8" max="8" width="17.88671875" style="5" bestFit="1" customWidth="1"/>
    <col min="9" max="9" width="17.6640625" style="5"/>
    <col min="10" max="10" width="17.88671875" style="67" bestFit="1" customWidth="1"/>
    <col min="11" max="11" width="42.44140625" style="67" bestFit="1" customWidth="1"/>
    <col min="12" max="13" width="17.88671875" style="5" bestFit="1" customWidth="1"/>
    <col min="14" max="14" width="19.6640625" style="5" customWidth="1"/>
    <col min="15" max="15" width="19.5546875" style="6" bestFit="1" customWidth="1"/>
    <col min="16" max="16" width="18" style="6" bestFit="1" customWidth="1"/>
    <col min="17" max="20" width="18" style="5" bestFit="1" customWidth="1"/>
    <col min="21" max="21" width="18" style="6" bestFit="1" customWidth="1"/>
    <col min="22" max="24" width="18" style="5" bestFit="1" customWidth="1"/>
    <col min="25" max="34" width="17.88671875" style="5" bestFit="1" customWidth="1"/>
    <col min="35" max="44" width="17.88671875" style="134" bestFit="1" customWidth="1"/>
    <col min="45" max="46" width="17.88671875" style="5" bestFit="1" customWidth="1"/>
    <col min="47" max="54" width="17.88671875" style="134" bestFit="1" customWidth="1"/>
    <col min="55" max="60" width="17.6640625" style="5"/>
    <col min="61" max="62" width="17.6640625" style="3"/>
    <col min="63" max="64" width="17.88671875" style="133" bestFit="1" customWidth="1"/>
    <col min="65" max="74" width="17.88671875" style="134" bestFit="1" customWidth="1"/>
    <col min="75" max="75" width="23.109375" style="5" customWidth="1"/>
    <col min="76" max="77" width="17.88671875" style="134" bestFit="1" customWidth="1"/>
    <col min="78" max="78" width="17.88671875" style="143" bestFit="1" customWidth="1"/>
    <col min="79" max="79" width="17.88671875" style="147" bestFit="1" customWidth="1"/>
    <col min="80" max="81" width="17.88671875" style="143" bestFit="1" customWidth="1"/>
    <col min="82" max="83" width="17.88671875" style="5" bestFit="1" customWidth="1"/>
    <col min="84" max="97" width="17.88671875" style="134" bestFit="1" customWidth="1"/>
    <col min="98" max="99" width="11.44140625" style="5" bestFit="1" customWidth="1"/>
    <col min="100" max="100" width="13.44140625" style="5" bestFit="1" customWidth="1"/>
    <col min="101" max="103" width="17.88671875" style="5" bestFit="1" customWidth="1"/>
    <col min="104" max="104" width="11.33203125" style="5" bestFit="1" customWidth="1"/>
    <col min="105" max="105" width="11.109375" style="5" bestFit="1" customWidth="1"/>
    <col min="106" max="106" width="11.33203125" style="5" bestFit="1" customWidth="1"/>
    <col min="107" max="107" width="11.109375" style="5" bestFit="1" customWidth="1"/>
    <col min="108" max="139" width="17.88671875" style="134" bestFit="1" customWidth="1"/>
    <col min="140" max="142" width="17.88671875" style="134" customWidth="1"/>
    <col min="143" max="144" width="17.88671875" style="134" bestFit="1" customWidth="1"/>
    <col min="145" max="145" width="20.33203125" style="134" bestFit="1" customWidth="1"/>
    <col min="146" max="156" width="20.33203125" style="134" customWidth="1"/>
    <col min="157" max="162" width="17.88671875" style="66" bestFit="1" customWidth="1"/>
    <col min="163" max="164" width="17.88671875" style="5" bestFit="1" customWidth="1"/>
    <col min="165" max="170" width="17.6640625" style="66"/>
    <col min="171" max="172" width="17.6640625" style="5"/>
    <col min="173" max="188" width="17.88671875" style="159" bestFit="1" customWidth="1"/>
    <col min="189" max="192" width="17.88671875" style="5" bestFit="1" customWidth="1"/>
    <col min="193" max="208" width="17.88671875" style="134" bestFit="1" customWidth="1"/>
    <col min="209" max="209" width="11.88671875" style="5" customWidth="1"/>
    <col min="210" max="210" width="12.33203125" style="5" customWidth="1"/>
    <col min="211" max="216" width="17.88671875" style="134" bestFit="1" customWidth="1"/>
    <col min="217" max="217" width="10.109375" style="5" customWidth="1"/>
    <col min="218" max="218" width="12.109375" style="5" customWidth="1"/>
    <col min="219" max="224" width="17.88671875" style="134" bestFit="1" customWidth="1"/>
    <col min="225" max="232" width="17.88671875" style="5" bestFit="1" customWidth="1"/>
    <col min="233" max="260" width="17.88671875" style="3" bestFit="1" customWidth="1"/>
    <col min="261" max="274" width="17.88671875" style="157" bestFit="1" customWidth="1"/>
    <col min="275" max="275" width="18" style="157" bestFit="1" customWidth="1"/>
    <col min="276" max="276" width="18.109375" style="157" bestFit="1" customWidth="1"/>
    <col min="277" max="279" width="18" style="157" bestFit="1" customWidth="1"/>
    <col min="280" max="280" width="19.88671875" style="157" bestFit="1" customWidth="1"/>
    <col min="281" max="285" width="18" style="157" bestFit="1" customWidth="1"/>
    <col min="286" max="286" width="18.109375" style="157" bestFit="1" customWidth="1"/>
    <col min="287" max="290" width="17.88671875" style="5" bestFit="1" customWidth="1"/>
    <col min="291" max="293" width="17.88671875" style="134" bestFit="1" customWidth="1"/>
    <col min="294" max="294" width="19.33203125" style="134" bestFit="1" customWidth="1"/>
    <col min="295" max="296" width="17.88671875" style="5" bestFit="1" customWidth="1"/>
    <col min="297" max="298" width="17.88671875" style="134" bestFit="1" customWidth="1"/>
    <col min="299" max="300" width="17.88671875" style="161" bestFit="1" customWidth="1"/>
    <col min="301" max="302" width="17.88671875" style="5" bestFit="1" customWidth="1"/>
    <col min="303" max="306" width="17.88671875" style="134" bestFit="1" customWidth="1"/>
    <col min="307" max="307" width="15" style="134" customWidth="1"/>
    <col min="308" max="308" width="14" style="134" bestFit="1" customWidth="1"/>
    <col min="309" max="309" width="18" style="134" bestFit="1" customWidth="1"/>
    <col min="310" max="310" width="19.88671875" style="134" bestFit="1" customWidth="1"/>
    <col min="311" max="311" width="21.88671875" style="134" bestFit="1" customWidth="1"/>
    <col min="312" max="312" width="23.33203125" style="134" bestFit="1" customWidth="1"/>
    <col min="313" max="314" width="17.88671875" style="117" bestFit="1" customWidth="1"/>
    <col min="315" max="318" width="17.88671875" style="134" bestFit="1" customWidth="1"/>
    <col min="319" max="324" width="17.6640625" style="134"/>
    <col min="325" max="325" width="16.44140625" style="134" bestFit="1" customWidth="1"/>
    <col min="326" max="326" width="18" style="134" bestFit="1" customWidth="1"/>
    <col min="327" max="327" width="19.33203125" style="134" bestFit="1" customWidth="1"/>
    <col min="328" max="328" width="21.44140625" style="134" bestFit="1" customWidth="1"/>
    <col min="329" max="330" width="13.44140625" style="134" bestFit="1" customWidth="1"/>
    <col min="331" max="331" width="11.44140625" style="134" bestFit="1" customWidth="1"/>
    <col min="332" max="332" width="12.44140625" style="134" bestFit="1" customWidth="1"/>
    <col min="333" max="334" width="17.6640625" style="1"/>
    <col min="335" max="335" width="25.109375" style="215" bestFit="1" customWidth="1"/>
    <col min="336" max="336" width="25.109375" style="215" customWidth="1"/>
    <col min="337" max="337" width="14" style="215" bestFit="1" customWidth="1"/>
    <col min="338" max="338" width="13.33203125" style="215" bestFit="1" customWidth="1"/>
    <col min="339" max="339" width="12.44140625" style="215" bestFit="1" customWidth="1"/>
    <col min="340" max="340" width="13.88671875" style="215" bestFit="1" customWidth="1"/>
    <col min="341" max="341" width="13.44140625" style="215" bestFit="1" customWidth="1"/>
    <col min="342" max="342" width="14.44140625" style="215" bestFit="1" customWidth="1"/>
    <col min="343" max="343" width="15.109375" style="215" bestFit="1" customWidth="1"/>
    <col min="344" max="344" width="14.44140625" style="215" bestFit="1" customWidth="1"/>
    <col min="345" max="345" width="15.109375" style="215" bestFit="1" customWidth="1"/>
    <col min="346" max="346" width="14.44140625" style="215" bestFit="1" customWidth="1"/>
    <col min="347" max="350" width="14.33203125" style="215" customWidth="1"/>
    <col min="351" max="351" width="16.33203125" style="215" customWidth="1"/>
    <col min="352" max="354" width="17.33203125" style="215" customWidth="1"/>
    <col min="355" max="355" width="14.44140625" style="215" bestFit="1" customWidth="1"/>
    <col min="356" max="356" width="16.109375" style="215" bestFit="1" customWidth="1"/>
    <col min="357" max="357" width="12" style="215" bestFit="1" customWidth="1"/>
    <col min="358" max="358" width="13.44140625" style="215" bestFit="1" customWidth="1"/>
    <col min="359" max="372" width="17.88671875" style="62" bestFit="1" customWidth="1"/>
    <col min="373" max="373" width="22.44140625" style="62" bestFit="1" customWidth="1"/>
    <col min="374" max="374" width="17.88671875" style="62" bestFit="1" customWidth="1"/>
    <col min="375" max="382" width="17.33203125" style="544" customWidth="1"/>
    <col min="383" max="383" width="19.6640625" style="544" bestFit="1" customWidth="1"/>
    <col min="384" max="384" width="21.109375" style="544" bestFit="1" customWidth="1"/>
    <col min="385" max="392" width="17.33203125" style="544" customWidth="1"/>
    <col min="393" max="393" width="17.5546875" style="544" bestFit="1" customWidth="1"/>
    <col min="394" max="394" width="19" style="544" bestFit="1" customWidth="1"/>
    <col min="395" max="396" width="17.33203125" style="544" customWidth="1"/>
    <col min="397" max="398" width="17.33203125" style="621" customWidth="1"/>
    <col min="399" max="400" width="17.33203125" style="702" customWidth="1"/>
    <col min="401" max="408" width="17.6640625" style="544"/>
    <col min="409" max="16384" width="17.6640625" style="1"/>
  </cols>
  <sheetData>
    <row r="1" spans="2:408" ht="24.9" customHeight="1">
      <c r="B1" s="242" t="s">
        <v>379</v>
      </c>
    </row>
    <row r="2" spans="2:408" ht="24.9" customHeight="1">
      <c r="B2" s="243" t="s">
        <v>380</v>
      </c>
      <c r="Y2" s="5" t="s">
        <v>936</v>
      </c>
      <c r="CE2" s="249"/>
      <c r="CT2" s="222" t="s">
        <v>931</v>
      </c>
      <c r="DJ2" s="206"/>
      <c r="HS2" s="6"/>
      <c r="HT2" s="6"/>
      <c r="HU2" s="6"/>
      <c r="HV2" s="6"/>
      <c r="NA2" s="109"/>
      <c r="NG2" s="109"/>
      <c r="NH2" s="109"/>
      <c r="NI2" s="109"/>
    </row>
    <row r="3" spans="2:408" ht="24.9" customHeight="1">
      <c r="B3" s="741" t="s">
        <v>1026</v>
      </c>
      <c r="Y3" s="5" t="s">
        <v>864</v>
      </c>
      <c r="AA3" s="5" t="s">
        <v>846</v>
      </c>
      <c r="AC3" s="5" t="s">
        <v>906</v>
      </c>
      <c r="AE3" s="5" t="s">
        <v>933</v>
      </c>
      <c r="AG3" s="5" t="s">
        <v>846</v>
      </c>
      <c r="BC3" s="105" t="s">
        <v>403</v>
      </c>
      <c r="BW3" s="105" t="s">
        <v>403</v>
      </c>
      <c r="CJ3" s="206"/>
      <c r="CK3" s="248"/>
      <c r="CQ3" s="248"/>
      <c r="ES3" s="482"/>
      <c r="ET3" s="482"/>
      <c r="EU3" s="482"/>
      <c r="EV3" s="482"/>
      <c r="EW3" s="482"/>
      <c r="EX3" s="482"/>
      <c r="EY3" s="482"/>
      <c r="EZ3" s="482"/>
      <c r="HA3" s="223" t="s">
        <v>792</v>
      </c>
      <c r="HE3" s="158"/>
      <c r="HI3" s="223" t="s">
        <v>793</v>
      </c>
      <c r="HQ3" s="223" t="s">
        <v>791</v>
      </c>
      <c r="HU3" s="223" t="s">
        <v>790</v>
      </c>
      <c r="KI3" s="223" t="s">
        <v>789</v>
      </c>
      <c r="KO3" s="223" t="s">
        <v>788</v>
      </c>
      <c r="LA3" s="223" t="s">
        <v>787</v>
      </c>
      <c r="LW3" s="250" t="s">
        <v>753</v>
      </c>
      <c r="LX3" s="250"/>
      <c r="MW3" s="109"/>
      <c r="NC3" s="62">
        <v>39.098300000000002</v>
      </c>
      <c r="ND3" s="62">
        <v>39.098300000000002</v>
      </c>
      <c r="NE3" s="16">
        <v>79.903999999999996</v>
      </c>
      <c r="NF3" s="16">
        <v>79.903999999999996</v>
      </c>
      <c r="NG3" s="16">
        <v>79.903999999999996</v>
      </c>
      <c r="NH3" s="506">
        <v>79.903999999999996</v>
      </c>
      <c r="NI3" s="506">
        <v>126.90447</v>
      </c>
      <c r="NJ3" s="506">
        <v>126.90447</v>
      </c>
    </row>
    <row r="4" spans="2:408" ht="24.9" customHeight="1" thickBot="1">
      <c r="K4" s="190" t="s">
        <v>378</v>
      </c>
      <c r="BC4" s="750" t="s">
        <v>330</v>
      </c>
      <c r="BD4" s="750"/>
      <c r="BE4" s="750"/>
      <c r="BF4" s="750"/>
      <c r="BG4" s="750"/>
      <c r="BH4" s="750"/>
      <c r="BI4" s="750"/>
      <c r="BJ4" s="750"/>
      <c r="BK4" s="750"/>
      <c r="BL4" s="750"/>
      <c r="BM4" s="750"/>
      <c r="BN4" s="750"/>
      <c r="BW4" s="751" t="s">
        <v>330</v>
      </c>
      <c r="BX4" s="751"/>
      <c r="BY4" s="751"/>
      <c r="BZ4" s="751"/>
      <c r="CA4" s="751"/>
      <c r="CB4" s="751"/>
      <c r="CC4" s="751"/>
      <c r="HA4" s="752"/>
      <c r="HB4" s="752"/>
      <c r="HC4" s="237"/>
      <c r="HD4" s="237"/>
      <c r="HE4" s="237"/>
      <c r="HF4" s="237"/>
      <c r="HG4" s="237"/>
      <c r="HH4" s="237"/>
      <c r="HI4" s="752"/>
      <c r="HJ4" s="752"/>
      <c r="HK4" s="237"/>
      <c r="HL4" s="237"/>
      <c r="HM4" s="237"/>
      <c r="HN4" s="237"/>
      <c r="HO4" s="237"/>
      <c r="HP4" s="237"/>
      <c r="HQ4" s="111"/>
      <c r="HR4" s="111"/>
      <c r="LW4" s="230"/>
      <c r="LX4" s="230"/>
      <c r="LY4" s="230"/>
      <c r="LZ4" s="230"/>
      <c r="MA4" s="230"/>
      <c r="MB4" s="230"/>
      <c r="MC4" s="230"/>
      <c r="MD4" s="230"/>
      <c r="ME4" s="230"/>
      <c r="MF4" s="230"/>
      <c r="MG4" s="230"/>
      <c r="MH4" s="230"/>
      <c r="MI4" s="230"/>
      <c r="MJ4" s="230"/>
      <c r="MK4" s="230"/>
      <c r="ML4" s="230"/>
      <c r="MM4" s="230"/>
      <c r="MN4" s="230"/>
      <c r="MO4" s="230"/>
      <c r="MP4" s="230"/>
      <c r="MQ4" s="230"/>
      <c r="MR4" s="230"/>
      <c r="MS4" s="230"/>
      <c r="MT4" s="230"/>
      <c r="MU4" s="230"/>
      <c r="MV4" s="230"/>
      <c r="MW4" s="230"/>
      <c r="MX4" s="230"/>
      <c r="MY4" s="230"/>
      <c r="MZ4" s="230"/>
      <c r="NA4" s="230"/>
      <c r="NB4" s="230"/>
      <c r="NC4" s="62">
        <v>35.453000000000003</v>
      </c>
      <c r="ND4" s="230"/>
      <c r="NE4" s="230"/>
      <c r="NF4" s="230"/>
      <c r="NG4" s="230"/>
      <c r="NH4" s="230"/>
      <c r="NI4" s="230"/>
      <c r="NJ4" s="230"/>
    </row>
    <row r="5" spans="2:408" s="12" customFormat="1" ht="24.9" customHeight="1" thickBot="1">
      <c r="B5" s="745" t="s">
        <v>650</v>
      </c>
      <c r="C5" s="746"/>
      <c r="D5" s="746"/>
      <c r="E5" s="746"/>
      <c r="F5" s="747"/>
      <c r="G5" s="745" t="s">
        <v>323</v>
      </c>
      <c r="H5" s="746"/>
      <c r="I5" s="746"/>
      <c r="J5" s="746"/>
      <c r="K5" s="747"/>
      <c r="L5" s="745" t="s">
        <v>325</v>
      </c>
      <c r="M5" s="746"/>
      <c r="N5" s="747"/>
      <c r="O5" s="745" t="s">
        <v>651</v>
      </c>
      <c r="P5" s="746"/>
      <c r="Q5" s="746"/>
      <c r="R5" s="746"/>
      <c r="S5" s="746"/>
      <c r="T5" s="746"/>
      <c r="U5" s="746"/>
      <c r="V5" s="746"/>
      <c r="W5" s="746"/>
      <c r="X5" s="747"/>
      <c r="Y5" s="745" t="s">
        <v>652</v>
      </c>
      <c r="Z5" s="746"/>
      <c r="AA5" s="746"/>
      <c r="AB5" s="746"/>
      <c r="AC5" s="746"/>
      <c r="AD5" s="746"/>
      <c r="AE5" s="746"/>
      <c r="AF5" s="746"/>
      <c r="AG5" s="746"/>
      <c r="AH5" s="747"/>
      <c r="AI5" s="742" t="s">
        <v>653</v>
      </c>
      <c r="AJ5" s="743"/>
      <c r="AK5" s="743"/>
      <c r="AL5" s="743"/>
      <c r="AM5" s="743"/>
      <c r="AN5" s="743"/>
      <c r="AO5" s="743"/>
      <c r="AP5" s="743"/>
      <c r="AQ5" s="743"/>
      <c r="AR5" s="744"/>
      <c r="AS5" s="757"/>
      <c r="AT5" s="759"/>
      <c r="AU5" s="748" t="s">
        <v>27</v>
      </c>
      <c r="AV5" s="756"/>
      <c r="AW5" s="756"/>
      <c r="AX5" s="756"/>
      <c r="AY5" s="756"/>
      <c r="AZ5" s="756"/>
      <c r="BA5" s="756"/>
      <c r="BB5" s="749"/>
      <c r="BC5" s="757" t="s">
        <v>402</v>
      </c>
      <c r="BD5" s="759"/>
      <c r="BE5" s="92"/>
      <c r="BF5" s="92"/>
      <c r="BG5" s="92"/>
      <c r="BH5" s="92"/>
      <c r="BI5" s="627"/>
      <c r="BJ5" s="627"/>
      <c r="BK5" s="748" t="s">
        <v>26</v>
      </c>
      <c r="BL5" s="756"/>
      <c r="BM5" s="756"/>
      <c r="BN5" s="749"/>
      <c r="BO5" s="748" t="s">
        <v>116</v>
      </c>
      <c r="BP5" s="756"/>
      <c r="BQ5" s="756"/>
      <c r="BR5" s="756"/>
      <c r="BS5" s="756"/>
      <c r="BT5" s="756"/>
      <c r="BU5" s="756"/>
      <c r="BV5" s="749"/>
      <c r="BW5" s="238" t="s">
        <v>411</v>
      </c>
      <c r="BX5" s="748" t="s">
        <v>467</v>
      </c>
      <c r="BY5" s="749"/>
      <c r="BZ5" s="748" t="s">
        <v>468</v>
      </c>
      <c r="CA5" s="756"/>
      <c r="CB5" s="756"/>
      <c r="CC5" s="749"/>
      <c r="CD5" s="745" t="s">
        <v>311</v>
      </c>
      <c r="CE5" s="747"/>
      <c r="CF5" s="748" t="s">
        <v>313</v>
      </c>
      <c r="CG5" s="756"/>
      <c r="CH5" s="756"/>
      <c r="CI5" s="756"/>
      <c r="CJ5" s="756"/>
      <c r="CK5" s="756"/>
      <c r="CL5" s="756"/>
      <c r="CM5" s="756"/>
      <c r="CN5" s="756"/>
      <c r="CO5" s="749"/>
      <c r="CP5" s="748" t="s">
        <v>338</v>
      </c>
      <c r="CQ5" s="756"/>
      <c r="CR5" s="756"/>
      <c r="CS5" s="749"/>
      <c r="CT5" s="757" t="s">
        <v>381</v>
      </c>
      <c r="CU5" s="758"/>
      <c r="CV5" s="758"/>
      <c r="CW5" s="758"/>
      <c r="CX5" s="758"/>
      <c r="CY5" s="758"/>
      <c r="CZ5" s="758"/>
      <c r="DA5" s="758"/>
      <c r="DB5" s="758"/>
      <c r="DC5" s="759"/>
      <c r="DD5" s="748" t="s">
        <v>645</v>
      </c>
      <c r="DE5" s="756"/>
      <c r="DF5" s="756"/>
      <c r="DG5" s="756"/>
      <c r="DH5" s="756"/>
      <c r="DI5" s="749"/>
      <c r="DJ5" s="780" t="s">
        <v>646</v>
      </c>
      <c r="DK5" s="781"/>
      <c r="DL5" s="781"/>
      <c r="DM5" s="781"/>
      <c r="DN5" s="781"/>
      <c r="DO5" s="782"/>
      <c r="DP5" s="748" t="s">
        <v>647</v>
      </c>
      <c r="DQ5" s="756"/>
      <c r="DR5" s="756"/>
      <c r="DS5" s="756"/>
      <c r="DT5" s="756"/>
      <c r="DU5" s="749"/>
      <c r="DV5" s="748" t="s">
        <v>648</v>
      </c>
      <c r="DW5" s="756"/>
      <c r="DX5" s="756"/>
      <c r="DY5" s="756"/>
      <c r="DZ5" s="756"/>
      <c r="EA5" s="756"/>
      <c r="EB5" s="756"/>
      <c r="EC5" s="756"/>
      <c r="ED5" s="756"/>
      <c r="EE5" s="749"/>
      <c r="EF5" s="748" t="s">
        <v>207</v>
      </c>
      <c r="EG5" s="756"/>
      <c r="EH5" s="756"/>
      <c r="EI5" s="756"/>
      <c r="EJ5" s="756"/>
      <c r="EK5" s="756"/>
      <c r="EL5" s="756"/>
      <c r="EM5" s="498"/>
      <c r="EN5" s="499"/>
      <c r="EO5" s="500"/>
      <c r="EP5" s="748" t="s">
        <v>930</v>
      </c>
      <c r="EQ5" s="756"/>
      <c r="ER5" s="749"/>
      <c r="ES5" s="753" t="s">
        <v>929</v>
      </c>
      <c r="ET5" s="754"/>
      <c r="EU5" s="754"/>
      <c r="EV5" s="754"/>
      <c r="EW5" s="754"/>
      <c r="EX5" s="754"/>
      <c r="EY5" s="754"/>
      <c r="EZ5" s="755"/>
      <c r="FA5" s="745" t="s">
        <v>649</v>
      </c>
      <c r="FB5" s="746"/>
      <c r="FC5" s="746"/>
      <c r="FD5" s="746"/>
      <c r="FE5" s="746"/>
      <c r="FF5" s="746"/>
      <c r="FG5" s="746"/>
      <c r="FH5" s="747"/>
      <c r="FI5" s="745" t="s">
        <v>654</v>
      </c>
      <c r="FJ5" s="746"/>
      <c r="FK5" s="746"/>
      <c r="FL5" s="746"/>
      <c r="FM5" s="746"/>
      <c r="FN5" s="746"/>
      <c r="FO5" s="746"/>
      <c r="FP5" s="747"/>
      <c r="FQ5" s="788" t="s">
        <v>655</v>
      </c>
      <c r="FR5" s="789"/>
      <c r="FS5" s="789"/>
      <c r="FT5" s="789"/>
      <c r="FU5" s="789"/>
      <c r="FV5" s="789"/>
      <c r="FW5" s="789"/>
      <c r="FX5" s="790"/>
      <c r="FY5" s="788" t="s">
        <v>580</v>
      </c>
      <c r="FZ5" s="790"/>
      <c r="GA5" s="788" t="s">
        <v>208</v>
      </c>
      <c r="GB5" s="789"/>
      <c r="GC5" s="789"/>
      <c r="GD5" s="789"/>
      <c r="GE5" s="789"/>
      <c r="GF5" s="790"/>
      <c r="GG5" s="745" t="s">
        <v>337</v>
      </c>
      <c r="GH5" s="746"/>
      <c r="GI5" s="746"/>
      <c r="GJ5" s="747"/>
      <c r="GK5" s="742" t="s">
        <v>312</v>
      </c>
      <c r="GL5" s="743"/>
      <c r="GM5" s="743"/>
      <c r="GN5" s="743"/>
      <c r="GO5" s="743"/>
      <c r="GP5" s="743"/>
      <c r="GQ5" s="743"/>
      <c r="GR5" s="744"/>
      <c r="GS5" s="742" t="s">
        <v>320</v>
      </c>
      <c r="GT5" s="743"/>
      <c r="GU5" s="743"/>
      <c r="GV5" s="743"/>
      <c r="GW5" s="743"/>
      <c r="GX5" s="743"/>
      <c r="GY5" s="743"/>
      <c r="GZ5" s="744"/>
      <c r="HA5" s="742" t="s">
        <v>738</v>
      </c>
      <c r="HB5" s="743"/>
      <c r="HC5" s="762"/>
      <c r="HD5" s="762"/>
      <c r="HE5" s="762"/>
      <c r="HF5" s="762"/>
      <c r="HG5" s="762"/>
      <c r="HH5" s="763"/>
      <c r="HI5" s="742" t="s">
        <v>739</v>
      </c>
      <c r="HJ5" s="743"/>
      <c r="HK5" s="762"/>
      <c r="HL5" s="762"/>
      <c r="HM5" s="762"/>
      <c r="HN5" s="762"/>
      <c r="HO5" s="762"/>
      <c r="HP5" s="763"/>
      <c r="HQ5" s="745" t="s">
        <v>663</v>
      </c>
      <c r="HR5" s="746"/>
      <c r="HS5" s="746"/>
      <c r="HT5" s="747"/>
      <c r="HU5" s="745" t="s">
        <v>662</v>
      </c>
      <c r="HV5" s="746"/>
      <c r="HW5" s="746"/>
      <c r="HX5" s="747"/>
      <c r="HY5" s="791" t="s">
        <v>656</v>
      </c>
      <c r="HZ5" s="792"/>
      <c r="IA5" s="792"/>
      <c r="IB5" s="792"/>
      <c r="IC5" s="792"/>
      <c r="ID5" s="792"/>
      <c r="IE5" s="792"/>
      <c r="IF5" s="792"/>
      <c r="IG5" s="792"/>
      <c r="IH5" s="792"/>
      <c r="II5" s="792"/>
      <c r="IJ5" s="792"/>
      <c r="IK5" s="792"/>
      <c r="IL5" s="793"/>
      <c r="IM5" s="791" t="s">
        <v>657</v>
      </c>
      <c r="IN5" s="792"/>
      <c r="IO5" s="792"/>
      <c r="IP5" s="792"/>
      <c r="IQ5" s="792"/>
      <c r="IR5" s="792"/>
      <c r="IS5" s="792"/>
      <c r="IT5" s="792"/>
      <c r="IU5" s="792"/>
      <c r="IV5" s="792"/>
      <c r="IW5" s="792"/>
      <c r="IX5" s="792"/>
      <c r="IY5" s="792"/>
      <c r="IZ5" s="793"/>
      <c r="JA5" s="794" t="s">
        <v>658</v>
      </c>
      <c r="JB5" s="795"/>
      <c r="JC5" s="795"/>
      <c r="JD5" s="795"/>
      <c r="JE5" s="795"/>
      <c r="JF5" s="795"/>
      <c r="JG5" s="795"/>
      <c r="JH5" s="795"/>
      <c r="JI5" s="795"/>
      <c r="JJ5" s="795"/>
      <c r="JK5" s="795"/>
      <c r="JL5" s="795"/>
      <c r="JM5" s="795"/>
      <c r="JN5" s="796"/>
      <c r="JO5" s="794" t="s">
        <v>671</v>
      </c>
      <c r="JP5" s="795"/>
      <c r="JQ5" s="795"/>
      <c r="JR5" s="795"/>
      <c r="JS5" s="795"/>
      <c r="JT5" s="795"/>
      <c r="JU5" s="795"/>
      <c r="JV5" s="795"/>
      <c r="JW5" s="795"/>
      <c r="JX5" s="795"/>
      <c r="JY5" s="795"/>
      <c r="JZ5" s="796"/>
      <c r="KA5" s="745" t="s">
        <v>358</v>
      </c>
      <c r="KB5" s="746"/>
      <c r="KC5" s="746"/>
      <c r="KD5" s="747"/>
      <c r="KE5" s="742" t="s">
        <v>667</v>
      </c>
      <c r="KF5" s="743"/>
      <c r="KG5" s="743"/>
      <c r="KH5" s="744"/>
      <c r="KI5" s="742" t="s">
        <v>668</v>
      </c>
      <c r="KJ5" s="743"/>
      <c r="KK5" s="743"/>
      <c r="KL5" s="743"/>
      <c r="KM5" s="743"/>
      <c r="KN5" s="744"/>
      <c r="KO5" s="742" t="s">
        <v>740</v>
      </c>
      <c r="KP5" s="743"/>
      <c r="KQ5" s="743"/>
      <c r="KR5" s="743"/>
      <c r="KS5" s="743"/>
      <c r="KT5" s="744"/>
      <c r="KU5" s="742" t="s">
        <v>762</v>
      </c>
      <c r="KV5" s="743"/>
      <c r="KW5" s="743"/>
      <c r="KX5" s="743"/>
      <c r="KY5" s="743"/>
      <c r="KZ5" s="743"/>
      <c r="LA5" s="742" t="s">
        <v>763</v>
      </c>
      <c r="LB5" s="743"/>
      <c r="LC5" s="743"/>
      <c r="LD5" s="743"/>
      <c r="LE5" s="743"/>
      <c r="LF5" s="744"/>
      <c r="LG5" s="742" t="s">
        <v>781</v>
      </c>
      <c r="LH5" s="743"/>
      <c r="LI5" s="743"/>
      <c r="LJ5" s="743"/>
      <c r="LK5" s="743"/>
      <c r="LL5" s="744"/>
      <c r="LM5" s="742" t="s">
        <v>368</v>
      </c>
      <c r="LN5" s="743"/>
      <c r="LO5" s="743"/>
      <c r="LP5" s="743"/>
      <c r="LQ5" s="743"/>
      <c r="LR5" s="743"/>
      <c r="LS5" s="743"/>
      <c r="LT5" s="744"/>
      <c r="LW5" s="251"/>
      <c r="LX5" s="252"/>
      <c r="LY5" s="252"/>
      <c r="LZ5" s="252"/>
      <c r="MA5" s="252"/>
      <c r="MB5" s="252"/>
      <c r="MC5" s="252"/>
      <c r="MD5" s="252"/>
      <c r="ME5" s="764" t="s">
        <v>766</v>
      </c>
      <c r="MF5" s="765"/>
      <c r="MG5" s="765"/>
      <c r="MH5" s="766"/>
      <c r="MI5" s="764" t="s">
        <v>767</v>
      </c>
      <c r="MJ5" s="765"/>
      <c r="MK5" s="765"/>
      <c r="ML5" s="766"/>
      <c r="MM5" s="764" t="s">
        <v>766</v>
      </c>
      <c r="MN5" s="766"/>
      <c r="MO5" s="764" t="s">
        <v>767</v>
      </c>
      <c r="MP5" s="766"/>
      <c r="MQ5" s="764" t="s">
        <v>780</v>
      </c>
      <c r="MR5" s="765"/>
      <c r="MS5" s="765"/>
      <c r="MT5" s="766"/>
      <c r="MU5" s="764" t="s">
        <v>768</v>
      </c>
      <c r="MV5" s="765"/>
      <c r="MW5" s="765"/>
      <c r="MX5" s="765"/>
      <c r="MY5" s="765"/>
      <c r="MZ5" s="765"/>
      <c r="NA5" s="765"/>
      <c r="NB5" s="766"/>
      <c r="NC5" s="764" t="s">
        <v>769</v>
      </c>
      <c r="ND5" s="765"/>
      <c r="NE5" s="765"/>
      <c r="NF5" s="765"/>
      <c r="NG5" s="765"/>
      <c r="NH5" s="765"/>
      <c r="NI5" s="765"/>
      <c r="NJ5" s="766"/>
      <c r="NK5" s="785" t="s">
        <v>995</v>
      </c>
      <c r="NL5" s="786"/>
      <c r="NM5" s="786"/>
      <c r="NN5" s="786"/>
      <c r="NO5" s="786"/>
      <c r="NP5" s="786"/>
      <c r="NQ5" s="786"/>
      <c r="NR5" s="786"/>
      <c r="NS5" s="786"/>
      <c r="NT5" s="787"/>
      <c r="NU5" s="785" t="s">
        <v>996</v>
      </c>
      <c r="NV5" s="787"/>
      <c r="NW5" s="785" t="s">
        <v>997</v>
      </c>
      <c r="NX5" s="786"/>
      <c r="NY5" s="786"/>
      <c r="NZ5" s="787"/>
      <c r="OA5" s="785" t="s">
        <v>987</v>
      </c>
      <c r="OB5" s="786"/>
      <c r="OC5" s="786"/>
      <c r="OD5" s="786"/>
      <c r="OE5" s="786"/>
      <c r="OF5" s="786"/>
      <c r="OG5" s="786"/>
      <c r="OH5" s="786"/>
      <c r="OI5" s="786"/>
      <c r="OJ5" s="787"/>
      <c r="OK5" s="785" t="s">
        <v>991</v>
      </c>
      <c r="OL5" s="786"/>
      <c r="OM5" s="786"/>
      <c r="ON5" s="786"/>
      <c r="OO5" s="786"/>
      <c r="OP5" s="786"/>
      <c r="OQ5" s="786"/>
      <c r="OR5" s="787"/>
    </row>
    <row r="6" spans="2:408" ht="24.9" customHeight="1" thickBot="1">
      <c r="B6" s="246" t="s">
        <v>339</v>
      </c>
      <c r="C6" s="92" t="s">
        <v>659</v>
      </c>
      <c r="D6" s="92" t="s">
        <v>660</v>
      </c>
      <c r="E6" s="99" t="s">
        <v>109</v>
      </c>
      <c r="F6" s="100" t="s">
        <v>113</v>
      </c>
      <c r="G6" s="82" t="s">
        <v>29</v>
      </c>
      <c r="H6" s="82" t="s">
        <v>0</v>
      </c>
      <c r="I6" s="82" t="s">
        <v>110</v>
      </c>
      <c r="J6" s="94" t="s">
        <v>321</v>
      </c>
      <c r="K6" s="94" t="s">
        <v>329</v>
      </c>
      <c r="L6" s="82" t="s">
        <v>111</v>
      </c>
      <c r="M6" s="82" t="s">
        <v>324</v>
      </c>
      <c r="N6" s="95" t="s">
        <v>112</v>
      </c>
      <c r="O6" s="628" t="s">
        <v>404</v>
      </c>
      <c r="P6" s="83" t="s">
        <v>405</v>
      </c>
      <c r="Q6" s="97" t="s">
        <v>400</v>
      </c>
      <c r="R6" s="75" t="s">
        <v>406</v>
      </c>
      <c r="S6" s="98" t="s">
        <v>407</v>
      </c>
      <c r="T6" s="83" t="s">
        <v>408</v>
      </c>
      <c r="U6" s="74" t="s">
        <v>399</v>
      </c>
      <c r="V6" s="73" t="s">
        <v>409</v>
      </c>
      <c r="W6" s="74" t="s">
        <v>398</v>
      </c>
      <c r="X6" s="76" t="s">
        <v>410</v>
      </c>
      <c r="Y6" s="96" t="s">
        <v>404</v>
      </c>
      <c r="Z6" s="75" t="s">
        <v>405</v>
      </c>
      <c r="AA6" s="97" t="s">
        <v>400</v>
      </c>
      <c r="AB6" s="75" t="s">
        <v>406</v>
      </c>
      <c r="AC6" s="98" t="s">
        <v>407</v>
      </c>
      <c r="AD6" s="83" t="s">
        <v>408</v>
      </c>
      <c r="AE6" s="74" t="s">
        <v>399</v>
      </c>
      <c r="AF6" s="73" t="s">
        <v>409</v>
      </c>
      <c r="AG6" s="74" t="s">
        <v>398</v>
      </c>
      <c r="AH6" s="76" t="s">
        <v>410</v>
      </c>
      <c r="AI6" s="125" t="s">
        <v>457</v>
      </c>
      <c r="AJ6" s="126" t="s">
        <v>458</v>
      </c>
      <c r="AK6" s="127" t="s">
        <v>459</v>
      </c>
      <c r="AL6" s="126" t="s">
        <v>460</v>
      </c>
      <c r="AM6" s="128" t="s">
        <v>461</v>
      </c>
      <c r="AN6" s="129" t="s">
        <v>462</v>
      </c>
      <c r="AO6" s="130" t="s">
        <v>463</v>
      </c>
      <c r="AP6" s="131" t="s">
        <v>464</v>
      </c>
      <c r="AQ6" s="130" t="s">
        <v>465</v>
      </c>
      <c r="AR6" s="132" t="s">
        <v>466</v>
      </c>
      <c r="AS6" s="92" t="s">
        <v>401</v>
      </c>
      <c r="AT6" s="93" t="s">
        <v>2</v>
      </c>
      <c r="AU6" s="136" t="s">
        <v>459</v>
      </c>
      <c r="AV6" s="137" t="s">
        <v>460</v>
      </c>
      <c r="AW6" s="136" t="s">
        <v>461</v>
      </c>
      <c r="AX6" s="137" t="s">
        <v>462</v>
      </c>
      <c r="AY6" s="136" t="s">
        <v>463</v>
      </c>
      <c r="AZ6" s="137" t="s">
        <v>464</v>
      </c>
      <c r="BA6" s="136" t="s">
        <v>465</v>
      </c>
      <c r="BB6" s="138" t="s">
        <v>466</v>
      </c>
      <c r="BC6" s="90" t="s">
        <v>399</v>
      </c>
      <c r="BD6" s="91" t="s">
        <v>400</v>
      </c>
      <c r="BE6" s="150" t="s">
        <v>1008</v>
      </c>
      <c r="BF6" s="150" t="s">
        <v>1009</v>
      </c>
      <c r="BG6" s="150" t="s">
        <v>1010</v>
      </c>
      <c r="BH6" s="150" t="s">
        <v>1011</v>
      </c>
      <c r="BI6" s="150" t="s">
        <v>1012</v>
      </c>
      <c r="BJ6" s="150" t="s">
        <v>1013</v>
      </c>
      <c r="BK6" s="125" t="s">
        <v>463</v>
      </c>
      <c r="BL6" s="126" t="s">
        <v>464</v>
      </c>
      <c r="BM6" s="142" t="s">
        <v>459</v>
      </c>
      <c r="BN6" s="135" t="s">
        <v>460</v>
      </c>
      <c r="BO6" s="142" t="s">
        <v>457</v>
      </c>
      <c r="BP6" s="141" t="s">
        <v>458</v>
      </c>
      <c r="BQ6" s="142" t="s">
        <v>459</v>
      </c>
      <c r="BR6" s="141" t="s">
        <v>460</v>
      </c>
      <c r="BS6" s="142" t="s">
        <v>461</v>
      </c>
      <c r="BT6" s="141" t="s">
        <v>462</v>
      </c>
      <c r="BU6" s="142" t="s">
        <v>465</v>
      </c>
      <c r="BV6" s="141" t="s">
        <v>466</v>
      </c>
      <c r="BW6" s="89" t="s">
        <v>398</v>
      </c>
      <c r="BX6" s="144" t="s">
        <v>469</v>
      </c>
      <c r="BY6" s="145" t="s">
        <v>470</v>
      </c>
      <c r="BZ6" s="607" t="s">
        <v>471</v>
      </c>
      <c r="CA6" s="129" t="s">
        <v>472</v>
      </c>
      <c r="CB6" s="605" t="s">
        <v>473</v>
      </c>
      <c r="CC6" s="606" t="s">
        <v>474</v>
      </c>
      <c r="CD6" s="86" t="s">
        <v>396</v>
      </c>
      <c r="CE6" s="87" t="s">
        <v>397</v>
      </c>
      <c r="CF6" s="149" t="s">
        <v>465</v>
      </c>
      <c r="CG6" s="150" t="s">
        <v>475</v>
      </c>
      <c r="CH6" s="151" t="s">
        <v>476</v>
      </c>
      <c r="CI6" s="150" t="s">
        <v>464</v>
      </c>
      <c r="CJ6" s="152" t="s">
        <v>477</v>
      </c>
      <c r="CK6" s="150" t="s">
        <v>478</v>
      </c>
      <c r="CL6" s="152" t="s">
        <v>479</v>
      </c>
      <c r="CM6" s="150" t="s">
        <v>460</v>
      </c>
      <c r="CN6" s="152" t="s">
        <v>480</v>
      </c>
      <c r="CO6" s="153" t="s">
        <v>474</v>
      </c>
      <c r="CP6" s="152" t="s">
        <v>477</v>
      </c>
      <c r="CQ6" s="150" t="s">
        <v>478</v>
      </c>
      <c r="CR6" s="152" t="s">
        <v>481</v>
      </c>
      <c r="CS6" s="153" t="s">
        <v>482</v>
      </c>
      <c r="CT6" s="81" t="s">
        <v>18</v>
      </c>
      <c r="CU6" s="82" t="s">
        <v>127</v>
      </c>
      <c r="CV6" s="82" t="s">
        <v>392</v>
      </c>
      <c r="CW6" s="82" t="s">
        <v>393</v>
      </c>
      <c r="CX6" s="82" t="s">
        <v>394</v>
      </c>
      <c r="CY6" s="82" t="s">
        <v>395</v>
      </c>
      <c r="CZ6" s="83" t="s">
        <v>63</v>
      </c>
      <c r="DA6" s="83" t="s">
        <v>64</v>
      </c>
      <c r="DB6" s="83" t="s">
        <v>65</v>
      </c>
      <c r="DC6" s="84" t="s">
        <v>209</v>
      </c>
      <c r="DD6" s="148" t="s">
        <v>118</v>
      </c>
      <c r="DE6" s="141" t="s">
        <v>165</v>
      </c>
      <c r="DF6" s="141" t="s">
        <v>117</v>
      </c>
      <c r="DG6" s="141" t="s">
        <v>166</v>
      </c>
      <c r="DH6" s="141" t="s">
        <v>164</v>
      </c>
      <c r="DI6" s="135" t="s">
        <v>167</v>
      </c>
      <c r="DJ6" s="148" t="s">
        <v>124</v>
      </c>
      <c r="DK6" s="141" t="s">
        <v>741</v>
      </c>
      <c r="DL6" s="141" t="s">
        <v>125</v>
      </c>
      <c r="DM6" s="141" t="s">
        <v>742</v>
      </c>
      <c r="DN6" s="141" t="s">
        <v>126</v>
      </c>
      <c r="DO6" s="135" t="s">
        <v>743</v>
      </c>
      <c r="DP6" s="148" t="s">
        <v>121</v>
      </c>
      <c r="DQ6" s="141" t="s">
        <v>744</v>
      </c>
      <c r="DR6" s="141" t="s">
        <v>122</v>
      </c>
      <c r="DS6" s="141" t="s">
        <v>745</v>
      </c>
      <c r="DT6" s="141" t="s">
        <v>211</v>
      </c>
      <c r="DU6" s="135" t="s">
        <v>746</v>
      </c>
      <c r="DV6" s="148" t="s">
        <v>221</v>
      </c>
      <c r="DW6" s="141" t="s">
        <v>222</v>
      </c>
      <c r="DX6" s="141" t="s">
        <v>223</v>
      </c>
      <c r="DY6" s="141" t="s">
        <v>676</v>
      </c>
      <c r="DZ6" s="141" t="s">
        <v>314</v>
      </c>
      <c r="EA6" s="141" t="s">
        <v>315</v>
      </c>
      <c r="EB6" s="141" t="s">
        <v>316</v>
      </c>
      <c r="EC6" s="141" t="s">
        <v>317</v>
      </c>
      <c r="ED6" s="141" t="s">
        <v>593</v>
      </c>
      <c r="EE6" s="135" t="s">
        <v>747</v>
      </c>
      <c r="EF6" s="149" t="s">
        <v>483</v>
      </c>
      <c r="EG6" s="150" t="s">
        <v>484</v>
      </c>
      <c r="EH6" s="152" t="s">
        <v>595</v>
      </c>
      <c r="EI6" s="150" t="s">
        <v>596</v>
      </c>
      <c r="EJ6" s="155" t="s">
        <v>71</v>
      </c>
      <c r="EK6" s="155" t="s">
        <v>72</v>
      </c>
      <c r="EL6" s="156" t="s">
        <v>225</v>
      </c>
      <c r="EM6" s="155" t="s">
        <v>71</v>
      </c>
      <c r="EN6" s="155" t="s">
        <v>72</v>
      </c>
      <c r="EO6" s="156" t="s">
        <v>225</v>
      </c>
      <c r="EP6" s="483" t="s">
        <v>917</v>
      </c>
      <c r="EQ6" s="129" t="s">
        <v>71</v>
      </c>
      <c r="ER6" s="186" t="s">
        <v>72</v>
      </c>
      <c r="ES6" s="185" t="s">
        <v>923</v>
      </c>
      <c r="ET6" s="184" t="s">
        <v>924</v>
      </c>
      <c r="EU6" s="185" t="s">
        <v>925</v>
      </c>
      <c r="EV6" s="184" t="s">
        <v>928</v>
      </c>
      <c r="EW6" s="183" t="s">
        <v>921</v>
      </c>
      <c r="EX6" s="184" t="s">
        <v>922</v>
      </c>
      <c r="EY6" s="185" t="s">
        <v>926</v>
      </c>
      <c r="EZ6" s="184" t="s">
        <v>927</v>
      </c>
      <c r="FA6" s="77" t="s">
        <v>384</v>
      </c>
      <c r="FB6" s="78" t="s">
        <v>385</v>
      </c>
      <c r="FC6" s="79" t="s">
        <v>386</v>
      </c>
      <c r="FD6" s="78" t="s">
        <v>387</v>
      </c>
      <c r="FE6" s="79" t="s">
        <v>388</v>
      </c>
      <c r="FF6" s="78" t="s">
        <v>389</v>
      </c>
      <c r="FG6" s="74" t="s">
        <v>390</v>
      </c>
      <c r="FH6" s="76" t="s">
        <v>391</v>
      </c>
      <c r="FI6" s="77" t="s">
        <v>384</v>
      </c>
      <c r="FJ6" s="78" t="s">
        <v>385</v>
      </c>
      <c r="FK6" s="79" t="s">
        <v>386</v>
      </c>
      <c r="FL6" s="78" t="s">
        <v>387</v>
      </c>
      <c r="FM6" s="79" t="s">
        <v>388</v>
      </c>
      <c r="FN6" s="78" t="s">
        <v>389</v>
      </c>
      <c r="FO6" s="79" t="s">
        <v>390</v>
      </c>
      <c r="FP6" s="80" t="s">
        <v>391</v>
      </c>
      <c r="FQ6" s="187" t="s">
        <v>581</v>
      </c>
      <c r="FR6" s="181" t="s">
        <v>582</v>
      </c>
      <c r="FS6" s="180" t="s">
        <v>583</v>
      </c>
      <c r="FT6" s="181" t="s">
        <v>584</v>
      </c>
      <c r="FU6" s="180" t="s">
        <v>554</v>
      </c>
      <c r="FV6" s="181" t="s">
        <v>555</v>
      </c>
      <c r="FW6" s="180" t="s">
        <v>556</v>
      </c>
      <c r="FX6" s="182" t="s">
        <v>557</v>
      </c>
      <c r="FY6" s="608" t="s">
        <v>554</v>
      </c>
      <c r="FZ6" s="132" t="s">
        <v>555</v>
      </c>
      <c r="GA6" s="608" t="s">
        <v>550</v>
      </c>
      <c r="GB6" s="131" t="s">
        <v>551</v>
      </c>
      <c r="GC6" s="130" t="s">
        <v>552</v>
      </c>
      <c r="GD6" s="131" t="s">
        <v>553</v>
      </c>
      <c r="GE6" s="130" t="s">
        <v>585</v>
      </c>
      <c r="GF6" s="131" t="s">
        <v>586</v>
      </c>
      <c r="GG6" s="69" t="s">
        <v>382</v>
      </c>
      <c r="GH6" s="70" t="s">
        <v>383</v>
      </c>
      <c r="GI6" s="70" t="s">
        <v>356</v>
      </c>
      <c r="GJ6" s="71" t="s">
        <v>357</v>
      </c>
      <c r="GK6" s="125" t="s">
        <v>550</v>
      </c>
      <c r="GL6" s="126" t="s">
        <v>551</v>
      </c>
      <c r="GM6" s="127" t="s">
        <v>552</v>
      </c>
      <c r="GN6" s="126" t="s">
        <v>553</v>
      </c>
      <c r="GO6" s="180" t="s">
        <v>554</v>
      </c>
      <c r="GP6" s="181" t="s">
        <v>555</v>
      </c>
      <c r="GQ6" s="180" t="s">
        <v>556</v>
      </c>
      <c r="GR6" s="182" t="s">
        <v>557</v>
      </c>
      <c r="GS6" s="183" t="s">
        <v>558</v>
      </c>
      <c r="GT6" s="184" t="s">
        <v>559</v>
      </c>
      <c r="GU6" s="185" t="s">
        <v>560</v>
      </c>
      <c r="GV6" s="184" t="s">
        <v>561</v>
      </c>
      <c r="GW6" s="185" t="s">
        <v>562</v>
      </c>
      <c r="GX6" s="184" t="s">
        <v>563</v>
      </c>
      <c r="GY6" s="128" t="s">
        <v>564</v>
      </c>
      <c r="GZ6" s="186" t="s">
        <v>565</v>
      </c>
      <c r="HA6" s="236" t="s">
        <v>21</v>
      </c>
      <c r="HB6" s="110" t="s">
        <v>748</v>
      </c>
      <c r="HC6" s="179" t="s">
        <v>661</v>
      </c>
      <c r="HD6" s="162" t="s">
        <v>2</v>
      </c>
      <c r="HE6" s="162" t="s">
        <v>684</v>
      </c>
      <c r="HF6" s="162" t="s">
        <v>2</v>
      </c>
      <c r="HG6" s="162" t="s">
        <v>665</v>
      </c>
      <c r="HH6" s="163" t="s">
        <v>2</v>
      </c>
      <c r="HI6" s="236" t="s">
        <v>340</v>
      </c>
      <c r="HJ6" s="110" t="s">
        <v>749</v>
      </c>
      <c r="HK6" s="179" t="s">
        <v>661</v>
      </c>
      <c r="HL6" s="162" t="s">
        <v>2</v>
      </c>
      <c r="HM6" s="162" t="s">
        <v>685</v>
      </c>
      <c r="HN6" s="162" t="s">
        <v>2</v>
      </c>
      <c r="HO6" s="162" t="s">
        <v>664</v>
      </c>
      <c r="HP6" s="163" t="s">
        <v>2</v>
      </c>
      <c r="HQ6" s="224" t="s">
        <v>414</v>
      </c>
      <c r="HR6" s="227" t="s">
        <v>666</v>
      </c>
      <c r="HS6" s="278" t="s">
        <v>937</v>
      </c>
      <c r="HT6" s="278" t="s">
        <v>2</v>
      </c>
      <c r="HU6" s="224" t="s">
        <v>412</v>
      </c>
      <c r="HV6" s="227" t="s">
        <v>666</v>
      </c>
      <c r="HW6" s="278" t="s">
        <v>938</v>
      </c>
      <c r="HX6" s="507" t="s">
        <v>666</v>
      </c>
      <c r="HY6" s="600" t="s">
        <v>416</v>
      </c>
      <c r="HZ6" s="601" t="s">
        <v>417</v>
      </c>
      <c r="IA6" s="602" t="s">
        <v>418</v>
      </c>
      <c r="IB6" s="601" t="s">
        <v>419</v>
      </c>
      <c r="IC6" s="602" t="s">
        <v>420</v>
      </c>
      <c r="ID6" s="601" t="s">
        <v>421</v>
      </c>
      <c r="IE6" s="602" t="s">
        <v>422</v>
      </c>
      <c r="IF6" s="601" t="s">
        <v>423</v>
      </c>
      <c r="IG6" s="602" t="s">
        <v>424</v>
      </c>
      <c r="IH6" s="601" t="s">
        <v>425</v>
      </c>
      <c r="II6" s="602" t="s">
        <v>426</v>
      </c>
      <c r="IJ6" s="601" t="s">
        <v>427</v>
      </c>
      <c r="IK6" s="602" t="s">
        <v>428</v>
      </c>
      <c r="IL6" s="603" t="s">
        <v>429</v>
      </c>
      <c r="IM6" s="600" t="s">
        <v>416</v>
      </c>
      <c r="IN6" s="601" t="s">
        <v>417</v>
      </c>
      <c r="IO6" s="602" t="s">
        <v>418</v>
      </c>
      <c r="IP6" s="601" t="s">
        <v>419</v>
      </c>
      <c r="IQ6" s="602" t="s">
        <v>420</v>
      </c>
      <c r="IR6" s="601" t="s">
        <v>421</v>
      </c>
      <c r="IS6" s="602" t="s">
        <v>422</v>
      </c>
      <c r="IT6" s="601" t="s">
        <v>423</v>
      </c>
      <c r="IU6" s="602" t="s">
        <v>424</v>
      </c>
      <c r="IV6" s="601" t="s">
        <v>425</v>
      </c>
      <c r="IW6" s="602" t="s">
        <v>426</v>
      </c>
      <c r="IX6" s="601" t="s">
        <v>427</v>
      </c>
      <c r="IY6" s="602" t="s">
        <v>428</v>
      </c>
      <c r="IZ6" s="603" t="s">
        <v>429</v>
      </c>
      <c r="JA6" s="171" t="s">
        <v>516</v>
      </c>
      <c r="JB6" s="165" t="s">
        <v>517</v>
      </c>
      <c r="JC6" s="164" t="s">
        <v>518</v>
      </c>
      <c r="JD6" s="165" t="s">
        <v>519</v>
      </c>
      <c r="JE6" s="164" t="s">
        <v>520</v>
      </c>
      <c r="JF6" s="165" t="s">
        <v>521</v>
      </c>
      <c r="JG6" s="164" t="s">
        <v>522</v>
      </c>
      <c r="JH6" s="165" t="s">
        <v>523</v>
      </c>
      <c r="JI6" s="164" t="s">
        <v>524</v>
      </c>
      <c r="JJ6" s="165" t="s">
        <v>525</v>
      </c>
      <c r="JK6" s="164" t="s">
        <v>526</v>
      </c>
      <c r="JL6" s="165" t="s">
        <v>527</v>
      </c>
      <c r="JM6" s="164" t="s">
        <v>528</v>
      </c>
      <c r="JN6" s="604" t="s">
        <v>529</v>
      </c>
      <c r="JO6" s="171" t="s">
        <v>530</v>
      </c>
      <c r="JP6" s="165" t="s">
        <v>531</v>
      </c>
      <c r="JQ6" s="164" t="s">
        <v>532</v>
      </c>
      <c r="JR6" s="165" t="s">
        <v>533</v>
      </c>
      <c r="JS6" s="164" t="s">
        <v>534</v>
      </c>
      <c r="JT6" s="165" t="s">
        <v>535</v>
      </c>
      <c r="JU6" s="164" t="s">
        <v>536</v>
      </c>
      <c r="JV6" s="165" t="s">
        <v>537</v>
      </c>
      <c r="JW6" s="164" t="s">
        <v>538</v>
      </c>
      <c r="JX6" s="165" t="s">
        <v>539</v>
      </c>
      <c r="JY6" s="164" t="s">
        <v>540</v>
      </c>
      <c r="JZ6" s="604" t="s">
        <v>541</v>
      </c>
      <c r="KA6" s="69" t="s">
        <v>430</v>
      </c>
      <c r="KB6" s="70" t="s">
        <v>431</v>
      </c>
      <c r="KC6" s="70" t="s">
        <v>354</v>
      </c>
      <c r="KD6" s="70" t="s">
        <v>355</v>
      </c>
      <c r="KE6" s="179" t="s">
        <v>542</v>
      </c>
      <c r="KF6" s="162" t="s">
        <v>543</v>
      </c>
      <c r="KG6" s="162" t="s">
        <v>544</v>
      </c>
      <c r="KH6" s="162" t="s">
        <v>545</v>
      </c>
      <c r="KI6" s="224" t="s">
        <v>432</v>
      </c>
      <c r="KJ6" s="227" t="s">
        <v>750</v>
      </c>
      <c r="KK6" s="162" t="s">
        <v>364</v>
      </c>
      <c r="KL6" s="162" t="s">
        <v>365</v>
      </c>
      <c r="KM6" s="162" t="s">
        <v>359</v>
      </c>
      <c r="KN6" s="162" t="s">
        <v>360</v>
      </c>
      <c r="KO6" s="235" t="s">
        <v>22</v>
      </c>
      <c r="KP6" s="227" t="s">
        <v>751</v>
      </c>
      <c r="KQ6" s="162" t="s">
        <v>669</v>
      </c>
      <c r="KR6" s="162" t="s">
        <v>2</v>
      </c>
      <c r="KS6" s="162" t="s">
        <v>670</v>
      </c>
      <c r="KT6" s="162" t="s">
        <v>2</v>
      </c>
      <c r="KU6" s="171" t="s">
        <v>510</v>
      </c>
      <c r="KV6" s="165" t="s">
        <v>511</v>
      </c>
      <c r="KW6" s="164" t="s">
        <v>512</v>
      </c>
      <c r="KX6" s="165" t="s">
        <v>513</v>
      </c>
      <c r="KY6" s="164" t="s">
        <v>514</v>
      </c>
      <c r="KZ6" s="165" t="s">
        <v>515</v>
      </c>
      <c r="LA6" s="224" t="s">
        <v>434</v>
      </c>
      <c r="LB6" s="227" t="s">
        <v>752</v>
      </c>
      <c r="LC6" s="162" t="s">
        <v>370</v>
      </c>
      <c r="LD6" s="162" t="s">
        <v>371</v>
      </c>
      <c r="LE6" s="162" t="s">
        <v>366</v>
      </c>
      <c r="LF6" s="163" t="s">
        <v>367</v>
      </c>
      <c r="LG6" s="224" t="s">
        <v>764</v>
      </c>
      <c r="LH6" s="227" t="s">
        <v>765</v>
      </c>
      <c r="LI6" s="162" t="s">
        <v>370</v>
      </c>
      <c r="LJ6" s="162" t="s">
        <v>371</v>
      </c>
      <c r="LK6" s="162" t="s">
        <v>366</v>
      </c>
      <c r="LL6" s="163" t="s">
        <v>367</v>
      </c>
      <c r="LM6" s="171" t="s">
        <v>500</v>
      </c>
      <c r="LN6" s="165" t="s">
        <v>501</v>
      </c>
      <c r="LO6" s="164" t="s">
        <v>683</v>
      </c>
      <c r="LP6" s="165" t="s">
        <v>502</v>
      </c>
      <c r="LQ6" s="165" t="s">
        <v>373</v>
      </c>
      <c r="LR6" s="162" t="s">
        <v>376</v>
      </c>
      <c r="LS6" s="162" t="s">
        <v>374</v>
      </c>
      <c r="LT6" s="163" t="s">
        <v>375</v>
      </c>
      <c r="LU6" s="11"/>
      <c r="LV6" s="11"/>
      <c r="LW6" s="231" t="s">
        <v>675</v>
      </c>
      <c r="LX6" s="255" t="s">
        <v>29</v>
      </c>
      <c r="LY6" s="232" t="s">
        <v>117</v>
      </c>
      <c r="LZ6" s="232" t="s">
        <v>166</v>
      </c>
      <c r="MA6" s="232" t="s">
        <v>125</v>
      </c>
      <c r="MB6" s="232" t="s">
        <v>742</v>
      </c>
      <c r="MC6" s="232" t="s">
        <v>122</v>
      </c>
      <c r="MD6" s="232" t="s">
        <v>745</v>
      </c>
      <c r="ME6" s="253" t="s">
        <v>672</v>
      </c>
      <c r="MF6" s="209" t="s">
        <v>342</v>
      </c>
      <c r="MG6" s="209" t="s">
        <v>673</v>
      </c>
      <c r="MH6" s="254" t="s">
        <v>342</v>
      </c>
      <c r="MI6" s="253" t="s">
        <v>672</v>
      </c>
      <c r="MJ6" s="209" t="s">
        <v>342</v>
      </c>
      <c r="MK6" s="209" t="s">
        <v>673</v>
      </c>
      <c r="ML6" s="254" t="s">
        <v>342</v>
      </c>
      <c r="MM6" s="253" t="s">
        <v>359</v>
      </c>
      <c r="MN6" s="254" t="s">
        <v>360</v>
      </c>
      <c r="MO6" s="253" t="s">
        <v>359</v>
      </c>
      <c r="MP6" s="254" t="s">
        <v>360</v>
      </c>
      <c r="MQ6" s="233" t="s">
        <v>674</v>
      </c>
      <c r="MR6" s="233" t="s">
        <v>367</v>
      </c>
      <c r="MS6" s="233" t="s">
        <v>374</v>
      </c>
      <c r="MT6" s="234" t="s">
        <v>375</v>
      </c>
      <c r="MU6" s="120" t="s">
        <v>314</v>
      </c>
      <c r="MV6" s="103" t="s">
        <v>315</v>
      </c>
      <c r="MW6" s="103" t="s">
        <v>754</v>
      </c>
      <c r="MX6" s="103" t="s">
        <v>755</v>
      </c>
      <c r="MY6" s="103" t="s">
        <v>756</v>
      </c>
      <c r="MZ6" s="103" t="s">
        <v>757</v>
      </c>
      <c r="NA6" s="103" t="s">
        <v>677</v>
      </c>
      <c r="NB6" s="104" t="s">
        <v>678</v>
      </c>
      <c r="NC6" s="120" t="s">
        <v>679</v>
      </c>
      <c r="ND6" s="103" t="s">
        <v>680</v>
      </c>
      <c r="NE6" s="103" t="s">
        <v>758</v>
      </c>
      <c r="NF6" s="103" t="s">
        <v>759</v>
      </c>
      <c r="NG6" s="103" t="s">
        <v>761</v>
      </c>
      <c r="NH6" s="103" t="s">
        <v>760</v>
      </c>
      <c r="NI6" s="103" t="s">
        <v>681</v>
      </c>
      <c r="NJ6" s="104" t="s">
        <v>682</v>
      </c>
      <c r="NK6" s="541" t="s">
        <v>983</v>
      </c>
      <c r="NL6" s="542" t="str">
        <f>"±"&amp;NK6</f>
        <v>±36Ar (cc/g)</v>
      </c>
      <c r="NM6" s="542" t="s">
        <v>984</v>
      </c>
      <c r="NN6" s="542" t="str">
        <f>"±"&amp;NM6</f>
        <v>±39Ar (cc/g)</v>
      </c>
      <c r="NO6" s="542" t="s">
        <v>985</v>
      </c>
      <c r="NP6" s="543" t="str">
        <f>"±"&amp;NO6</f>
        <v>±40Ar (cc/g)</v>
      </c>
      <c r="NQ6" s="542" t="s">
        <v>986</v>
      </c>
      <c r="NR6" s="542" t="str">
        <f>"±"&amp;NQ6</f>
        <v>±40Ar* (cc/g)</v>
      </c>
      <c r="NS6" s="542" t="s">
        <v>1006</v>
      </c>
      <c r="NT6" s="542" t="str">
        <f>"±"&amp;NS6</f>
        <v>±40Ar ini (cc/g)</v>
      </c>
      <c r="NU6" s="542" t="s">
        <v>998</v>
      </c>
      <c r="NV6" s="542" t="str">
        <f>"±"&amp;NU6</f>
        <v>±84Kr (cc/g)</v>
      </c>
      <c r="NW6" s="541" t="s">
        <v>1000</v>
      </c>
      <c r="NX6" s="542" t="str">
        <f>"±"&amp;NW6</f>
        <v>±130Xe (cc/g)</v>
      </c>
      <c r="NY6" s="542" t="s">
        <v>999</v>
      </c>
      <c r="NZ6" s="543" t="str">
        <f>"±"&amp;NY6</f>
        <v>±132Xe (cc/g)</v>
      </c>
      <c r="OA6" s="541" t="s">
        <v>988</v>
      </c>
      <c r="OB6" s="542" t="str">
        <f>"±"&amp;OA6</f>
        <v>±40Ar/36Ar</v>
      </c>
      <c r="OC6" s="541" t="s">
        <v>1007</v>
      </c>
      <c r="OD6" s="542" t="str">
        <f>"±"&amp;OC6</f>
        <v>±40Ar/36Ar ini</v>
      </c>
      <c r="OE6" s="541" t="s">
        <v>989</v>
      </c>
      <c r="OF6" s="542" t="str">
        <f>"±"&amp;OE6</f>
        <v>±84Kr/36Ar</v>
      </c>
      <c r="OG6" s="706" t="s">
        <v>1001</v>
      </c>
      <c r="OH6" s="706" t="str">
        <f>"±"&amp;OG6</f>
        <v>±130Xe/36Ar</v>
      </c>
      <c r="OI6" s="703" t="s">
        <v>990</v>
      </c>
      <c r="OJ6" s="704" t="str">
        <f>"±"&amp;OI6</f>
        <v>±132Xe/36Ar</v>
      </c>
      <c r="OK6" s="541" t="s">
        <v>992</v>
      </c>
      <c r="OL6" s="542" t="str">
        <f>"±"&amp;OK6</f>
        <v>±39Ar/40Ar</v>
      </c>
      <c r="OM6" s="542" t="s">
        <v>993</v>
      </c>
      <c r="ON6" s="542" t="str">
        <f>"±"&amp;OM6</f>
        <v>±36Ar/40Ar</v>
      </c>
      <c r="OO6" s="542" t="s">
        <v>994</v>
      </c>
      <c r="OP6" s="543" t="str">
        <f>"±"&amp;OO6</f>
        <v>±39Ar/36Ar</v>
      </c>
      <c r="OQ6" s="545" t="s">
        <v>18</v>
      </c>
      <c r="OR6" s="543" t="str">
        <f>"±"&amp;OQ6</f>
        <v>±J</v>
      </c>
    </row>
    <row r="7" spans="2:408">
      <c r="B7" s="245" t="s">
        <v>982</v>
      </c>
      <c r="C7" s="5">
        <v>1.0399999999999999E-3</v>
      </c>
      <c r="D7" s="66">
        <f t="shared" ref="D7" si="0">C7*0.5%</f>
        <v>5.1999999999999993E-6</v>
      </c>
      <c r="E7" s="67">
        <v>45111</v>
      </c>
      <c r="F7" s="5" t="s">
        <v>210</v>
      </c>
      <c r="G7" s="5" t="s">
        <v>893</v>
      </c>
      <c r="H7" s="5">
        <v>2</v>
      </c>
      <c r="J7" s="327">
        <v>44644</v>
      </c>
      <c r="K7" s="67" t="s">
        <v>823</v>
      </c>
      <c r="L7" s="5" t="s">
        <v>949</v>
      </c>
      <c r="M7" s="5" t="s">
        <v>952</v>
      </c>
      <c r="N7" s="5">
        <v>180</v>
      </c>
      <c r="O7" s="6">
        <v>2014.20198</v>
      </c>
      <c r="P7" s="6">
        <v>3.901475</v>
      </c>
      <c r="Q7" s="6">
        <v>2.9954589999999999</v>
      </c>
      <c r="R7" s="6">
        <v>5.9325000000000003E-2</v>
      </c>
      <c r="S7" s="6">
        <v>4.6380400000000002</v>
      </c>
      <c r="T7" s="6">
        <v>5.0083999999999997E-2</v>
      </c>
      <c r="U7" s="6">
        <v>0.107033</v>
      </c>
      <c r="V7" s="6">
        <v>3.3994999999999997E-2</v>
      </c>
      <c r="W7" s="6">
        <v>6.6996919999999998</v>
      </c>
      <c r="X7" s="6">
        <v>0.14288799999999999</v>
      </c>
      <c r="Y7" s="6">
        <v>111.780784</v>
      </c>
      <c r="Z7" s="6">
        <v>0.93037999999999998</v>
      </c>
      <c r="AA7" s="6">
        <v>0.50997800000000004</v>
      </c>
      <c r="AB7" s="6">
        <v>5.6688000000000002E-2</v>
      </c>
      <c r="AC7" s="6">
        <v>0.615151</v>
      </c>
      <c r="AD7" s="6">
        <v>0.10419399999999999</v>
      </c>
      <c r="AE7" s="6">
        <v>6.9062999999999999E-2</v>
      </c>
      <c r="AF7" s="6">
        <v>2.9732000000000001E-2</v>
      </c>
      <c r="AG7" s="6">
        <v>0.60286600000000001</v>
      </c>
      <c r="AH7" s="6">
        <v>8.0100000000000005E-2</v>
      </c>
      <c r="AI7" s="147">
        <f t="shared" ref="AI7:AI37" si="1">Ar40Raw-Ar40Blank</f>
        <v>1902.421196</v>
      </c>
      <c r="AJ7" s="147">
        <f t="shared" ref="AJ7:AJ37" si="2">SQRT(Ar40Blankerr^2+Ar40Rawerr^2)</f>
        <v>4.0108744832050025</v>
      </c>
      <c r="AK7" s="147">
        <f t="shared" ref="AK7:AK37" si="3">Ar39Raw-Ar39Blank</f>
        <v>2.4854810000000001</v>
      </c>
      <c r="AL7" s="147">
        <f t="shared" ref="AL7:AL37" si="4">SQRT(Ar39Blankerr^2+Ar39Rawerr^2)</f>
        <v>8.205476810642999E-2</v>
      </c>
      <c r="AM7" s="147">
        <f t="shared" ref="AM7:AM37" si="5">Ar38Raw-Ar38Blank</f>
        <v>4.0228890000000002</v>
      </c>
      <c r="AN7" s="147">
        <f t="shared" ref="AN7:AN37" si="6">SQRT(Ar38Blankerr^2+Ar38Rawerr^2)</f>
        <v>0.11560621389873468</v>
      </c>
      <c r="AO7" s="147">
        <f t="shared" ref="AO7:AO37" si="7">Ar37Raw-Ar37Blank</f>
        <v>3.7970000000000004E-2</v>
      </c>
      <c r="AP7" s="147">
        <f t="shared" ref="AP7:AP37" si="8">SQRT(Ar37Blankerr^2+Ar37Rawerr^2)</f>
        <v>4.5162504901743436E-2</v>
      </c>
      <c r="AQ7" s="147">
        <f t="shared" ref="AQ7:AQ37" si="9">Ar36Raw-Ar36Blank</f>
        <v>6.0968260000000001</v>
      </c>
      <c r="AR7" s="147">
        <f t="shared" ref="AR7:AR37" si="10">SQRT(Ar36Blankerr^2+Ar36Rawerr^2)</f>
        <v>0.16380778535832782</v>
      </c>
      <c r="AS7" s="4">
        <v>304.12046242532097</v>
      </c>
      <c r="AT7" s="4">
        <v>0.91447361557367624</v>
      </c>
      <c r="AU7" s="133">
        <f t="shared" ref="AU7:AU37" si="11">Ar39BC*(1+(Ar4036_Aircal/Ar4036_Air-1)/4)</f>
        <v>2.5036078998048636</v>
      </c>
      <c r="AV7" s="133">
        <f t="shared" ref="AV7:AV37" si="12">SQRT(Ar39BCerr^2+(Ar39BC*(Ar4036_Aircal/Ar4036_Air-1)/4)^2*((Ar4036_Aircalerr/Ar4036_Aircal)^2+(Ar39BCerr/Ar39BC)^2+(Ar4036_airerr/Ar4036_Air)^2))</f>
        <v>8.2056970611366284E-2</v>
      </c>
      <c r="AW7" s="133">
        <f t="shared" ref="AW7:AW37" si="13">Ar38BC*(1+2*(Ar4036_Aircal/Ar4036_Air-1)/4)</f>
        <v>4.0815677875900791</v>
      </c>
      <c r="AX7" s="133">
        <f t="shared" ref="AX7:AX37" si="14">SQRT(Ar38BCerr^2+(Ar38BC*(Ar4036_Aircal/Ar4036_Air-1)/4)^2*((Ar4036_Aircalerr/Ar4036_Aircal)^2+(Ar38BCerr/Ar38BC)^2+(Ar4036_airerr/Ar4036_Air)^2))</f>
        <v>0.1156093261365705</v>
      </c>
      <c r="AY7" s="133">
        <f t="shared" ref="AY7:AY37" si="15">Ar37BC*(1+3*(Ar4036_Aircal/Ar4036_Air-1)/4)</f>
        <v>3.8800758777384363E-2</v>
      </c>
      <c r="AZ7" s="133">
        <f t="shared" ref="AZ7:AZ37" si="16">SQRT(Ar37BCerr^2+(Ar37BC*(Ar4036_Aircal/Ar4036_Air-1)/3)^2*((Ar4036_Aircalerr/Ar4036_Aircal)^2+(Ar37BCerr/Ar37BC)^2+(Ar4036_airerr/Ar4036_Air)^2))</f>
        <v>4.5164640131040511E-2</v>
      </c>
      <c r="BA7" s="133">
        <f t="shared" ref="BA7:BA37" si="17">Ar36BC*(1+4*(Ar4036_Aircal/Ar4036_Air-1)/4)</f>
        <v>6.2746854228315394</v>
      </c>
      <c r="BB7" s="133">
        <f t="shared" ref="BB7:BB37" si="18">SQRT(Ar36BCerr^2+(Ar36BC*(Ar4036_Aircal/Ar4036_Air-1)/4)^2*((Ar4036_Aircalerr/Ar4036_Aircal)^2+(Ar36BCerr/Ar36BC)^2+(Ar4036_airerr/Ar4036_Air)^2))</f>
        <v>0.16381220293597287</v>
      </c>
      <c r="BC7" s="6"/>
      <c r="BD7" s="8"/>
      <c r="BE7" s="147">
        <v>2.1539999999999999</v>
      </c>
      <c r="BF7" s="147">
        <f>0.05*BE7</f>
        <v>0.1077</v>
      </c>
      <c r="BG7" s="147">
        <f>BE7*40.078/56.0774</f>
        <v>1.539443911450959</v>
      </c>
      <c r="BH7" s="147">
        <f>0.05*BG7</f>
        <v>7.6972195572547961E-2</v>
      </c>
      <c r="BI7" s="157">
        <f t="shared" ref="BI7:BI20" si="19">BG7/100*Sample_Mass/MW_Ca</f>
        <v>3.994565039693107E-7</v>
      </c>
      <c r="BJ7" s="157">
        <f>BI7*BH7/BG7</f>
        <v>1.9972825198465537E-8</v>
      </c>
      <c r="BK7" s="133">
        <f t="shared" ref="BK7:BK20" si="20">BI7*J*alpha/Ca_Constant/Ar_Sensitivity</f>
        <v>165.51182354345735</v>
      </c>
      <c r="BL7" s="133">
        <f>BK7*SQRT((BJ7/BI7)^2)</f>
        <v>8.2755911771728687</v>
      </c>
      <c r="BM7" s="133"/>
      <c r="BN7" s="133"/>
      <c r="BO7" s="143">
        <f>Ar40BC-(Salt_40Ar39Ar_K*Ar39_IC)</f>
        <v>1902.0951867355909</v>
      </c>
      <c r="BP7" s="133">
        <f>SQRT(Ar40BCerr^2+(Ar39_ICerr*Salt_40Ar39Ar_K)^2)</f>
        <v>4.0108887159405135</v>
      </c>
      <c r="BQ7" s="143">
        <f>AU7</f>
        <v>2.5036078998048636</v>
      </c>
      <c r="BR7" s="133">
        <f>AV7</f>
        <v>8.2056970611366284E-2</v>
      </c>
      <c r="BS7" s="143">
        <f>Ar38_DC-(Salt_38Ar39Ar_K*Ar39_DecayCor)</f>
        <v>4.0815677875900791</v>
      </c>
      <c r="BT7" s="133">
        <f>SQRT(Ar38_DCerr^2+(Ar39_DecayCorerr*Salt_38Ar39Ar_K)^2)</f>
        <v>0.1156093261365705</v>
      </c>
      <c r="BU7" s="147">
        <f>Ar36_DC-(Salt_36Ar37Ar_Ca*Ar37_DecayCor)</f>
        <v>6.2169500745693869</v>
      </c>
      <c r="BV7" s="147">
        <f t="shared" ref="BV7:BV37" si="21">SQRT(Ar36_DCerr^2+(Ar37_DecayCorerr*Salt_36Ar37Ar_Ca)^2)</f>
        <v>0.16383763687515071</v>
      </c>
      <c r="BX7" s="147">
        <f t="shared" ref="BX7:BX23" si="22">IF(Rad_Type="Continuous", BU7-((EXP(lambda_36Ar*(Run_Date-Rad_Date))-1)*Cl3638_PR*BZ7),BU7*Ar36_DecayFactor)</f>
        <v>6.2143168806257396</v>
      </c>
      <c r="BY7" s="147">
        <f t="shared" ref="BY7:BY23" si="23">IF(K:K="Continuous", SQRT(BV7^2+(((EXP(lambda_36Ar*(Run_Date-Rad_Date))-1)*Cl3638_PR)*CA7^2)), Ar36_ICerr*Ar36_DecayFactor)</f>
        <v>0.16383844058890457</v>
      </c>
      <c r="BZ7" s="143">
        <f t="shared" ref="BZ7:BZ23" si="24">IF(Rad_Type="Continuous", BS7-(Ar3836_Air*BU7)/(1-lambda_36Ar*(Run_Date-Rad_Date)),Ar38_IC-(Ar3836_Air*Ar36_IC)/Ar36_DecayFactor)</f>
        <v>2.9127778298945195</v>
      </c>
      <c r="CA7" s="147">
        <f t="shared" ref="CA7:CA23" si="25">IF(Rad_Type ="Continuous", SQRT(BT7^2*(((EXP(lambda_36Ar*(Run_Date-Rad_Date))-1*Ar3836_Air)*BV7^2))),SQRT(Ar38_ICerr^2*(((EXP(lambda_36Ar*(Ar36_DecayFactor))-1*Ar3836_Air)*Ar36_ICerr^2))))</f>
        <v>1.7068105739020335E-2</v>
      </c>
      <c r="CB7" s="143">
        <f t="shared" ref="CB7:CB37" si="26">Ar40_IC-(Ar36_ClCor*Ar4036_Air)</f>
        <v>65.76454851068479</v>
      </c>
      <c r="CC7" s="143">
        <f t="shared" ref="CC7:CC37" si="27">SQRT(Ar40_ICerr^2+(Ar36_ClCorerr*Ar4036_Air)^2)</f>
        <v>48.58011652515394</v>
      </c>
      <c r="CD7" s="3">
        <v>1.5903158759700325E-12</v>
      </c>
      <c r="CE7" s="3">
        <v>4.0102150310807229E-15</v>
      </c>
      <c r="CF7" s="157">
        <f t="shared" ref="CF7:CF37" si="28">Ar_Sensitivity*Ar36_ClCor</f>
        <v>9.8827267935676832E-12</v>
      </c>
      <c r="CG7" s="157">
        <f t="shared" ref="CG7:CG37" si="29">Ar36CC*SQRT((Ar36_ClCorerr/Ar36_ClCor)^2+(Ar_sensitivityerr/Ar_Sensitivity)^2)</f>
        <v>2.6174393127254724E-13</v>
      </c>
      <c r="CH7" s="157">
        <f t="shared" ref="CH7:CH37" si="30">Ar37_DecayCor*Ar_Sensitivity</f>
        <v>2.6321608064191083E-10</v>
      </c>
      <c r="CI7" s="158">
        <f t="shared" ref="CI7:CI37" si="31">Ar37CC*SQRT((Ar37_DecayCorerr/Ar37_DecayCor)^2+(Ar_sensitivityerr/Ar_Sensitivity)^2)</f>
        <v>1.3177530531450566E-11</v>
      </c>
      <c r="CJ7" s="157">
        <f t="shared" ref="CJ7:CJ37" si="32">Ar_Sensitivity*Ar38_Cl</f>
        <v>4.6322368260547933E-12</v>
      </c>
      <c r="CK7" s="477">
        <f t="shared" ref="CK7:CK37" si="33">Ar38CC*SQRT((Ar38_Clerr/Ar38_Cl)^2+(Ar_sensitivityerr/Ar_Sensitivity)^2)</f>
        <v>2.9550329198263189E-14</v>
      </c>
      <c r="CL7" s="157">
        <f t="shared" ref="CL7:CL37" si="34">Ar_Sensitivity*Ar39_IC</f>
        <v>3.981527390263665E-12</v>
      </c>
      <c r="CM7" s="157">
        <f t="shared" ref="CM7:CM37" si="35">Ar39CC*SQRT((Ar39_ICerr/Ar39_IC)^2+(Ar_sensitivityerr/Ar_Sensitivity)^2)</f>
        <v>1.308821570793014E-13</v>
      </c>
      <c r="CN7" s="157">
        <f t="shared" ref="CN7:CN37" si="36">Ar_Sensitivity*Ar40_IC</f>
        <v>3.0249321730717937E-9</v>
      </c>
      <c r="CO7" s="157">
        <f t="shared" ref="CO7:CO37" si="37">Ar40CC*SQRT((Ar40_ICerr/Ar40_IC)^2+(Ar_sensitivityerr/Ar_Sensitivity)^2)</f>
        <v>9.9433283683727207E-12</v>
      </c>
      <c r="CP7" s="157">
        <f t="shared" ref="CP7:CP37" si="38">Ar38CC/MV</f>
        <v>2.0666747030510685E-16</v>
      </c>
      <c r="CQ7" s="157">
        <f t="shared" ref="CQ7:CQ37" si="39">Ar38_mole*SQRT((Ar38CCerr/Ar38CC)^2+(MVerr/MV)^2)</f>
        <v>1.3183893735698206E-18</v>
      </c>
      <c r="CR7" s="157">
        <f t="shared" ref="CR7:CR37" si="40">Ar40CC/MV</f>
        <v>1.3495749538041485E-13</v>
      </c>
      <c r="CS7" s="157">
        <f t="shared" ref="CS7:CS37" si="41">Ar40_mole*SQRT((Ar40CCerrr/Ar40CC)^2+(MVerr/MV)^2)</f>
        <v>4.4362208355462476E-16</v>
      </c>
      <c r="CT7" s="66">
        <v>4.7397598342474798E-3</v>
      </c>
      <c r="CU7" s="66">
        <v>8.5277771370824708E-6</v>
      </c>
      <c r="CV7" s="3">
        <v>1.1611559367069784E+19</v>
      </c>
      <c r="CW7" s="60">
        <v>1.040942599512031E+18</v>
      </c>
      <c r="CX7" s="3">
        <v>8.6527210079182822E+17</v>
      </c>
      <c r="CY7" s="3">
        <v>8.9278178143800032E+16</v>
      </c>
      <c r="CZ7" s="6">
        <v>0.49865169925804054</v>
      </c>
      <c r="DA7" s="6">
        <v>2.7936431740382541E-2</v>
      </c>
      <c r="DB7" s="4">
        <v>24.337069265073254</v>
      </c>
      <c r="DC7" s="4">
        <v>0.74264427477540718</v>
      </c>
      <c r="DD7" s="157">
        <f t="shared" ref="DD7:DD37" si="42">K_constant*Ar39CC/J</f>
        <v>3.0886871976425989E-9</v>
      </c>
      <c r="DE7" s="157">
        <f t="shared" ref="DE7:DE37" si="43">K_mole*SQRT((Ar39ccerr/Ar39CC)^2+(Jerr/J)^2+(K_Constanterr/K_constant)^2)</f>
        <v>1.0553271515310841E-10</v>
      </c>
      <c r="DF7" s="147">
        <f t="shared" ref="DF7:DF37" si="44">K_mole*MW_K/Sample_Mass*10^6</f>
        <v>116.11771024960542</v>
      </c>
      <c r="DG7" s="147">
        <f t="shared" ref="DG7:DG37" si="45">K_ppm*SQRT((Sample_Masserr/Sample_Mass)^2+(MW_Kerr/MW_K)^2+(K_moleerr/K_mole)^2)</f>
        <v>4.009707716734777</v>
      </c>
      <c r="DH7" s="159">
        <f t="shared" ref="DH7:DH37" si="46">K_ppm/10^4</f>
        <v>1.1611771024960542E-2</v>
      </c>
      <c r="DI7" s="167">
        <f t="shared" ref="DI7:DI37" si="47">K_ppmerr/10^4</f>
        <v>4.0097077167347773E-4</v>
      </c>
      <c r="DJ7" s="157">
        <f t="shared" ref="DJ7:DJ37" si="48">Cl_Constant*Ar38CC/(J*Beta)</f>
        <v>1.6283643319242429E-10</v>
      </c>
      <c r="DK7" s="157">
        <f t="shared" ref="DK7:DK37" si="49">Cl_mole*SQRT((Ar38CCerr/Ar38CC)^2+(Jerr/J)^2+(Betaerr/Beta)^2+(Cl_Constanterr/Cl_Constant)^2)</f>
        <v>5.2982771545067024E-12</v>
      </c>
      <c r="DL7" s="147">
        <f t="shared" ref="DL7:DL37" si="50">Cl_mole*MW_Cl/Sample_Mass*10^6</f>
        <v>5.5510000634336718</v>
      </c>
      <c r="DM7" s="133">
        <f t="shared" ref="DM7:DM37" si="51">Cl_ppm*SQRT((Sample_Masserr/Sample_Mass)^2+(MW_Clerr/MW_Cl)^2+(Cl_moleerr/Cl_mole)^2)</f>
        <v>0.18273531582035157</v>
      </c>
      <c r="DN7" s="159">
        <f t="shared" ref="DN7:DN37" si="52">Cl_ppm/10^4</f>
        <v>5.5510000634336723E-4</v>
      </c>
      <c r="DO7" s="167">
        <f t="shared" ref="DO7:DO37" si="53">Cl_ppmerr/10^4</f>
        <v>1.8273531582035158E-5</v>
      </c>
      <c r="DP7" s="157">
        <f t="shared" ref="DP7:DP37" si="54">Ca_Constant*Ar37CC/(J*alpha)</f>
        <v>3.994565039693107E-7</v>
      </c>
      <c r="DQ7" s="157">
        <f t="shared" ref="DQ7:DQ37" si="55">Ca_mole*SQRT((Ar37CCerr/Ar37CC)^2+(Jerr/J)^2+(alphaerr/alpha)^2+(Ca_Constanterr/Ca_Constant)^2)</f>
        <v>3.0242516346335751E-8</v>
      </c>
      <c r="DR7" s="143">
        <f t="shared" ref="DR7:DR37" si="56">Ca_mole*MW_Ca/Sample_Mass*10^6</f>
        <v>15394.439114509589</v>
      </c>
      <c r="DS7" s="143">
        <f t="shared" ref="DS7:DS37" si="57">Ca_ppm*SQRT((Sample_Masserr/Sample_Mass)^2+(MW_Caerr/MW_Ca)^2+(Ca_moleerr/Ca_mole)^2)</f>
        <v>1168.0400048640599</v>
      </c>
      <c r="DT7" s="147">
        <f t="shared" ref="DT7:DT37" si="58">Ca_ppm/10^4</f>
        <v>1.5394439114509588</v>
      </c>
      <c r="DU7" s="147">
        <f t="shared" ref="DU7:DU37" si="59">Ca_ppmerr/10^4</f>
        <v>0.11680400048640599</v>
      </c>
      <c r="DV7" s="133">
        <f t="shared" ref="DV7:DV37" si="60">K_mole/Cl_mole</f>
        <v>18.968035206179493</v>
      </c>
      <c r="DW7" s="133">
        <f t="shared" ref="DW7:DW37" si="61">KCl_mol*SQRT(K_moleerr/K_mole)^2+(Cl_moleerr/Cl_mole)^2</f>
        <v>0.64914899780857294</v>
      </c>
      <c r="DX7" s="133">
        <f t="shared" ref="DX7:DX37" si="62">K_mole/Ca_mole</f>
        <v>7.7322240768419063E-3</v>
      </c>
      <c r="DY7" s="133">
        <f t="shared" ref="DY7:DY37" si="63">KCa_mol*SQRT(K_moleerr/K_mole)^2+(Ca_moleerr/Ca_mole)^2</f>
        <v>5.9960676526058711E-3</v>
      </c>
      <c r="DZ7" s="133">
        <f t="shared" ref="DZ7:DZ37" si="64">K_ppm/Cl_ppm</f>
        <v>20.918340645411327</v>
      </c>
      <c r="EA7" s="133">
        <f t="shared" ref="EA7:EA37" si="65">KCl_wt*SQRT(K_ppmerr/K_ppm)^2+(Cl_ppmerr/Cl_ppm)^2</f>
        <v>0.72342338294472808</v>
      </c>
      <c r="EB7" s="133">
        <f t="shared" ref="EB7:EB37" si="66">K_ppm/Ca_ppm</f>
        <v>7.5428347460975041E-3</v>
      </c>
      <c r="EC7" s="133">
        <f t="shared" ref="EC7:EC37" si="67">KCa_wt*SQRT(K_ppmerr/K_ppm)^2+(Ca_ppmerr/Ca_ppm)^2</f>
        <v>6.0173515421090128E-3</v>
      </c>
      <c r="ED7" s="157">
        <f t="shared" ref="ED7:ED37" si="68">Ar40_mole/Cl_mole</f>
        <v>8.2879176812313969E-4</v>
      </c>
      <c r="EE7" s="157">
        <f t="shared" ref="EE7:EE37" si="69">Ar40Cl_mol*SQRT((Ar40_moleerr/Ar40_mole)^2+(Cl_moleerr/Cl_mole)^2)</f>
        <v>2.7104009798060116E-5</v>
      </c>
      <c r="EF7" s="147">
        <f t="shared" ref="EF7:EF37" si="70">Ar40AC/Ar39_IC</f>
        <v>26.267910608450553</v>
      </c>
      <c r="EG7" s="147">
        <f t="shared" ref="EG7:EG37" si="71">Ar40Ar39*SQRT((Ar40ACerr/Ar40AC)^2+(Ar39_ICerr/Ar39_IC)^2)</f>
        <v>19.423133808248437</v>
      </c>
      <c r="EH7" s="157">
        <f t="shared" ref="EH7:EH37" si="72">(Ar40CC/MV)/K_mole</f>
        <v>4.3694128522765088E-5</v>
      </c>
      <c r="EI7" s="157">
        <f t="shared" ref="EI7:EI37" si="73">Ar40K*SQRT((Ar40CCerrr/Ar40CC)^2+(K_moleerr/K_mole)^2+(MVerr/MV)^2)</f>
        <v>1.4998121094343102E-6</v>
      </c>
      <c r="EJ7" s="143">
        <f t="shared" ref="EJ7:EJ37" si="74">IF(Ar40Ar39&gt;0,(1/lambda/10^6)*LN(1+(J*Ar40Ar39)),"")</f>
        <v>211.4569358392578</v>
      </c>
      <c r="EK7" s="143">
        <f t="shared" ref="EK7:EK37" si="75">IF(Age="","",SQRT((J^2*Ar40Ar39^2*((Ar40Ar39err/Ar40Ar39*100)^2))/(Age^2*0.00055305^2*((1+Ar40Ar39*J)^2)))*Age/100)</f>
        <v>148.030224029762</v>
      </c>
      <c r="EL7" s="143">
        <f t="shared" ref="EL7:EL37" si="76">IF(Age="","",SQRT((J^2*Ar40Ar39^2*((Ar40Ar39err/Ar40Ar39*100)^2+(Jerr/J*100)^2))/(Age^2*0.00055305^2*((1+Ar40Ar39*J)^2)))*Age/100)</f>
        <v>148.03066224878333</v>
      </c>
      <c r="EM7" s="133">
        <f t="shared" ref="EM7:EM37" si="77">IF(Ar40Ar39&gt;0,(1/lambda/10^6)*LN(1+(J*Ar40Ar39)),"")</f>
        <v>211.4569358392578</v>
      </c>
      <c r="EN7" s="133">
        <f t="shared" ref="EN7:EN37" si="78">IF(Age="","",SQRT((J^2*Ar40Ar39^2*((Ar40Ar39err/Ar40Ar39*100)^2))/(Age^2*0.00055305^2*((1+Ar40Ar39*J)^2)))*Age/100)</f>
        <v>148.030224029762</v>
      </c>
      <c r="EO7" s="133">
        <f t="shared" ref="EO7:EO37" si="79">IF(Age="","",SQRT((J^2*Ar40Ar39^2*((Ar40Ar39err/Ar40Ar39*100)^2+(Jerr/J*100)^2))/(Age^2*0.00055305^2*((1+Ar40Ar39*J)^2)))*Age/100)</f>
        <v>148.03066224878333</v>
      </c>
      <c r="EP7" s="501">
        <f>CL7/$CL$7</f>
        <v>1</v>
      </c>
      <c r="EQ7" s="143">
        <f t="shared" ref="EQ7:ER10" si="80">EM7</f>
        <v>211.4569358392578</v>
      </c>
      <c r="ER7" s="143">
        <f t="shared" si="80"/>
        <v>148.030224029762</v>
      </c>
      <c r="ES7" s="147">
        <f t="shared" ref="ES7:ES37" si="81">Ar39_IC/Ar36_ClCor</f>
        <v>0.40287741161225871</v>
      </c>
      <c r="ET7" s="147">
        <f t="shared" ref="ET7:ET37" si="82">ES7*SQRT((Ar40_ICerr/Ar40_IC)^2+(Ar36_ClCorerr/Ar36_ClCor)^2)</f>
        <v>1.0655650845727204E-2</v>
      </c>
      <c r="EU7" s="143">
        <f t="shared" ref="EU7:EU37" si="83">Ar40_IC/Ar36_ClCor</f>
        <v>306.08274783439475</v>
      </c>
      <c r="EV7" s="143">
        <f t="shared" ref="EV7:EV37" si="84">EU7*SQRT((Ar40_ICerr/Ar40_IC)^2+(Ar36_ClCorerr/Ar36_ClCor)^2)</f>
        <v>8.0955417127308458</v>
      </c>
      <c r="EW7" s="157">
        <f t="shared" ref="EW7:EW37" si="85">Ar39_IC/Ar40_IC</f>
        <v>1.316236914568718E-3</v>
      </c>
      <c r="EX7" s="157">
        <f t="shared" ref="EX7:EX37" si="86">EW7*SQRT((Ar40_ICerr/Ar40_IC)^2+(Ar39_ICerr/Ar39_IC)^2)</f>
        <v>4.3229498552193136E-5</v>
      </c>
      <c r="EY7" s="157">
        <f t="shared" ref="EY7:EY37" si="87">Ar36_ClCor/Ar40_IC</f>
        <v>3.2670903769494624E-3</v>
      </c>
      <c r="EZ7" s="157">
        <f t="shared" ref="EZ7:EZ37" si="88">EY7*SQRT((Ar40_ICerr/Ar40_IC)^2+(Ar36_ClCorerr/Ar36_ClCor)^2)</f>
        <v>8.6410836981135584E-5</v>
      </c>
      <c r="FA7" s="66">
        <v>0.72097900000000004</v>
      </c>
      <c r="FB7" s="66">
        <v>4.2519999999999997E-3</v>
      </c>
      <c r="FC7" s="66">
        <v>0.25356299999999998</v>
      </c>
      <c r="FD7" s="66">
        <v>3.532E-3</v>
      </c>
      <c r="FE7" s="66">
        <v>0.15312500000000001</v>
      </c>
      <c r="FF7" s="66">
        <v>3.947E-3</v>
      </c>
      <c r="FI7" s="66">
        <v>6.8432000000000007E-2</v>
      </c>
      <c r="FJ7" s="66">
        <v>3.163E-3</v>
      </c>
      <c r="FK7" s="66">
        <v>2.6402999999999999E-2</v>
      </c>
      <c r="FL7" s="66">
        <v>1.3209999999999999E-3</v>
      </c>
      <c r="FM7" s="66">
        <v>1.1461000000000001E-2</v>
      </c>
      <c r="FN7" s="66">
        <v>1.049E-3</v>
      </c>
      <c r="FQ7" s="159">
        <f t="shared" ref="FQ7:FQ37" si="89">Kr80Raw-Kr80Blank</f>
        <v>0.65254699999999999</v>
      </c>
      <c r="FR7" s="159">
        <f t="shared" ref="FR7:FR37" si="90">SQRT(Kr80Rawerr^2+Kr80Blankerr^2)</f>
        <v>5.2994408195582293E-3</v>
      </c>
      <c r="FS7" s="159">
        <f t="shared" ref="FS7:FS37" si="91">Kr82Raw-Kr82Blank</f>
        <v>0.22715999999999997</v>
      </c>
      <c r="FT7" s="159">
        <f t="shared" ref="FT7:FT37" si="92">SQRT(Kr82Rawerr^2+Kr82Blankerr^2)</f>
        <v>4.9950023023017714E-3</v>
      </c>
      <c r="FU7" s="159">
        <f t="shared" ref="FU7:FU37" si="93">Kr84Raw-Kr84Blank</f>
        <v>0.14166400000000001</v>
      </c>
      <c r="FV7" s="159">
        <f t="shared" ref="FV7:FV37" si="94">SQRT(Kr84Rawerr^2+Kr84Blankerr^2)</f>
        <v>4.0840188540211221E-3</v>
      </c>
      <c r="FW7" s="159">
        <f t="shared" ref="FW7:FW37" si="95">Kr86Raw-Kr86Blank</f>
        <v>0</v>
      </c>
      <c r="FX7" s="159">
        <f t="shared" ref="FX7:FX37" si="96">SQRT(Kr86Rawerr^2+Kr86Blankerr^2)</f>
        <v>0</v>
      </c>
      <c r="FY7" s="159">
        <f t="shared" ref="FY7:FY37" si="97">Kr84BC-((Y86Kr*Kr8684_nf)/(Y134Xe*Xe134136_nf)*Xe134BC)</f>
        <v>0.1407099981988732</v>
      </c>
      <c r="FZ7" s="159">
        <f t="shared" ref="FZ7:FZ37" si="98">Kr84U*SQRT((Kr84BCerr/Kr84BC)^2+(Y86Kr_err/Y86Kr)^2+(Kr8684_nferr/Kr8684_nf)^2+(Y134Xeerr/Y134Xe)^2+(Xe134136_nferr/Xe134136_nf)^2+(Xe134BCerr/Xe134BC)^2)</f>
        <v>1.847340252288758E-2</v>
      </c>
      <c r="GA7" s="159">
        <f t="shared" ref="GA7:GA37" si="99">Kr80BC-(Kr84U*Kr8084_Air)</f>
        <v>0.64697488407132464</v>
      </c>
      <c r="GB7" s="159">
        <f t="shared" ref="GB7:GB37" si="100">SQRT(Kr80BCerr^2+(Kr84Uerr*Kr8084_Air)^2)</f>
        <v>5.3496947233153038E-3</v>
      </c>
      <c r="GC7" s="159">
        <f t="shared" ref="GC7:GC37" si="101">Kr82BC-(Kr84U*Kr8284_Air)</f>
        <v>0.19870843836418781</v>
      </c>
      <c r="GD7" s="159">
        <f t="shared" ref="GD7:GD37" si="102">SQRT(Kr82BCerr^2+(Kr84Uerr*Kr8284_Air)^2)</f>
        <v>6.237201164779986E-3</v>
      </c>
      <c r="GE7" s="159">
        <f t="shared" ref="GE7:GE37" si="103">Kr86BC-(Kr84U*Kr8684_Air)</f>
        <v>-4.2944691450296106E-2</v>
      </c>
      <c r="GF7" s="159">
        <f t="shared" ref="GF7:GF37" si="104">SQRT(Kr86BCerr^2+(Kr84Uerr*Kr8684_Air)^2)</f>
        <v>5.6380824499852903E-3</v>
      </c>
      <c r="GG7" s="3">
        <v>1.7782159136499011E-12</v>
      </c>
      <c r="GH7" s="3">
        <v>7.5535622364420377E-15</v>
      </c>
      <c r="GI7" s="6">
        <v>1</v>
      </c>
      <c r="GJ7" s="6">
        <v>5.0000000000000001E-3</v>
      </c>
      <c r="GK7" s="157">
        <f t="shared" ref="GK7:GK37" si="105">(Kr80AC*Kr_sensitivity)/YKr</f>
        <v>1.1504610345874293E-12</v>
      </c>
      <c r="GL7" s="157">
        <f t="shared" ref="GL7:GL37" si="106">Kr80cc*SQRT((Kr_sensitivityerr/Kr_sensitivity)^2+(YKrerr/YKr)^2+(Kr80ACerr/Kr80AC)^2)</f>
        <v>1.2143596768047012E-14</v>
      </c>
      <c r="GM7" s="157">
        <f t="shared" ref="GM7:GM37" si="107">(Kr82AC*Kr_sensitivity)/YKr</f>
        <v>3.5334650727571926E-13</v>
      </c>
      <c r="GN7" s="157">
        <f t="shared" ref="GN7:GN37" si="108">Kr82cc*SQRT((Kr_sensitivityerr/Kr_sensitivity)^2+(YKrerr/YKr)^2+(Kr82ACerr/Kr82AC)^2)</f>
        <v>1.1330776671796488E-14</v>
      </c>
      <c r="GO7" s="157">
        <f t="shared" ref="GO7:GO37" si="109">(Kr84U*Kr_sensitivity)/YKr</f>
        <v>2.5021275800688525E-13</v>
      </c>
      <c r="GP7" s="157">
        <f t="shared" ref="GP7:GP37" si="110">Kr84cc*SQRT((Kr_sensitivityerr/Kr_sensitivity)^2+(YKrerr/YKr)^2+(Kr84Uerr/Kr84U)^2)</f>
        <v>3.2890690431316359E-14</v>
      </c>
      <c r="GQ7" s="157">
        <f t="shared" ref="GQ7:GQ37" si="111">(Kr86AC*Kr_sensitivity)/YKr</f>
        <v>-7.6364933743701387E-14</v>
      </c>
      <c r="GR7" s="157">
        <f t="shared" ref="GR7:GR37" si="112">Kr86cc*SQRT((Kr_sensitivityerr/Kr_sensitivity)^2+(YKrerr/YKr)^2+(Kr86ACerr/Kr86AC)^2)</f>
        <v>-1.0038238719637754E-14</v>
      </c>
      <c r="GS7" s="157">
        <f t="shared" ref="GS7:GS37" si="113">Kr80cc/MV</f>
        <v>5.1327874767853595E-17</v>
      </c>
      <c r="GT7" s="157">
        <f t="shared" ref="GT7:GT37" si="114">Kr80_mole*SQRT((MVerr/MV)^2+(Kr80ccerr/Kr80cc)^2)</f>
        <v>5.4178715866383949E-19</v>
      </c>
      <c r="GU7" s="157">
        <f t="shared" ref="GU7:GU37" si="115">Kr82cc/MV</f>
        <v>1.5764571532499218E-17</v>
      </c>
      <c r="GV7" s="157">
        <f t="shared" ref="GV7:GV37" si="116">Kr82_mole*SQRT((MVerr/MV)^2+(Kr82ccerr/Kr82cc)^2)</f>
        <v>5.0552314997454952E-19</v>
      </c>
      <c r="GW7" s="157">
        <f t="shared" ref="GW7:GW37" si="117">Kr84cc/MV</f>
        <v>1.1163254314738521E-17</v>
      </c>
      <c r="GX7" s="157">
        <f t="shared" ref="GX7:GX37" si="118">Kr84_mole*SQRT((MVerr/MV)^2+(Kr84ccerr/Kr84cc)^2)</f>
        <v>1.4674197463008332E-18</v>
      </c>
      <c r="GY7" s="147">
        <f t="shared" ref="GY7:GY37" si="119">Kr80_mole/Kr82_mole</f>
        <v>3.2559004005937857</v>
      </c>
      <c r="GZ7" s="147">
        <f t="shared" ref="GZ7:GZ37" si="120">Kr8082_mole*SQRT(Kr80_moleerr/Kr80_mole)^2+(Kr82_moleerr/Kr82_mole)^2</f>
        <v>3.5395683841760534E-2</v>
      </c>
      <c r="HA7" s="4">
        <v>26.169770272470505</v>
      </c>
      <c r="HB7" s="4">
        <v>0.31897682079735262</v>
      </c>
      <c r="HC7" s="228">
        <f t="shared" ref="HC7:HC37" si="121">Pi*(Ar38_mole/Kr80_mole)</f>
        <v>105.37042971560058</v>
      </c>
      <c r="HD7" s="228">
        <f t="shared" ref="HD7:HD37" si="122">Cl_79Br*SQRT((Pi_err/Pi)^2+(Ar38_moleerr/Ar38_mole)^2+(Kr80_moleerr/Kr80_mole)^2)</f>
        <v>1.8271296210869035</v>
      </c>
      <c r="HE7" s="239">
        <f t="shared" ref="HE7:HE36" si="123">(Cl_mole/Cl_79Br)/(MW_Br/MW_Cl)</f>
        <v>6.8567339679833412E-13</v>
      </c>
      <c r="HF7" s="229">
        <f t="shared" ref="HF7:HF37" si="124">(Br79mole_SC*SQRT((Cl_moleerr/Cl_mole)^2+(Cl_79Brerr/Cl_79Br)^2))</f>
        <v>2.5280447030155087E-14</v>
      </c>
      <c r="HG7" s="362">
        <f t="shared" ref="HG7:HG36" si="125">(Cl_ppm/Cl_79Br)*10^3</f>
        <v>52.680814517090468</v>
      </c>
      <c r="HH7" s="362">
        <f t="shared" ref="HH7:HH37" si="126">Br79ppb_SC*SQRT((Cl_ppmerr/Cl_ppm)^2+(Cl_79Brerr/Cl_79Br)^2)</f>
        <v>1.960095401453289</v>
      </c>
      <c r="HI7" s="4">
        <v>7.5091582159801362</v>
      </c>
      <c r="HJ7" s="4">
        <v>0.11482994255839375</v>
      </c>
      <c r="HK7" s="228">
        <f t="shared" ref="HK7:HK37" si="127">Pi_prime*(Ar38_mole/Kr82_mole)</f>
        <v>98.442176459926614</v>
      </c>
      <c r="HL7" s="228">
        <f t="shared" ref="HL7:HL37" si="128">Cl_81Br*SQRT((Pi_primeerr/Pi_prime)^2+(Ar38_moleerr/Ar38_mole)^2+(Kr82_moleerr/Kr82_mole)^2)</f>
        <v>3.5532513749523602</v>
      </c>
      <c r="HM7" s="239">
        <f t="shared" ref="HM7:HM37" si="129">(Cl_mole/Cl_81Br)/(MW_Br/MW_Cl)</f>
        <v>7.3393034432357411E-13</v>
      </c>
      <c r="HN7" s="229">
        <f t="shared" ref="HN7:HN37" si="130">(Br81mole_SC*SQRT((Cl_moleerr/Cl_mole)^2+(Cl_79Brerr/Cl_79Br)^2))</f>
        <v>2.7059657382263307E-14</v>
      </c>
      <c r="HO7" s="362">
        <f t="shared" ref="HO7:HO37" si="131">(Cl_ppm/Cl_81Br)*10^3</f>
        <v>56.388432916183511</v>
      </c>
      <c r="HP7" s="362">
        <f t="shared" ref="HP7:HP37" si="132">(Br81ppb_SC*SQRT((Cl_ppmerr/Cl_ppm)^2+(Cl_81Brerr/Cl_81Br)^2))</f>
        <v>2.7546882015883876</v>
      </c>
      <c r="HQ7" s="6">
        <v>1.1161311691222588</v>
      </c>
      <c r="HR7" s="6">
        <v>3.5153924948669417E-2</v>
      </c>
      <c r="HS7" s="6">
        <f t="shared" ref="HS7:HS37" si="133">(Kr80_mole/Br79_FactorSW)/(Y_79Br*Br79_Abun*(Therm_CS_79Br*Therm_Flux))*(MW_Br/Sample_Mass*10^9)</f>
        <v>60.112276310817606</v>
      </c>
      <c r="HT7" s="6">
        <f t="shared" ref="HT7:HT37" si="134">Br79ppb_SW*SQRT((Kr80_moleerr/Kr80_mole)^2+(Sample_Masserr/Sample_Mass)^2+(Br79Factor_SWerr/Br79_FactorSW)^2+(Therm_CS_79Brerr/Therm_CS_79Br)^2+(Br79_Abunerr/Br79_Abun)^2+(Therm_Fluxerr/Therm_Flux)^2)</f>
        <v>5.7620115134675665</v>
      </c>
      <c r="HU7" s="6">
        <v>1.1161311691222588</v>
      </c>
      <c r="HV7" s="6">
        <v>3.5153924948669417E-2</v>
      </c>
      <c r="HW7" s="6">
        <f t="shared" ref="HW7:HW37" si="135">(Kr82_mole/Br81_FactorSW)/(Y_81Br*Br81_Abun*(Therm_CS_81Br*Therm_Flux))*(MW_Br/Sample_Mass*10^9)</f>
        <v>80.309063950350776</v>
      </c>
      <c r="HX7" s="6">
        <f t="shared" ref="HX7:HX37" si="136">Br81ppb_SW*SQRT((Kr82_moleerr/Kr82_mole)^2+(Sample_Masserr/Sample_Mass)^2+(Br81_FactorSWerr/Br81_FactorSW)^2+(Therm_CS_81Brerr/Therm_CS_81Br)^2+(Br81_Abunerr/Br81_Abun)^2+(Therm_Fluxerr/Therm_Flux)^2)</f>
        <v>8.1288946106774045</v>
      </c>
      <c r="HY7" s="3">
        <v>0.20605499999999999</v>
      </c>
      <c r="HZ7" s="3">
        <v>2.0699999999999998E-3</v>
      </c>
      <c r="IA7" s="3">
        <v>1.0109E-2</v>
      </c>
      <c r="IB7" s="3">
        <v>7.2900000000000005E-4</v>
      </c>
      <c r="IC7" s="3">
        <v>1.7110000000000001E-3</v>
      </c>
      <c r="ID7" s="3">
        <v>1.15E-4</v>
      </c>
      <c r="IE7" s="3">
        <v>0.173095</v>
      </c>
      <c r="IF7" s="3">
        <v>3.2680000000000001E-3</v>
      </c>
      <c r="IG7" s="3">
        <v>1.3302E-2</v>
      </c>
      <c r="IH7" s="3">
        <v>8.7799999999999998E-4</v>
      </c>
      <c r="II7" s="3">
        <v>8.4480000000000006E-3</v>
      </c>
      <c r="IJ7" s="3">
        <v>6.5700000000000003E-4</v>
      </c>
      <c r="IK7" s="3">
        <v>9.5219999999999992E-3</v>
      </c>
      <c r="IL7" s="3">
        <v>7.7899999999999996E-4</v>
      </c>
      <c r="IM7" s="3">
        <v>6.7200000000000003E-3</v>
      </c>
      <c r="IN7" s="3">
        <v>3.9199999999999999E-4</v>
      </c>
      <c r="IO7" s="3">
        <v>1.1869999999999999E-3</v>
      </c>
      <c r="IP7" s="3">
        <v>3.19E-4</v>
      </c>
      <c r="IQ7" s="3">
        <v>2.9999999999999997E-4</v>
      </c>
      <c r="IR7" s="3">
        <v>6.9999999999999994E-5</v>
      </c>
      <c r="IS7" s="3">
        <v>2.3379999999999998E-3</v>
      </c>
      <c r="IT7" s="3">
        <v>2.5700000000000001E-4</v>
      </c>
      <c r="IU7" s="3">
        <v>1.3569999999999999E-3</v>
      </c>
      <c r="IV7" s="3">
        <v>2.8899999999999998E-4</v>
      </c>
      <c r="IW7" s="3">
        <v>9.0799999999999995E-4</v>
      </c>
      <c r="IX7" s="3">
        <v>2.3900000000000001E-4</v>
      </c>
      <c r="IY7" s="3">
        <v>6.4999999999999997E-4</v>
      </c>
      <c r="IZ7" s="3">
        <v>1.83E-4</v>
      </c>
      <c r="JA7" s="157">
        <f t="shared" ref="JA7:JA37" si="137">Xe128Raw-Xe128Blank</f>
        <v>0.19933499999999998</v>
      </c>
      <c r="JB7" s="157">
        <f t="shared" ref="JB7:JB37" si="138">SQRT(Xe128Rawerr^2+Xe128Blankerr^2)</f>
        <v>2.1067899752941674E-3</v>
      </c>
      <c r="JC7" s="157">
        <f t="shared" ref="JC7:JC37" si="139">Xe129Raw-Xe129Blank</f>
        <v>8.9219999999999994E-3</v>
      </c>
      <c r="JD7" s="157">
        <f t="shared" ref="JD7:JD37" si="140">SQRT(Xe129Rawerr^2+Xe129Blankerr^2)</f>
        <v>7.9573990725613356E-4</v>
      </c>
      <c r="JE7" s="157">
        <f t="shared" ref="JE7:JE37" si="141">Xe130Raw-Xe130Blank</f>
        <v>1.4110000000000001E-3</v>
      </c>
      <c r="JF7" s="157">
        <f t="shared" ref="JF7:JF37" si="142">SQRT(Xe130Rawerr^2+Xe130Blankerr^2)</f>
        <v>1.3462912017836258E-4</v>
      </c>
      <c r="JG7" s="157">
        <f t="shared" ref="JG7:JG37" si="143">Xe131Raw-Xe131Blank</f>
        <v>0.17075699999999999</v>
      </c>
      <c r="JH7" s="157">
        <f t="shared" ref="JH7:JH37" si="144">SQRT(Xe131Rawerr^2+Xe131Blankerr^2)</f>
        <v>3.2780898401355632E-3</v>
      </c>
      <c r="JI7" s="157">
        <f t="shared" ref="JI7:JI37" si="145">Xe132Raw-Xe132Blank</f>
        <v>1.1944999999999999E-2</v>
      </c>
      <c r="JJ7" s="157">
        <f t="shared" ref="JJ7:JJ37" si="146">SQRT(Xe132Rawerr^2+Xe132Blankerr^2)</f>
        <v>9.2434030529886556E-4</v>
      </c>
      <c r="JK7" s="157">
        <f t="shared" ref="JK7:JK37" si="147">Xe134Raw-Xe134Blank</f>
        <v>7.5400000000000007E-3</v>
      </c>
      <c r="JL7" s="157">
        <f t="shared" ref="JL7:JL37" si="148">SQRT(Xe134Rawerr^2+Xe134Blankerr^2)</f>
        <v>6.9912087652994608E-4</v>
      </c>
      <c r="JM7" s="157">
        <f t="shared" ref="JM7:JM37" si="149">Xe136Raw-Xe136Blank</f>
        <v>8.8719999999999997E-3</v>
      </c>
      <c r="JN7" s="157">
        <f t="shared" ref="JN7:JN37" si="150">SQRT(Xe136Rawerr^2+Xe136Blankerr^2)</f>
        <v>8.0020622341993807E-4</v>
      </c>
      <c r="JO7" s="157">
        <f t="shared" ref="JO7:JO23" si="151">Xe128BC-(Xe130BC*Xe128130_Air)</f>
        <v>0.19866957463643498</v>
      </c>
      <c r="JP7" s="157">
        <f t="shared" ref="JP7:JP23" si="152">SQRT(Xe128BCerr^2+(Xe130BCerr*Xe128130_Air)^2)</f>
        <v>2.1077464486516581E-3</v>
      </c>
      <c r="JQ7" s="157">
        <f t="shared" ref="JQ7:JQ23" si="153">Xe129BC-(Xe130BC*Xe129130_Air)</f>
        <v>-2.3924834845800123E-4</v>
      </c>
      <c r="JR7" s="157">
        <f t="shared" ref="JR7:JR23" si="154">SQRT(Xe129BCerr^2+(Xe130BCerr*Xe129130_Air)^2)</f>
        <v>1.1820627175229768E-3</v>
      </c>
      <c r="JS7" s="157">
        <f t="shared" ref="JS7:JS23" si="155">Xe131BC-(Xe130BC*Xe131130_Air)</f>
        <v>0.16340377014542598</v>
      </c>
      <c r="JT7" s="157">
        <f t="shared" ref="JT7:JT23" si="156">SQRT(Xe131BCerr^2+(Xe130BCerr*Xe131130_Air)^2)</f>
        <v>3.3523300581527007E-3</v>
      </c>
      <c r="JU7" s="157">
        <f t="shared" ref="JU7:JU23" si="157">Xe132BC-(Xe130BC*Xe132130_Air)</f>
        <v>2.6253170410349969E-3</v>
      </c>
      <c r="JV7" s="157">
        <f t="shared" ref="JV7:JV23" si="158">SQRT((Xe132BCerr^2+(Xe130BCerr*Xe132130_Air)^2))</f>
        <v>1.2826267763704042E-3</v>
      </c>
      <c r="JW7" s="157">
        <f t="shared" ref="JW7:JW23" si="159">Xe134BC-(Xe130BC*Xe134130_Air)</f>
        <v>3.9081195507579998E-3</v>
      </c>
      <c r="JX7" s="157">
        <f t="shared" ref="JX7:JX23" si="160">SQRT(Xe134BCerr^2+(Xe130BCerr*Xe134130_Air)^2)</f>
        <v>7.8029131344935069E-4</v>
      </c>
      <c r="JY7" s="157">
        <f t="shared" ref="JY7:JY23" si="161">Xe136BC-(Xe130BC*Xe136130_Air)</f>
        <v>5.8020964334029989E-3</v>
      </c>
      <c r="JZ7" s="157">
        <f t="shared" ref="JZ7:JZ23" si="162">SQRT(Xe136BCerr^2+(Xe130BCerr*Xe136130_Air)^2)</f>
        <v>8.5213101522721435E-4</v>
      </c>
      <c r="KA7" s="3">
        <v>1.7696448643015688E-12</v>
      </c>
      <c r="KB7" s="3">
        <v>3.8892524257744769E-14</v>
      </c>
      <c r="KC7" s="5">
        <v>1</v>
      </c>
      <c r="KD7" s="5">
        <v>0</v>
      </c>
      <c r="KE7" s="157">
        <f t="shared" ref="KE7:KE37" si="163">(Xe128AC*Xe_Sensitivity)/YXe</f>
        <v>3.5157459244834438E-13</v>
      </c>
      <c r="KF7" s="157">
        <f t="shared" ref="KF7:KF37" si="164">Xe128CC*SQRT((Xe_Sensitivityerr/Xe_Sensitivity)^2+(YXeerr/YXe)^2+(Xe128ACerr/Xe128AC)^2)</f>
        <v>8.5799452799706987E-15</v>
      </c>
      <c r="KG7" s="157">
        <f t="shared" ref="KG7:KG37" si="165">Xe128CC/MV</f>
        <v>1.5685517466672977E-17</v>
      </c>
      <c r="KH7" s="157">
        <f t="shared" ref="KH7:KH37" si="166">Xe128mole*SQRT((Xe128CCerr/Xe128CC)^2+(MVerr/MV)^2)</f>
        <v>3.8279467424785458E-19</v>
      </c>
      <c r="KI7" s="6">
        <v>1.2430056234832578</v>
      </c>
      <c r="KJ7" s="6">
        <v>0.11113867994607306</v>
      </c>
      <c r="KK7" s="157">
        <f t="shared" ref="KK7:KK37" si="167">(Xe128mole/IFactor_SW)/((Therm_CS_127I*Therm_Flux)*I127_Abun*Y_127I)</f>
        <v>1.8768373802021701E-13</v>
      </c>
      <c r="KL7" s="157">
        <f>I_mole*SQRT((Xe128CCerr/Xe128CC)^2+(IFactor_SWerr/IFactor_SW)^2+(Therm_CS_127Ierr/Therm_CS_127I)^2+(Therm_Fluxerr/Therm_Flux)^2)</f>
        <v>2.4231351775991294E-14</v>
      </c>
      <c r="KM7" s="494">
        <f t="shared" ref="KM7:KM37" si="168">I_mole*MW_I/Sample_Mass*10^9</f>
        <v>22.901837434217914</v>
      </c>
      <c r="KN7" s="494">
        <f t="shared" ref="KN7:KN13" si="169">KM7*SQRT(I_moleerr/I_mole)^2+(MVerr/MV)^2+(Sample_Masserr/Sample_Mass)</f>
        <v>2.9617957514006124</v>
      </c>
      <c r="KO7" s="4">
        <v>20.162258156415845</v>
      </c>
      <c r="KP7" s="4">
        <v>0.66285498057306957</v>
      </c>
      <c r="KQ7" s="229">
        <f t="shared" ref="KQ7:KQ37" si="170">Omega*(Ar38_mole/Xe128mole)</f>
        <v>265.65160490741522</v>
      </c>
      <c r="KR7" s="229">
        <f t="shared" ref="KR7:KR37" si="171">Cl_I*SQRT((Omegaerr/Omega)^2+(Ar38_moleerr/Ar38_mole)^2+(Xe128moleerr/Xe128mole)^2)</f>
        <v>11.008046683686963</v>
      </c>
      <c r="KS7" s="364">
        <f t="shared" ref="KS7:KS37" si="172">(Cl_ppm/Cl_I)*10^3</f>
        <v>20.895789676739593</v>
      </c>
      <c r="KT7" s="364">
        <f t="shared" ref="KT7:KT37" si="173">(Ippb_SC*SQRT((Cl_ppmerr/Cl_ppm)^2+(Cl_Ierr/Cl_I)^2))</f>
        <v>1.1058560106716204</v>
      </c>
      <c r="KU7" s="147">
        <f t="shared" ref="KU7:KU37" si="174">Xe131AC-Xe131136_nf/Xe134136_nf*Xe134AC</f>
        <v>0.16198292090265443</v>
      </c>
      <c r="KV7" s="147">
        <f t="shared" ref="KV7:KV37" si="175">SQRT(Xe131ACerr^2+(Xe131136_nf/Xe134136_nf*Xe134AC)^2*((Xe131136_nferr/Xe131136_nf)^2+(Xe134136_nferr/Xe134136_nf)^2+(Xe134ACerr/Xe134AC)^2))</f>
        <v>3.3648093633681406E-3</v>
      </c>
      <c r="KW7" s="157">
        <f t="shared" ref="KW7:KW37" si="176">(Xe131Ba*Xe_Sensitivity)/YXe</f>
        <v>2.8665224407994962E-13</v>
      </c>
      <c r="KX7" s="157">
        <f t="shared" ref="KX7:KX37" si="177">Xe131Bacc*SQRT((Xe_Sensitivityerr/Xe_Sensitivity)^2+(YXeerr/YXe)^2+(Xe131Baerr/Xe131Ba)^2)</f>
        <v>8.6686406627159103E-15</v>
      </c>
      <c r="KY7" s="157">
        <f t="shared" ref="KY7:KY37" si="178">Xe131Bacc/MV</f>
        <v>1.2789003750427954E-17</v>
      </c>
      <c r="KZ7" s="157">
        <f t="shared" ref="KZ7:KZ37" si="179">Xe131mole*SQRT((Xe131CCerr/Xe131CC)^2+(MVerr/MV)^2)</f>
        <v>3.8675182300702768E-19</v>
      </c>
      <c r="LA7" s="6">
        <v>1.2485542932379452</v>
      </c>
      <c r="LB7" s="6">
        <v>5.962765195347651E-2</v>
      </c>
      <c r="LC7" s="157">
        <f t="shared" ref="LC7:LC37" si="180">(Xe131mole/Ba_FactorSW)/((Therm_CS_130Ba*Therm_Flux)*Ba130_Abun*Y_130Ba)</f>
        <v>1.0743737222051124E-10</v>
      </c>
      <c r="LD7" s="157">
        <f t="shared" ref="LD7:LD37" si="181">Ba_mole*SQRT((Xe131BaCCerr/Xe131Bacc)^2+(Ba_FactorSWerr/Ba_FactorSW)^2+(Therm_CS_130Baerr/Therm_CS_130Ba)^2+(Therm_Fluxerr/Therm_Flux)^2)</f>
        <v>1.2334852121043532E-11</v>
      </c>
      <c r="LE7" s="159">
        <f t="shared" ref="LE7:LE37" si="182">Ba_mole*MW_Ba/Sample_Mass*10^6</f>
        <v>14.186588475890527</v>
      </c>
      <c r="LF7" s="159">
        <f t="shared" ref="LF7:LF37" si="183">Ba_ppm*SQRT(Ba_moleerr/Ba_mole)^2+(MVerr/MV)^2+(Sample_Masserr/Sample_Mass)</f>
        <v>1.6337579204104757</v>
      </c>
      <c r="LG7" s="471"/>
      <c r="LH7" s="471"/>
      <c r="LM7" s="157">
        <f t="shared" ref="LM7:LM37" si="184">(Xe134AC*Xe_Sensitivity)/YXe</f>
        <v>6.9159836920754482E-15</v>
      </c>
      <c r="LN7" s="157">
        <f t="shared" ref="LN7:LN37" si="185">Xe134CC*SQRT((Xe_Sensitivityerr/Xe_Sensitivity)^2+(YXeerr/YXe)^2+(Xe134ACerr/Xe134AC)^2)</f>
        <v>1.3891788879692449E-15</v>
      </c>
      <c r="LO7" s="157">
        <f t="shared" ref="LO7:LO37" si="186">Xe134CC/MV</f>
        <v>3.0855694732040005E-19</v>
      </c>
      <c r="LP7" s="157">
        <f t="shared" ref="LP7:LP37" si="187">Xe134mole*SQRT((Xe134CCerr/Xe134CC)^2+(MVerr/MV)^2)</f>
        <v>6.1978283356375651E-20</v>
      </c>
      <c r="LQ7" s="157">
        <f t="shared" ref="LQ7:LQ37" si="188">Xe134_mole/((Therm_CS_235U*Therm_Flux)*U235_Abun*Y_235U)</f>
        <v>7.8543217721769087E-14</v>
      </c>
      <c r="LR7" s="157">
        <f t="shared" ref="LR7:LR37" si="189">U_mole*SQRT((Xe134moleerr/Xe134mole)^2+(Therm_CS_235Uerr/Therm_CS_235U)^2+(Therm_Fluxerr/Therm_Flux)^2)</f>
        <v>1.7276533737174508E-14</v>
      </c>
      <c r="LS7" s="147">
        <f t="shared" ref="LS7:LS37" si="190">U_mole*MW_U/Sample_Mass*10^9</f>
        <v>17.976496636735941</v>
      </c>
      <c r="LT7" s="147">
        <f t="shared" ref="LT7:LT37" si="191">U_ppb*SQRT((U_moleerr/U_mole)^2+(MVerr/MV)^2+(Sample_Masserr/Sample_Mass)^2)</f>
        <v>3.9551699877319231</v>
      </c>
      <c r="LW7" s="214" t="str">
        <f t="shared" ref="LW7:LW37" si="192">Name</f>
        <v>30z1</v>
      </c>
      <c r="LX7" s="214" t="str">
        <f t="shared" ref="LX7:LX37" si="193">Irradiation</f>
        <v>MN2022a</v>
      </c>
      <c r="LY7" s="212">
        <f t="shared" ref="LY7:LY37" si="194">IF(ISNUMBER(K_ppm), K_ppm, "")</f>
        <v>116.11771024960542</v>
      </c>
      <c r="LZ7" s="212">
        <f t="shared" ref="LZ7:LZ37" si="195">IF(ISNUMBER(K_ppmerr), K_ppmerr, "")</f>
        <v>4.009707716734777</v>
      </c>
      <c r="MA7" s="212">
        <f t="shared" ref="MA7:MA37" si="196">Cl_ppm</f>
        <v>5.5510000634336718</v>
      </c>
      <c r="MB7" s="212">
        <f t="shared" ref="MB7:MB37" si="197">Cl_ppmerr</f>
        <v>0.18273531582035157</v>
      </c>
      <c r="MC7" s="212">
        <f t="shared" ref="MC7:MC37" si="198">Ca_ppm</f>
        <v>15394.439114509589</v>
      </c>
      <c r="MD7" s="212">
        <f t="shared" ref="MD7:MD37" si="199">Ca_ppmerr</f>
        <v>1168.0400048640599</v>
      </c>
      <c r="ME7" s="212">
        <f t="shared" ref="ME7:ME37" si="200">Br79ppb_SW</f>
        <v>60.112276310817606</v>
      </c>
      <c r="MF7" s="212">
        <f t="shared" ref="MF7:MF37" si="201">Br79ppb_SWerr</f>
        <v>5.7620115134675665</v>
      </c>
      <c r="MG7" s="212">
        <f t="shared" ref="MG7:MG37" si="202">Br81ppb_SW</f>
        <v>80.309063950350776</v>
      </c>
      <c r="MH7" s="212">
        <f t="shared" ref="MH7:MH37" si="203">Br81ppb_SWerr</f>
        <v>8.1288946106774045</v>
      </c>
      <c r="MI7" s="212">
        <f t="shared" ref="MI7:MI37" si="204">Br79ppb_SC</f>
        <v>52.680814517090468</v>
      </c>
      <c r="MJ7" s="212">
        <f t="shared" ref="MJ7:MJ37" si="205">Br79ppb_SCerr</f>
        <v>1.960095401453289</v>
      </c>
      <c r="MK7" s="212">
        <f t="shared" ref="MK7:MK37" si="206">Br81ppb_SC</f>
        <v>56.388432916183511</v>
      </c>
      <c r="ML7" s="212">
        <f t="shared" ref="ML7:ML37" si="207">Br81ppb_SCerr</f>
        <v>2.7546882015883876</v>
      </c>
      <c r="MM7" s="212">
        <f>I_ppb</f>
        <v>22.901837434217914</v>
      </c>
      <c r="MN7" s="212">
        <f t="shared" ref="MN7:MN37" si="208">I_ppberr</f>
        <v>2.9617957514006124</v>
      </c>
      <c r="MO7" s="212">
        <f t="shared" ref="MO7:MO37" si="209">Ippb_SC</f>
        <v>20.895789676739593</v>
      </c>
      <c r="MP7" s="212">
        <f t="shared" ref="MP7:MP37" si="210">Ippb_SCerr</f>
        <v>1.1058560106716204</v>
      </c>
      <c r="MQ7" s="211"/>
      <c r="MR7" s="211"/>
      <c r="MS7" s="211"/>
      <c r="MT7" s="211"/>
      <c r="MU7" s="506">
        <f>DZ7</f>
        <v>20.918340645411327</v>
      </c>
      <c r="MV7" s="506">
        <f>EA7</f>
        <v>0.72342338294472808</v>
      </c>
      <c r="MW7" s="109">
        <f t="shared" ref="MW7:MW37" si="211">(Br79ppb_SC/10^3)/Cl_ppm</f>
        <v>9.4903285741459332E-3</v>
      </c>
      <c r="MX7" s="109">
        <f t="shared" ref="MX7:MX37" si="212">MW7*SQRT((Br79ppb_SCerr/Br79ppb_SC)^2+(Cl_ppmerr/Cl_ppm)^2)</f>
        <v>4.7147403621524141E-4</v>
      </c>
      <c r="MY7" s="109">
        <f t="shared" ref="MY7:MY37" si="213">(Br81ppb_SC/10^3)/Cl_ppm</f>
        <v>1.015824757193453E-2</v>
      </c>
      <c r="MZ7" s="109">
        <f t="shared" ref="MZ7:MZ37" si="214">MY7*SQRT((Br81ppb_SCerr/Br81ppb_SC)^2+(Cl_ppmerr/Cl_ppm)^2)</f>
        <v>5.9840634977697497E-4</v>
      </c>
      <c r="NA7" s="513">
        <f t="shared" ref="NA7:NA23" si="215">(MM7/1000)/MA7</f>
        <v>4.1257137763481789E-3</v>
      </c>
      <c r="NB7" s="513">
        <f t="shared" ref="NB7:NB23" si="216">NA7*SQRT((MN7/MM7)^2 + (MB7/MA7)^2)</f>
        <v>5.5057516203336999E-4</v>
      </c>
      <c r="NC7" s="506">
        <f>DV7</f>
        <v>18.968035206179493</v>
      </c>
      <c r="ND7" s="506">
        <f>DW7</f>
        <v>0.64914899780857294</v>
      </c>
      <c r="NE7" s="109">
        <f t="shared" ref="NE7:NE37" si="217">Br79mole_SC/Cl_mole</f>
        <v>4.2108107095914574E-3</v>
      </c>
      <c r="NF7" s="109">
        <f t="shared" ref="NF7:NF37" si="218">NE7*SQRT((Br79mole_SCerr/Br79mole_SC)^2+(Cl_moleerr/Cl_mole)^2)</f>
        <v>2.0706080497214955E-4</v>
      </c>
      <c r="NG7" s="513">
        <f t="shared" ref="NG7:NG37" si="219">Br81mole_SC/Cl_mole</f>
        <v>4.5071629851796526E-3</v>
      </c>
      <c r="NH7" s="513">
        <f t="shared" ref="NH7:NH37" si="220">NG7*SQRT((Br81mole_SCerr/Br81mole_SC)^2+(Cl_moleerr/Cl_mole)^2)</f>
        <v>2.2163351910504714E-4</v>
      </c>
      <c r="NI7" s="109">
        <f t="shared" ref="NI7:NJ36" si="221">NA7*$NC$4/NI$3</f>
        <v>1.1525908465861918E-3</v>
      </c>
      <c r="NJ7" s="109">
        <f t="shared" si="221"/>
        <v>1.5381287372752961E-4</v>
      </c>
      <c r="NK7" s="621">
        <f t="shared" ref="NK7:NK23" si="222">Ar36CC/Sample_Mass</f>
        <v>9.5026219168920036E-9</v>
      </c>
      <c r="NL7" s="621">
        <f t="shared" ref="NL7:NL23" si="223">NK7*SQRT((Ar36CCerr/Ar36CC)^2 + (Sample_Masserr/Sample_Mass)^2)</f>
        <v>2.5612250179977602E-10</v>
      </c>
      <c r="NM7" s="621">
        <f t="shared" ref="NM7:NM23" si="224">Ar39CC/Sample_Mass</f>
        <v>3.8283917214073701E-9</v>
      </c>
      <c r="NN7" s="621">
        <f t="shared" ref="NN7:NN23" si="225">NM7*SQRT((Ar39ccerr/Ar39CC)^2 + (Sample_Masserr/Sample_Mass)^2)</f>
        <v>1.2729568358826545E-10</v>
      </c>
      <c r="NO7" s="621">
        <f t="shared" ref="NO7:NO23" si="226">Ar40CC/Sample_Mass</f>
        <v>2.9085886279536481E-6</v>
      </c>
      <c r="NP7" s="621">
        <f t="shared" ref="NP7:NP23" si="227">NO7*SQRT((Ar40CCerrr/Ar40CC)^2 + (Sample_Masserr/Sample_Mass)^2)</f>
        <v>1.7404248437058268E-8</v>
      </c>
      <c r="NQ7" s="621">
        <f t="shared" ref="NQ7:NQ23" si="228">Ar40AC*Ar_Sensitivity/Sample_Mass</f>
        <v>1.0056385151206096E-7</v>
      </c>
      <c r="NR7" s="621">
        <f t="shared" ref="NR7:NR23" si="229">NQ7*SQRT((Ar40ACerr/Ar40AC)^2 + (Ar_sensitivityerr/Ar_Sensitivity)^2 + (Sample_Masserr/Sample_Mass)^2)</f>
        <v>7.4288413895143677E-8</v>
      </c>
      <c r="NS7" s="621">
        <f t="shared" ref="NS7:NS23" si="230">(Ar40CC-(Ar39CC/J*(EXP(lambda*96000000)-1)))/Sample_Mass</f>
        <v>2.8643928347227085E-6</v>
      </c>
      <c r="NT7" s="621">
        <f t="shared" ref="NT7:NT23" si="231">SQRT(((Ar39CC/J*(EXP(lambda*96000000)-1)/Sample_Mass)*SQRT((Jerr/J)^2 + (Ar39ccerr/Ar39CC)^2))^2 + (Ar40CCerrr/Sample_Mass)^2)</f>
        <v>9.6709707912691914E-9</v>
      </c>
      <c r="NU7" s="621">
        <f t="shared" ref="NU7:NU23" si="232">Kr84cc/Sample_Mass</f>
        <v>2.4058919039123586E-10</v>
      </c>
      <c r="NV7" s="621">
        <f t="shared" ref="NV7:NV23" si="233">NU7*SQRT((Kr84ccerr/Kr84cc)^2 + (Sample_Masserr/Sample_Mass)^2)</f>
        <v>3.1648533845628099E-11</v>
      </c>
      <c r="NW7" s="621">
        <f t="shared" ref="NW7:NW23" si="234">Xe130BC*Xe_Sensitivity/Sample_Mass</f>
        <v>2.4009316380091479E-12</v>
      </c>
      <c r="NX7" s="621">
        <f t="shared" ref="NX7:NX23" si="235">NW7*SQRT((Xe130BCerr/Xe130BC)^2 + (Sample_Masserr/Sample_Mass)^2 + (Xe_Sensitivityerr/Xe_Sensitivity)^2)</f>
        <v>2.3538733239651615E-13</v>
      </c>
      <c r="NY7" s="621">
        <f t="shared" ref="NY7:NY23" si="236">Xe132BC*Xe_Sensitivity/Sample_Mass</f>
        <v>2.0325392215463691E-11</v>
      </c>
      <c r="NZ7" s="621">
        <f t="shared" ref="NZ7:NZ23" si="237">NY7*SQRT((Xe132BCerr/Xe132BC)^2 + (Sample_Masserr/Sample_Mass)^2 + (Xe_Sensitivityerr/Xe_Sensitivity)^2)</f>
        <v>1.6381998595457676E-12</v>
      </c>
      <c r="OA7" s="622">
        <f>Ar40_IC/Ar36_ClCor</f>
        <v>306.08274783439475</v>
      </c>
      <c r="OB7" s="622">
        <f t="shared" ref="OB7:OB37" si="238">OA7*SQRT((Ar40_ICerr/Ar40_IC)^2+(Ar36_ClCorerr/Ar36_ClCor)^2)</f>
        <v>8.0955417127308458</v>
      </c>
      <c r="OC7" s="622">
        <f t="shared" ref="OC7:OC37" si="239">NS7/NK7</f>
        <v>301.43184268237809</v>
      </c>
      <c r="OD7" s="622">
        <f>OC7*SQRT((NT7/NS7)^2 + (NL7/NK7)^2)</f>
        <v>8.1879340819242703</v>
      </c>
      <c r="OE7" s="621">
        <f>NU7/NK7</f>
        <v>2.5318190336875435E-2</v>
      </c>
      <c r="OF7" s="621">
        <f>OE7*SQRT((Kr84ccerr/Kr84cc)^2 + (Ar36CCerr/Ar36CC)^2)</f>
        <v>3.3949788162942335E-3</v>
      </c>
      <c r="OG7" s="621">
        <f>NW7/NK7</f>
        <v>2.5265991418023436E-4</v>
      </c>
      <c r="OH7" s="621">
        <f>OG7*SQRT((NX7/NW7)^2 + (NL7/NK7)^2)</f>
        <v>2.5689805944703354E-5</v>
      </c>
      <c r="OI7" s="621">
        <f>NY7/NK7</f>
        <v>2.1389246455583979E-3</v>
      </c>
      <c r="OJ7" s="621">
        <f>OI7*SQRT((NZ7/NY7)^2 + (NL7/NK7)^2)</f>
        <v>1.8177842822945909E-4</v>
      </c>
      <c r="OK7" s="621">
        <f t="shared" ref="OK7:OK37" si="240">Ar39_IC/Ar40_IC</f>
        <v>1.316236914568718E-3</v>
      </c>
      <c r="OL7" s="621">
        <f t="shared" ref="OL7:OL37" si="241">OK7*SQRT((Ar40_ICerr/Ar40_IC)^2+(Ar39_ICerr/Ar39_IC)^2)</f>
        <v>4.3229498552193136E-5</v>
      </c>
      <c r="OM7" s="621">
        <f t="shared" ref="OM7:OM37" si="242">Ar36_ClCor/Ar40_IC</f>
        <v>3.2670903769494624E-3</v>
      </c>
      <c r="ON7" s="621">
        <f t="shared" ref="ON7:ON37" si="243">OM7*SQRT((Ar40_ICerr/Ar40_IC)^2+(Ar36_ClCorerr/Ar36_ClCor)^2)</f>
        <v>8.6410836981135584E-5</v>
      </c>
      <c r="OO7" s="621">
        <f t="shared" ref="OO7:OO37" si="244">Ar39_IC/Ar36_ClCor</f>
        <v>0.40287741161225871</v>
      </c>
      <c r="OP7" s="621">
        <f t="shared" ref="OP7:OP37" si="245">OO7*SQRT((Ar40_ICerr/Ar40_IC)^2+(Ar36_ClCorerr/Ar36_ClCor)^2)</f>
        <v>1.0655650845727204E-2</v>
      </c>
      <c r="OQ7" s="621">
        <f t="shared" ref="OQ7:OQ37" si="246">J</f>
        <v>4.7397598342474798E-3</v>
      </c>
      <c r="OR7" s="621">
        <f t="shared" ref="OR7:OR37" si="247">Jerr</f>
        <v>8.5277771370824708E-6</v>
      </c>
    </row>
    <row r="8" spans="2:408" s="657" customFormat="1">
      <c r="B8" s="630" t="s">
        <v>982</v>
      </c>
      <c r="C8" s="631">
        <v>1.0399999999999999E-3</v>
      </c>
      <c r="D8" s="632">
        <f t="shared" ref="D8" si="248">C8*0.5%</f>
        <v>5.1999999999999993E-6</v>
      </c>
      <c r="E8" s="633">
        <v>45111</v>
      </c>
      <c r="F8" s="631" t="s">
        <v>210</v>
      </c>
      <c r="G8" s="631" t="s">
        <v>893</v>
      </c>
      <c r="H8" s="631">
        <v>2</v>
      </c>
      <c r="I8" s="631"/>
      <c r="J8" s="634">
        <v>44644</v>
      </c>
      <c r="K8" s="633" t="s">
        <v>823</v>
      </c>
      <c r="L8" s="631" t="s">
        <v>949</v>
      </c>
      <c r="M8" s="631" t="s">
        <v>952</v>
      </c>
      <c r="N8" s="631">
        <v>180</v>
      </c>
      <c r="O8" s="635">
        <v>1711.1027019999999</v>
      </c>
      <c r="P8" s="635">
        <v>3.1964739999999998</v>
      </c>
      <c r="Q8" s="636">
        <v>2.7828889999999999</v>
      </c>
      <c r="R8" s="636">
        <v>4.8146000000000001E-2</v>
      </c>
      <c r="S8" s="636">
        <v>4.4605519999999999</v>
      </c>
      <c r="T8" s="636">
        <v>0.100517</v>
      </c>
      <c r="U8" s="636">
        <v>6.0738E-2</v>
      </c>
      <c r="V8" s="636">
        <v>5.3046999999999997E-2</v>
      </c>
      <c r="W8" s="636">
        <v>5.7097129999999998</v>
      </c>
      <c r="X8" s="636">
        <v>7.7699000000000004E-2</v>
      </c>
      <c r="Y8" s="635">
        <v>91.871756000000005</v>
      </c>
      <c r="Z8" s="635">
        <v>0.731213</v>
      </c>
      <c r="AA8" s="635">
        <v>0.32490799999999997</v>
      </c>
      <c r="AB8" s="635">
        <v>8.1854999999999997E-2</v>
      </c>
      <c r="AC8" s="635">
        <v>0.268592</v>
      </c>
      <c r="AD8" s="635">
        <v>6.7671999999999996E-2</v>
      </c>
      <c r="AE8" s="635">
        <v>2.2422000000000001E-2</v>
      </c>
      <c r="AF8" s="635">
        <v>1.5188E-2</v>
      </c>
      <c r="AG8" s="635">
        <v>0.61539200000000005</v>
      </c>
      <c r="AH8" s="635">
        <v>9.6631999999999996E-2</v>
      </c>
      <c r="AI8" s="637">
        <f t="shared" si="1"/>
        <v>1619.2309459999999</v>
      </c>
      <c r="AJ8" s="637">
        <f t="shared" si="2"/>
        <v>3.279042312024198</v>
      </c>
      <c r="AK8" s="637">
        <f t="shared" si="3"/>
        <v>2.4579810000000002</v>
      </c>
      <c r="AL8" s="637">
        <f t="shared" si="4"/>
        <v>9.4964616257846274E-2</v>
      </c>
      <c r="AM8" s="637">
        <f t="shared" si="5"/>
        <v>4.1919599999999999</v>
      </c>
      <c r="AN8" s="637">
        <f t="shared" si="6"/>
        <v>0.12117411799967846</v>
      </c>
      <c r="AO8" s="637">
        <f t="shared" si="7"/>
        <v>3.8316000000000003E-2</v>
      </c>
      <c r="AP8" s="637">
        <f t="shared" si="8"/>
        <v>5.5178433767188423E-2</v>
      </c>
      <c r="AQ8" s="637">
        <f t="shared" si="9"/>
        <v>5.0943209999999999</v>
      </c>
      <c r="AR8" s="637">
        <f t="shared" si="10"/>
        <v>0.12399547582472516</v>
      </c>
      <c r="AS8" s="638">
        <v>304.12046242532097</v>
      </c>
      <c r="AT8" s="638">
        <v>0.91447361557367624</v>
      </c>
      <c r="AU8" s="639">
        <f t="shared" si="11"/>
        <v>2.4759073391308402</v>
      </c>
      <c r="AV8" s="639">
        <f t="shared" si="12"/>
        <v>9.496715894593992E-2</v>
      </c>
      <c r="AW8" s="639">
        <f t="shared" si="13"/>
        <v>4.2531048962241087</v>
      </c>
      <c r="AX8" s="639">
        <f t="shared" si="14"/>
        <v>0.12117737966923117</v>
      </c>
      <c r="AY8" s="639">
        <f t="shared" si="15"/>
        <v>3.9154329031189337E-2</v>
      </c>
      <c r="AZ8" s="639">
        <f t="shared" si="16"/>
        <v>5.5181042531697005E-2</v>
      </c>
      <c r="BA8" s="639">
        <f t="shared" si="17"/>
        <v>5.242934884138827</v>
      </c>
      <c r="BB8" s="639">
        <f t="shared" si="18"/>
        <v>0.12399882986448423</v>
      </c>
      <c r="BC8" s="635"/>
      <c r="BD8" s="640"/>
      <c r="BE8" s="637">
        <v>2.1539999999999999</v>
      </c>
      <c r="BF8" s="637">
        <f t="shared" ref="BF8:BF37" si="249">0.05*BE8</f>
        <v>0.1077</v>
      </c>
      <c r="BG8" s="637">
        <f t="shared" ref="BG8:BG37" si="250">BE8*40.078/56.0774</f>
        <v>1.539443911450959</v>
      </c>
      <c r="BH8" s="637">
        <f t="shared" ref="BH8:BH37" si="251">0.05*BG8</f>
        <v>7.6972195572547961E-2</v>
      </c>
      <c r="BI8" s="641">
        <f t="shared" si="19"/>
        <v>3.994565039693107E-7</v>
      </c>
      <c r="BJ8" s="641">
        <f t="shared" ref="BJ8:BJ37" si="252">BI8*BH8/BG8</f>
        <v>1.9972825198465537E-8</v>
      </c>
      <c r="BK8" s="639">
        <f t="shared" si="20"/>
        <v>165.51182354345735</v>
      </c>
      <c r="BL8" s="639">
        <f t="shared" ref="BL8:BL37" si="253">BK8*SQRT((BJ8/BI8)^2)</f>
        <v>8.2755911771728687</v>
      </c>
      <c r="BM8" s="639"/>
      <c r="BN8" s="639"/>
      <c r="BO8" s="642">
        <f t="shared" ref="BO8:BO37" si="254">Ar40BC-(Salt_40Ar39Ar_K*Ar39_IC)</f>
        <v>1618.9085437858041</v>
      </c>
      <c r="BP8" s="639">
        <f t="shared" ref="BP8:BP37" si="255">SQRT(Ar40BCerr^2+(Ar39_ICerr*Salt_40Ar39Ar_K)^2)</f>
        <v>3.2790656302545478</v>
      </c>
      <c r="BQ8" s="642">
        <f>AU8</f>
        <v>2.4759073391308402</v>
      </c>
      <c r="BR8" s="639">
        <f>AV8</f>
        <v>9.496715894593992E-2</v>
      </c>
      <c r="BS8" s="642">
        <f t="shared" ref="BS8:BS37" si="256">Ar38_DC-(Salt_38Ar39Ar_K*Ar39_DecayCor)</f>
        <v>4.2531048962241087</v>
      </c>
      <c r="BT8" s="639">
        <f t="shared" ref="BT8:BT37" si="257">SQRT(Ar38_DCerr^2+(Ar39_DecayCorerr*Salt_38Ar39Ar_K)^2)</f>
        <v>0.12117737966923117</v>
      </c>
      <c r="BU8" s="637">
        <f t="shared" ref="BU8:BU37" si="258">Ar36_DC-(Salt_36Ar37Ar_Ca*Ar37_DecayCor)</f>
        <v>5.1851995358766745</v>
      </c>
      <c r="BV8" s="637">
        <f t="shared" si="21"/>
        <v>0.12403242815432861</v>
      </c>
      <c r="BW8" s="631"/>
      <c r="BX8" s="637">
        <f t="shared" si="22"/>
        <v>5.1822359184487503</v>
      </c>
      <c r="BY8" s="637">
        <f t="shared" si="23"/>
        <v>0.12403309662174136</v>
      </c>
      <c r="BZ8" s="642">
        <f t="shared" si="24"/>
        <v>3.2782845947115375</v>
      </c>
      <c r="CA8" s="637">
        <f t="shared" si="25"/>
        <v>1.3543645652512022E-2</v>
      </c>
      <c r="CB8" s="642">
        <f t="shared" si="26"/>
        <v>87.557829884198327</v>
      </c>
      <c r="CC8" s="642">
        <f t="shared" si="27"/>
        <v>36.798169144232055</v>
      </c>
      <c r="CD8" s="643">
        <v>1.5903158759700325E-12</v>
      </c>
      <c r="CE8" s="643">
        <v>4.0102150310807229E-15</v>
      </c>
      <c r="CF8" s="641">
        <f t="shared" si="28"/>
        <v>8.2413920541311898E-12</v>
      </c>
      <c r="CG8" s="641">
        <f t="shared" si="29"/>
        <v>1.9834354091223904E-13</v>
      </c>
      <c r="CH8" s="641">
        <f t="shared" si="30"/>
        <v>2.6321608064191083E-10</v>
      </c>
      <c r="CI8" s="644">
        <f t="shared" si="31"/>
        <v>1.3177530531450566E-11</v>
      </c>
      <c r="CJ8" s="641">
        <f t="shared" si="32"/>
        <v>5.2135080369177417E-12</v>
      </c>
      <c r="CK8" s="645">
        <f t="shared" si="33"/>
        <v>2.5233871822501974E-14</v>
      </c>
      <c r="CL8" s="641">
        <f t="shared" si="34"/>
        <v>3.9374747488504945E-12</v>
      </c>
      <c r="CM8" s="641">
        <f t="shared" si="35"/>
        <v>1.5135380395593633E-13</v>
      </c>
      <c r="CN8" s="641">
        <f t="shared" si="36"/>
        <v>2.5745759589260907E-9</v>
      </c>
      <c r="CO8" s="641">
        <f t="shared" si="37"/>
        <v>8.327178879921674E-12</v>
      </c>
      <c r="CP8" s="641">
        <f t="shared" si="38"/>
        <v>2.3260091352513856E-16</v>
      </c>
      <c r="CQ8" s="641">
        <f t="shared" si="39"/>
        <v>1.1258104213648565E-18</v>
      </c>
      <c r="CR8" s="641">
        <f t="shared" si="40"/>
        <v>1.1486483107832924E-13</v>
      </c>
      <c r="CS8" s="641">
        <f t="shared" si="41"/>
        <v>3.7151749493494267E-16</v>
      </c>
      <c r="CT8" s="632">
        <v>4.7397598342474798E-3</v>
      </c>
      <c r="CU8" s="632">
        <v>8.5277771370824708E-6</v>
      </c>
      <c r="CV8" s="643">
        <v>1.1611559367069784E+19</v>
      </c>
      <c r="CW8" s="646">
        <v>1.040942599512031E+18</v>
      </c>
      <c r="CX8" s="643">
        <v>8.6527210079182822E+17</v>
      </c>
      <c r="CY8" s="643">
        <v>8.9278178143800032E+16</v>
      </c>
      <c r="CZ8" s="635">
        <v>0.49865169925804054</v>
      </c>
      <c r="DA8" s="635">
        <v>2.7936431740382541E-2</v>
      </c>
      <c r="DB8" s="638">
        <v>24.337069265073254</v>
      </c>
      <c r="DC8" s="638">
        <v>0.74264427477540718</v>
      </c>
      <c r="DD8" s="641">
        <f t="shared" si="42"/>
        <v>3.054513169382005E-9</v>
      </c>
      <c r="DE8" s="641">
        <f t="shared" si="43"/>
        <v>1.2081389348697222E-10</v>
      </c>
      <c r="DF8" s="637">
        <f t="shared" si="44"/>
        <v>114.83295408696968</v>
      </c>
      <c r="DG8" s="637">
        <f t="shared" si="45"/>
        <v>4.5780876298662356</v>
      </c>
      <c r="DH8" s="647">
        <f t="shared" si="46"/>
        <v>1.1483295408696968E-2</v>
      </c>
      <c r="DI8" s="648">
        <f t="shared" si="47"/>
        <v>4.5780876298662357E-4</v>
      </c>
      <c r="DJ8" s="641">
        <f t="shared" si="48"/>
        <v>1.8326978628913496E-10</v>
      </c>
      <c r="DK8" s="641">
        <f t="shared" si="49"/>
        <v>5.9142921002180298E-12</v>
      </c>
      <c r="DL8" s="637">
        <f t="shared" si="50"/>
        <v>6.2475612820275988</v>
      </c>
      <c r="DM8" s="639">
        <f t="shared" si="51"/>
        <v>0.20402041964113821</v>
      </c>
      <c r="DN8" s="647">
        <f t="shared" si="52"/>
        <v>6.247561282027599E-4</v>
      </c>
      <c r="DO8" s="648">
        <f t="shared" si="53"/>
        <v>2.040204196411382E-5</v>
      </c>
      <c r="DP8" s="641">
        <f t="shared" si="54"/>
        <v>3.994565039693107E-7</v>
      </c>
      <c r="DQ8" s="641">
        <f t="shared" si="55"/>
        <v>3.0242516346335751E-8</v>
      </c>
      <c r="DR8" s="642">
        <f t="shared" si="56"/>
        <v>15394.439114509589</v>
      </c>
      <c r="DS8" s="642">
        <f t="shared" si="57"/>
        <v>1168.0400048640599</v>
      </c>
      <c r="DT8" s="637">
        <f t="shared" si="58"/>
        <v>1.5394439114509588</v>
      </c>
      <c r="DU8" s="637">
        <f t="shared" si="59"/>
        <v>0.11680400048640599</v>
      </c>
      <c r="DV8" s="639">
        <f t="shared" si="60"/>
        <v>16.666757959563846</v>
      </c>
      <c r="DW8" s="639">
        <f t="shared" si="61"/>
        <v>0.66025478517747704</v>
      </c>
      <c r="DX8" s="639">
        <f t="shared" si="62"/>
        <v>7.6466727641933104E-3</v>
      </c>
      <c r="DY8" s="639">
        <f t="shared" si="63"/>
        <v>6.0343225769393539E-3</v>
      </c>
      <c r="DZ8" s="639">
        <f t="shared" si="64"/>
        <v>18.380444609212624</v>
      </c>
      <c r="EA8" s="639">
        <f t="shared" si="65"/>
        <v>0.73384636270581727</v>
      </c>
      <c r="EB8" s="639">
        <f t="shared" si="66"/>
        <v>7.4593788856352136E-3</v>
      </c>
      <c r="EC8" s="639">
        <f t="shared" si="67"/>
        <v>6.0542726607612507E-3</v>
      </c>
      <c r="ED8" s="641">
        <f t="shared" si="68"/>
        <v>6.2675268741304213E-4</v>
      </c>
      <c r="EE8" s="641">
        <f t="shared" si="69"/>
        <v>2.0327244732097438E-5</v>
      </c>
      <c r="EF8" s="637">
        <f t="shared" si="70"/>
        <v>35.363936485173653</v>
      </c>
      <c r="EG8" s="637">
        <f t="shared" si="71"/>
        <v>14.924268278171514</v>
      </c>
      <c r="EH8" s="641">
        <f t="shared" si="72"/>
        <v>3.7604955260863685E-5</v>
      </c>
      <c r="EI8" s="641">
        <f t="shared" si="73"/>
        <v>1.4923379946012569E-6</v>
      </c>
      <c r="EJ8" s="642">
        <f t="shared" si="74"/>
        <v>279.25565441301825</v>
      </c>
      <c r="EK8" s="642">
        <f t="shared" si="75"/>
        <v>109.54302735095706</v>
      </c>
      <c r="EL8" s="642">
        <f t="shared" si="76"/>
        <v>109.54402286385374</v>
      </c>
      <c r="EM8" s="639">
        <f t="shared" si="77"/>
        <v>279.25565441301825</v>
      </c>
      <c r="EN8" s="639">
        <f t="shared" si="78"/>
        <v>109.54302735095706</v>
      </c>
      <c r="EO8" s="639">
        <f t="shared" si="79"/>
        <v>109.54402286385374</v>
      </c>
      <c r="EP8" s="649">
        <f t="shared" ref="EP8:EP16" si="259">CL8/$CL$17</f>
        <v>1.863387191047182</v>
      </c>
      <c r="EQ8" s="642">
        <f t="shared" si="80"/>
        <v>279.25565441301825</v>
      </c>
      <c r="ER8" s="642">
        <f t="shared" si="80"/>
        <v>109.54302735095706</v>
      </c>
      <c r="ES8" s="637">
        <f t="shared" si="81"/>
        <v>0.47776816379906878</v>
      </c>
      <c r="ET8" s="637">
        <f t="shared" si="82"/>
        <v>1.1475912010691449E-2</v>
      </c>
      <c r="EU8" s="642">
        <f t="shared" si="83"/>
        <v>312.39576299922834</v>
      </c>
      <c r="EV8" s="642">
        <f t="shared" si="84"/>
        <v>7.503694386383791</v>
      </c>
      <c r="EW8" s="641">
        <f t="shared" si="85"/>
        <v>1.5293682577898757E-3</v>
      </c>
      <c r="EX8" s="641">
        <f t="shared" si="86"/>
        <v>5.8742958132482419E-5</v>
      </c>
      <c r="EY8" s="641">
        <f t="shared" si="87"/>
        <v>3.2010677430425656E-3</v>
      </c>
      <c r="EZ8" s="641">
        <f t="shared" si="88"/>
        <v>7.6889115983183373E-5</v>
      </c>
      <c r="FA8" s="632">
        <v>0.53742900000000005</v>
      </c>
      <c r="FB8" s="632">
        <v>4.7549999999999997E-3</v>
      </c>
      <c r="FC8" s="632">
        <v>0.18817800000000001</v>
      </c>
      <c r="FD8" s="632">
        <v>4.8739999999999999E-3</v>
      </c>
      <c r="FE8" s="632">
        <v>0.12870799999999999</v>
      </c>
      <c r="FF8" s="632">
        <v>2.1159999999999998E-3</v>
      </c>
      <c r="FG8" s="631"/>
      <c r="FH8" s="631"/>
      <c r="FI8" s="632">
        <v>4.0173E-2</v>
      </c>
      <c r="FJ8" s="632">
        <v>3.0690000000000001E-3</v>
      </c>
      <c r="FK8" s="632">
        <v>1.4104E-2</v>
      </c>
      <c r="FL8" s="632">
        <v>6.4000000000000005E-4</v>
      </c>
      <c r="FM8" s="632">
        <v>7.9740000000000002E-3</v>
      </c>
      <c r="FN8" s="632">
        <v>4.1899999999999999E-4</v>
      </c>
      <c r="FO8" s="631"/>
      <c r="FP8" s="631"/>
      <c r="FQ8" s="647">
        <f t="shared" si="89"/>
        <v>0.49725600000000003</v>
      </c>
      <c r="FR8" s="647">
        <f t="shared" si="90"/>
        <v>5.6593980245252225E-3</v>
      </c>
      <c r="FS8" s="647">
        <f t="shared" si="91"/>
        <v>0.17407400000000001</v>
      </c>
      <c r="FT8" s="647">
        <f t="shared" si="92"/>
        <v>6.8928769030064648E-3</v>
      </c>
      <c r="FU8" s="647">
        <f t="shared" si="93"/>
        <v>0.12073399999999999</v>
      </c>
      <c r="FV8" s="647">
        <f t="shared" si="94"/>
        <v>2.1570853019757933E-3</v>
      </c>
      <c r="FW8" s="647">
        <f t="shared" si="95"/>
        <v>0</v>
      </c>
      <c r="FX8" s="647">
        <f t="shared" si="96"/>
        <v>0</v>
      </c>
      <c r="FY8" s="647">
        <f t="shared" si="97"/>
        <v>0.11977240667260426</v>
      </c>
      <c r="FZ8" s="647">
        <f t="shared" si="98"/>
        <v>1.3737583974792991E-2</v>
      </c>
      <c r="GA8" s="647">
        <f t="shared" si="99"/>
        <v>0.49251301269576492</v>
      </c>
      <c r="GB8" s="647">
        <f t="shared" si="100"/>
        <v>5.6854842413031504E-3</v>
      </c>
      <c r="GC8" s="647">
        <f t="shared" si="101"/>
        <v>0.14985601937079943</v>
      </c>
      <c r="GD8" s="647">
        <f t="shared" si="102"/>
        <v>7.431526667993695E-3</v>
      </c>
      <c r="GE8" s="647">
        <f t="shared" si="103"/>
        <v>-3.6554538516478823E-2</v>
      </c>
      <c r="GF8" s="647">
        <f t="shared" si="104"/>
        <v>4.192710629106821E-3</v>
      </c>
      <c r="GG8" s="643">
        <v>1.7782159136499011E-12</v>
      </c>
      <c r="GH8" s="643">
        <v>7.5535622364420377E-15</v>
      </c>
      <c r="GI8" s="635">
        <v>1</v>
      </c>
      <c r="GJ8" s="635">
        <v>5.0000000000000001E-3</v>
      </c>
      <c r="GK8" s="641">
        <f t="shared" si="105"/>
        <v>8.7579447685526494E-13</v>
      </c>
      <c r="GL8" s="641">
        <f t="shared" si="106"/>
        <v>1.1628756099045533E-14</v>
      </c>
      <c r="GM8" s="641">
        <f t="shared" si="107"/>
        <v>2.6647635840138339E-13</v>
      </c>
      <c r="GN8" s="641">
        <f t="shared" si="108"/>
        <v>1.3330005352108982E-14</v>
      </c>
      <c r="GO8" s="641">
        <f t="shared" si="109"/>
        <v>2.1298119956137251E-13</v>
      </c>
      <c r="GP8" s="641">
        <f t="shared" si="110"/>
        <v>2.4468321997779295E-14</v>
      </c>
      <c r="GQ8" s="641">
        <f t="shared" si="111"/>
        <v>-6.5001862106130891E-14</v>
      </c>
      <c r="GR8" s="641">
        <f t="shared" si="112"/>
        <v>-7.4677318737222418E-15</v>
      </c>
      <c r="GS8" s="641">
        <f t="shared" si="113"/>
        <v>3.9073612994224983E-17</v>
      </c>
      <c r="GT8" s="641">
        <f t="shared" si="114"/>
        <v>5.1881751696284649E-19</v>
      </c>
      <c r="GU8" s="641">
        <f t="shared" si="115"/>
        <v>1.1888855633884959E-17</v>
      </c>
      <c r="GV8" s="641">
        <f t="shared" si="116"/>
        <v>5.9471883431429836E-19</v>
      </c>
      <c r="GW8" s="641">
        <f t="shared" si="117"/>
        <v>9.5021665317971238E-18</v>
      </c>
      <c r="GX8" s="641">
        <f t="shared" si="118"/>
        <v>1.0916553707948248E-18</v>
      </c>
      <c r="GY8" s="637">
        <f t="shared" si="119"/>
        <v>3.2865747719956775</v>
      </c>
      <c r="GZ8" s="637">
        <f t="shared" si="120"/>
        <v>4.6141301115294582E-2</v>
      </c>
      <c r="HA8" s="638">
        <v>26.169770272470505</v>
      </c>
      <c r="HB8" s="638">
        <v>0.31897682079735262</v>
      </c>
      <c r="HC8" s="650">
        <f t="shared" si="121"/>
        <v>155.78575938240772</v>
      </c>
      <c r="HD8" s="650">
        <f t="shared" si="122"/>
        <v>2.9073819880001937</v>
      </c>
      <c r="HE8" s="651">
        <f t="shared" si="123"/>
        <v>5.2197245781376682E-13</v>
      </c>
      <c r="HF8" s="652">
        <f t="shared" si="124"/>
        <v>1.9458521843697745E-14</v>
      </c>
      <c r="HG8" s="653">
        <f t="shared" si="125"/>
        <v>40.103545451106946</v>
      </c>
      <c r="HH8" s="653">
        <f t="shared" si="126"/>
        <v>1.5084004383193117</v>
      </c>
      <c r="HI8" s="638">
        <v>7.5091582159801362</v>
      </c>
      <c r="HJ8" s="638">
        <v>0.11482994255839375</v>
      </c>
      <c r="HK8" s="650">
        <f t="shared" si="127"/>
        <v>146.9138085808369</v>
      </c>
      <c r="HL8" s="650">
        <f t="shared" si="128"/>
        <v>7.7176521578355555</v>
      </c>
      <c r="HM8" s="651">
        <f t="shared" si="129"/>
        <v>5.5349375598330316E-13</v>
      </c>
      <c r="HN8" s="652">
        <f t="shared" si="130"/>
        <v>2.0633598918726998E-14</v>
      </c>
      <c r="HO8" s="653">
        <f t="shared" si="131"/>
        <v>42.525351036624862</v>
      </c>
      <c r="HP8" s="653">
        <f t="shared" si="132"/>
        <v>2.6303945050238005</v>
      </c>
      <c r="HQ8" s="635">
        <v>1.1161311691222588</v>
      </c>
      <c r="HR8" s="635">
        <v>3.5153924948669417E-2</v>
      </c>
      <c r="HS8" s="635">
        <f t="shared" si="133"/>
        <v>45.760784591101945</v>
      </c>
      <c r="HT8" s="635">
        <f t="shared" si="134"/>
        <v>4.4018227007431268</v>
      </c>
      <c r="HU8" s="635">
        <v>1.1161311691222588</v>
      </c>
      <c r="HV8" s="635">
        <v>3.5153924948669417E-2</v>
      </c>
      <c r="HW8" s="635">
        <f t="shared" si="135"/>
        <v>60.565101019703391</v>
      </c>
      <c r="HX8" s="635">
        <f t="shared" si="136"/>
        <v>6.5565865993857138</v>
      </c>
      <c r="HY8" s="643">
        <v>0.124942</v>
      </c>
      <c r="HZ8" s="643">
        <v>2.2360000000000001E-3</v>
      </c>
      <c r="IA8" s="643">
        <v>7.816E-3</v>
      </c>
      <c r="IB8" s="643">
        <v>6.5099999999999999E-4</v>
      </c>
      <c r="IC8" s="643">
        <v>1.1590000000000001E-3</v>
      </c>
      <c r="ID8" s="643">
        <v>3.3500000000000001E-4</v>
      </c>
      <c r="IE8" s="643">
        <v>0.16425300000000001</v>
      </c>
      <c r="IF8" s="643">
        <v>1.7049999999999999E-3</v>
      </c>
      <c r="IG8" s="643">
        <v>1.1063E-2</v>
      </c>
      <c r="IH8" s="643">
        <v>7.6999999999999996E-4</v>
      </c>
      <c r="II8" s="643">
        <v>7.9889999999999996E-3</v>
      </c>
      <c r="IJ8" s="643">
        <v>4.9799999999999996E-4</v>
      </c>
      <c r="IK8" s="643">
        <v>9.3629999999999998E-3</v>
      </c>
      <c r="IL8" s="643">
        <v>8.3699999999999996E-4</v>
      </c>
      <c r="IM8" s="643">
        <v>3.4169999999999999E-3</v>
      </c>
      <c r="IN8" s="643">
        <v>4.0499999999999998E-4</v>
      </c>
      <c r="IO8" s="643">
        <v>9.68E-4</v>
      </c>
      <c r="IP8" s="643">
        <v>2.4899999999999998E-4</v>
      </c>
      <c r="IQ8" s="643">
        <v>2.5999999999999998E-5</v>
      </c>
      <c r="IR8" s="643">
        <v>6.4999999999999994E-5</v>
      </c>
      <c r="IS8" s="643">
        <v>1.4809999999999999E-3</v>
      </c>
      <c r="IT8" s="643">
        <v>3.1799999999999998E-4</v>
      </c>
      <c r="IU8" s="643">
        <v>6.5799999999999995E-4</v>
      </c>
      <c r="IV8" s="643">
        <v>1.13E-4</v>
      </c>
      <c r="IW8" s="643">
        <v>3.8900000000000002E-4</v>
      </c>
      <c r="IX8" s="643">
        <v>2.0599999999999999E-4</v>
      </c>
      <c r="IY8" s="643">
        <v>2.13E-4</v>
      </c>
      <c r="IZ8" s="643">
        <v>1.07E-4</v>
      </c>
      <c r="JA8" s="641">
        <f t="shared" si="137"/>
        <v>0.12152499999999999</v>
      </c>
      <c r="JB8" s="641">
        <f t="shared" si="138"/>
        <v>2.2723822301716759E-3</v>
      </c>
      <c r="JC8" s="641">
        <f t="shared" si="139"/>
        <v>6.8479999999999999E-3</v>
      </c>
      <c r="JD8" s="641">
        <f t="shared" si="140"/>
        <v>6.9699497846110775E-4</v>
      </c>
      <c r="JE8" s="641">
        <f t="shared" si="141"/>
        <v>1.1330000000000001E-3</v>
      </c>
      <c r="JF8" s="641">
        <f t="shared" si="142"/>
        <v>3.412477106150311E-4</v>
      </c>
      <c r="JG8" s="641">
        <f t="shared" si="143"/>
        <v>0.162772</v>
      </c>
      <c r="JH8" s="641">
        <f t="shared" si="144"/>
        <v>1.7344016259217472E-3</v>
      </c>
      <c r="JI8" s="641">
        <f t="shared" si="145"/>
        <v>1.0404999999999999E-2</v>
      </c>
      <c r="JJ8" s="641">
        <f t="shared" si="146"/>
        <v>7.7824738997313704E-4</v>
      </c>
      <c r="JK8" s="641">
        <f t="shared" si="147"/>
        <v>7.5999999999999991E-3</v>
      </c>
      <c r="JL8" s="641">
        <f t="shared" si="148"/>
        <v>5.3892485561532596E-4</v>
      </c>
      <c r="JM8" s="641">
        <f t="shared" si="149"/>
        <v>9.1500000000000001E-3</v>
      </c>
      <c r="JN8" s="641">
        <f t="shared" si="150"/>
        <v>8.4381159034466928E-4</v>
      </c>
      <c r="JO8" s="641">
        <f t="shared" si="151"/>
        <v>0.120990678995805</v>
      </c>
      <c r="JP8" s="641">
        <f t="shared" si="152"/>
        <v>2.2780737630337614E-3</v>
      </c>
      <c r="JQ8" s="641">
        <f t="shared" si="153"/>
        <v>-5.0826816357400079E-4</v>
      </c>
      <c r="JR8" s="641">
        <f t="shared" si="154"/>
        <v>2.3226755556170057E-3</v>
      </c>
      <c r="JS8" s="641">
        <f t="shared" si="155"/>
        <v>0.156867528401678</v>
      </c>
      <c r="JT8" s="641">
        <f t="shared" si="156"/>
        <v>2.4840955428743253E-3</v>
      </c>
      <c r="JU8" s="641">
        <f t="shared" si="157"/>
        <v>2.921512549604998E-3</v>
      </c>
      <c r="JV8" s="641">
        <f t="shared" si="158"/>
        <v>2.3845230325579558E-3</v>
      </c>
      <c r="JW8" s="641">
        <f t="shared" si="159"/>
        <v>4.6836849404739986E-3</v>
      </c>
      <c r="JX8" s="641">
        <f t="shared" si="160"/>
        <v>1.0305156115852983E-3</v>
      </c>
      <c r="JY8" s="641">
        <f t="shared" si="161"/>
        <v>6.6849392339089998E-3</v>
      </c>
      <c r="JZ8" s="641">
        <f t="shared" si="162"/>
        <v>1.1239442373015614E-3</v>
      </c>
      <c r="KA8" s="643">
        <v>1.7696448643015688E-12</v>
      </c>
      <c r="KB8" s="643">
        <v>3.8892524257744769E-14</v>
      </c>
      <c r="KC8" s="631">
        <v>1</v>
      </c>
      <c r="KD8" s="631">
        <v>0</v>
      </c>
      <c r="KE8" s="641">
        <f t="shared" si="163"/>
        <v>2.1411053371328599E-13</v>
      </c>
      <c r="KF8" s="641">
        <f t="shared" si="164"/>
        <v>6.1963713768552422E-15</v>
      </c>
      <c r="KG8" s="641">
        <f t="shared" si="165"/>
        <v>9.5525518296714335E-18</v>
      </c>
      <c r="KH8" s="641">
        <f t="shared" si="166"/>
        <v>2.7645140908598116E-19</v>
      </c>
      <c r="KI8" s="635">
        <v>1.2430056234832578</v>
      </c>
      <c r="KJ8" s="635">
        <v>0.11113867994607306</v>
      </c>
      <c r="KK8" s="641">
        <f t="shared" si="167"/>
        <v>1.1430025428449429E-13</v>
      </c>
      <c r="KL8" s="641">
        <f t="shared" ref="KL8:KL37" si="260">I_mole*SQRT((Xe128CCerr/Xe128CC)^2+(IFactor_SWerr/IFactor_SW)^2+(Therm_CS_127Ierr/Therm_CS_127I)^2+(Therm_Fluxerr/Therm_Flux)^2)</f>
        <v>1.4863721025824771E-14</v>
      </c>
      <c r="KM8" s="573">
        <f t="shared" si="168"/>
        <v>13.94732367292943</v>
      </c>
      <c r="KN8" s="573">
        <f t="shared" si="169"/>
        <v>1.8187241201174325</v>
      </c>
      <c r="KO8" s="638">
        <v>20.162258156415845</v>
      </c>
      <c r="KP8" s="638">
        <v>0.66285498057306957</v>
      </c>
      <c r="KQ8" s="652">
        <f t="shared" si="170"/>
        <v>490.94312698152714</v>
      </c>
      <c r="KR8" s="652">
        <f t="shared" si="171"/>
        <v>21.633757336013311</v>
      </c>
      <c r="KS8" s="654">
        <f t="shared" si="172"/>
        <v>12.72563141975237</v>
      </c>
      <c r="KT8" s="654">
        <f t="shared" si="173"/>
        <v>0.69796367089614508</v>
      </c>
      <c r="KU8" s="637">
        <f t="shared" si="174"/>
        <v>0.15516471196665815</v>
      </c>
      <c r="KV8" s="637">
        <f t="shared" si="175"/>
        <v>2.5131469428513885E-3</v>
      </c>
      <c r="KW8" s="641">
        <f t="shared" si="176"/>
        <v>2.7458643565262878E-13</v>
      </c>
      <c r="KX8" s="641">
        <f t="shared" si="177"/>
        <v>7.4964886854267247E-15</v>
      </c>
      <c r="KY8" s="641">
        <f t="shared" si="178"/>
        <v>1.2250687123170316E-17</v>
      </c>
      <c r="KZ8" s="641">
        <f t="shared" si="179"/>
        <v>3.3445620578451999E-19</v>
      </c>
      <c r="LA8" s="635">
        <v>1.2485542932379452</v>
      </c>
      <c r="LB8" s="635">
        <v>5.962765195347651E-2</v>
      </c>
      <c r="LC8" s="641">
        <f t="shared" si="180"/>
        <v>1.0291510254385768E-10</v>
      </c>
      <c r="LD8" s="641">
        <f t="shared" si="181"/>
        <v>1.1739584857776637E-11</v>
      </c>
      <c r="LE8" s="647">
        <f t="shared" si="182"/>
        <v>13.589444506769564</v>
      </c>
      <c r="LF8" s="647">
        <f t="shared" si="183"/>
        <v>1.5551557401579255</v>
      </c>
      <c r="LG8" s="655"/>
      <c r="LH8" s="655"/>
      <c r="LI8" s="656"/>
      <c r="LJ8" s="656"/>
      <c r="LK8" s="656"/>
      <c r="LL8" s="656"/>
      <c r="LM8" s="641">
        <f t="shared" si="184"/>
        <v>8.2884590009164102E-15</v>
      </c>
      <c r="LN8" s="641">
        <f t="shared" si="185"/>
        <v>1.8327218897161528E-15</v>
      </c>
      <c r="LO8" s="641">
        <f t="shared" si="186"/>
        <v>3.697899996848576E-19</v>
      </c>
      <c r="LP8" s="641">
        <f t="shared" si="187"/>
        <v>8.1766975857390023E-20</v>
      </c>
      <c r="LQ8" s="641">
        <f t="shared" si="188"/>
        <v>9.4130100484891701E-14</v>
      </c>
      <c r="LR8" s="641">
        <f t="shared" si="189"/>
        <v>2.2459346100990103E-14</v>
      </c>
      <c r="LS8" s="637">
        <f t="shared" si="190"/>
        <v>21.543928092893502</v>
      </c>
      <c r="LT8" s="637">
        <f t="shared" si="191"/>
        <v>5.141487844149732</v>
      </c>
      <c r="LW8" s="658" t="str">
        <f t="shared" si="192"/>
        <v>30z1</v>
      </c>
      <c r="LX8" s="658" t="str">
        <f t="shared" si="193"/>
        <v>MN2022a</v>
      </c>
      <c r="LY8" s="659">
        <f t="shared" si="194"/>
        <v>114.83295408696968</v>
      </c>
      <c r="LZ8" s="659">
        <f t="shared" si="195"/>
        <v>4.5780876298662356</v>
      </c>
      <c r="MA8" s="659">
        <f t="shared" si="196"/>
        <v>6.2475612820275988</v>
      </c>
      <c r="MB8" s="659">
        <f t="shared" si="197"/>
        <v>0.20402041964113821</v>
      </c>
      <c r="MC8" s="659">
        <f t="shared" si="198"/>
        <v>15394.439114509589</v>
      </c>
      <c r="MD8" s="659">
        <f t="shared" si="199"/>
        <v>1168.0400048640599</v>
      </c>
      <c r="ME8" s="659">
        <f t="shared" si="200"/>
        <v>45.760784591101945</v>
      </c>
      <c r="MF8" s="659">
        <f t="shared" si="201"/>
        <v>4.4018227007431268</v>
      </c>
      <c r="MG8" s="659">
        <f t="shared" si="202"/>
        <v>60.565101019703391</v>
      </c>
      <c r="MH8" s="659">
        <f t="shared" si="203"/>
        <v>6.5565865993857138</v>
      </c>
      <c r="MI8" s="659">
        <f t="shared" si="204"/>
        <v>40.103545451106946</v>
      </c>
      <c r="MJ8" s="659">
        <f t="shared" si="205"/>
        <v>1.5084004383193117</v>
      </c>
      <c r="MK8" s="659">
        <f t="shared" si="206"/>
        <v>42.525351036624862</v>
      </c>
      <c r="ML8" s="659">
        <f t="shared" si="207"/>
        <v>2.6303945050238005</v>
      </c>
      <c r="MM8" s="659">
        <f t="shared" ref="MM8:MM37" si="261">I_ppb</f>
        <v>13.94732367292943</v>
      </c>
      <c r="MN8" s="659">
        <f t="shared" si="208"/>
        <v>1.8187241201174325</v>
      </c>
      <c r="MO8" s="659">
        <f t="shared" si="209"/>
        <v>12.72563141975237</v>
      </c>
      <c r="MP8" s="659">
        <f t="shared" si="210"/>
        <v>0.69796367089614508</v>
      </c>
      <c r="MQ8" s="660"/>
      <c r="MR8" s="660"/>
      <c r="MS8" s="660"/>
      <c r="MT8" s="660"/>
      <c r="MU8" s="661">
        <f>DZ8</f>
        <v>18.380444609212624</v>
      </c>
      <c r="MV8" s="661">
        <f>EA8</f>
        <v>0.73384636270581727</v>
      </c>
      <c r="MW8" s="662">
        <f t="shared" si="211"/>
        <v>6.4190719611623634E-3</v>
      </c>
      <c r="MX8" s="662">
        <f t="shared" si="212"/>
        <v>3.1973977019257506E-4</v>
      </c>
      <c r="MY8" s="662">
        <f t="shared" si="213"/>
        <v>6.8067121100448937E-3</v>
      </c>
      <c r="MZ8" s="662">
        <f t="shared" si="214"/>
        <v>4.7610135168314846E-4</v>
      </c>
      <c r="NA8" s="663">
        <f t="shared" si="215"/>
        <v>2.2324428754387396E-3</v>
      </c>
      <c r="NB8" s="663">
        <f t="shared" si="216"/>
        <v>3.0009916888658816E-4</v>
      </c>
      <c r="NC8" s="661">
        <f>DV8</f>
        <v>16.666757959563846</v>
      </c>
      <c r="ND8" s="661">
        <f>DW8</f>
        <v>0.66025478517747704</v>
      </c>
      <c r="NE8" s="662">
        <f t="shared" si="217"/>
        <v>2.8481097096401844E-3</v>
      </c>
      <c r="NF8" s="662">
        <f t="shared" si="218"/>
        <v>1.4043017820967194E-4</v>
      </c>
      <c r="NG8" s="663">
        <f t="shared" si="219"/>
        <v>3.0201036798836313E-3</v>
      </c>
      <c r="NH8" s="663">
        <f t="shared" si="220"/>
        <v>1.4891059025648443E-4</v>
      </c>
      <c r="NI8" s="662">
        <f>NA8*$NC$4/NI$3</f>
        <v>6.2367225727296793E-4</v>
      </c>
      <c r="NJ8" s="662">
        <f>NB8*$NC$4/NJ$3</f>
        <v>8.3837991164032363E-5</v>
      </c>
      <c r="NK8" s="664">
        <f t="shared" si="222"/>
        <v>7.9244154366646057E-9</v>
      </c>
      <c r="NL8" s="664">
        <f t="shared" si="223"/>
        <v>1.9478731620493145E-10</v>
      </c>
      <c r="NM8" s="664">
        <f t="shared" si="224"/>
        <v>3.7860334123562452E-9</v>
      </c>
      <c r="NN8" s="664">
        <f t="shared" si="225"/>
        <v>1.4675851214967271E-10</v>
      </c>
      <c r="NO8" s="664">
        <f t="shared" si="226"/>
        <v>2.4755538066597027E-6</v>
      </c>
      <c r="NP8" s="664">
        <f t="shared" si="227"/>
        <v>1.4741765776066074E-8</v>
      </c>
      <c r="NQ8" s="664">
        <f t="shared" si="228"/>
        <v>1.338890451253115E-7</v>
      </c>
      <c r="NR8" s="664">
        <f t="shared" si="229"/>
        <v>5.6274910810566515E-8</v>
      </c>
      <c r="NS8" s="664">
        <f t="shared" si="230"/>
        <v>2.4318470070335629E-6</v>
      </c>
      <c r="NT8" s="664">
        <f t="shared" si="231"/>
        <v>8.1816425271222004E-9</v>
      </c>
      <c r="NU8" s="664">
        <f t="shared" si="232"/>
        <v>2.0478961496285821E-10</v>
      </c>
      <c r="NV8" s="664">
        <f t="shared" si="233"/>
        <v>2.3549504192603141E-11</v>
      </c>
      <c r="NW8" s="664">
        <f t="shared" si="234"/>
        <v>1.9278919531285365E-12</v>
      </c>
      <c r="NX8" s="664">
        <f t="shared" si="235"/>
        <v>5.8228443686735916E-13</v>
      </c>
      <c r="NY8" s="664">
        <f t="shared" si="236"/>
        <v>1.7704956551017139E-11</v>
      </c>
      <c r="NZ8" s="664">
        <f t="shared" si="237"/>
        <v>1.383071522316207E-12</v>
      </c>
      <c r="OA8" s="665">
        <f t="shared" ref="OA8:OA37" si="262">Ar40_IC/Ar36_ClCor</f>
        <v>312.39576299922834</v>
      </c>
      <c r="OB8" s="665">
        <f t="shared" si="238"/>
        <v>7.503694386383791</v>
      </c>
      <c r="OC8" s="665">
        <f t="shared" si="239"/>
        <v>306.88030258761012</v>
      </c>
      <c r="OD8" s="665">
        <f t="shared" ref="OD8:OD37" si="263">OC8*SQRT((NT8/NS8)^2 + (NL8/NK8)^2)</f>
        <v>7.6136475911423069</v>
      </c>
      <c r="OE8" s="664">
        <f t="shared" ref="OE8:OE37" si="264">NU8/NK8</f>
        <v>2.5842867098478921E-2</v>
      </c>
      <c r="OF8" s="664">
        <f t="shared" ref="OF8:OF37" si="265">OE8*SQRT((Kr84ccerr/Kr84cc)^2 + (Ar36CCerr/Ar36CC)^2)</f>
        <v>3.0334007836872955E-3</v>
      </c>
      <c r="OG8" s="664">
        <f t="shared" ref="OG8:OG37" si="266">NW8/NK8</f>
        <v>2.4328506860059172E-4</v>
      </c>
      <c r="OH8" s="664">
        <f t="shared" ref="OH8:OH37" si="267">OG8*SQRT((NX8/NW8)^2 + (NL8/NK8)^2)</f>
        <v>7.3722738844500118E-5</v>
      </c>
      <c r="OI8" s="664">
        <f t="shared" ref="OI8:OI37" si="268">NY8/NK8</f>
        <v>2.2342287191431213E-3</v>
      </c>
      <c r="OJ8" s="664">
        <f t="shared" ref="OJ8:OJ37" si="269">OI8*SQRT((NZ8/NY8)^2 + (NL8/NK8)^2)</f>
        <v>1.8296945667469063E-4</v>
      </c>
      <c r="OK8" s="664">
        <f t="shared" si="240"/>
        <v>1.5293682577898757E-3</v>
      </c>
      <c r="OL8" s="664">
        <f t="shared" si="241"/>
        <v>5.8742958132482419E-5</v>
      </c>
      <c r="OM8" s="664">
        <f t="shared" si="242"/>
        <v>3.2010677430425656E-3</v>
      </c>
      <c r="ON8" s="664">
        <f t="shared" si="243"/>
        <v>7.6889115983183373E-5</v>
      </c>
      <c r="OO8" s="664">
        <f t="shared" si="244"/>
        <v>0.47776816379906878</v>
      </c>
      <c r="OP8" s="664">
        <f t="shared" si="245"/>
        <v>1.1475912010691449E-2</v>
      </c>
      <c r="OQ8" s="664">
        <f t="shared" si="246"/>
        <v>4.7397598342474798E-3</v>
      </c>
      <c r="OR8" s="664">
        <f t="shared" si="247"/>
        <v>8.5277771370824708E-6</v>
      </c>
    </row>
    <row r="9" spans="2:408" s="484" customFormat="1">
      <c r="B9" s="245" t="s">
        <v>961</v>
      </c>
      <c r="C9" s="5">
        <v>1.17E-3</v>
      </c>
      <c r="D9" s="66">
        <f t="shared" ref="D9:D10" si="270">C9*0.5%</f>
        <v>5.8499999999999999E-6</v>
      </c>
      <c r="E9" s="67">
        <v>45111</v>
      </c>
      <c r="F9" s="5" t="s">
        <v>210</v>
      </c>
      <c r="G9" s="5" t="s">
        <v>893</v>
      </c>
      <c r="H9" s="5">
        <v>2</v>
      </c>
      <c r="I9" s="5"/>
      <c r="J9" s="327">
        <v>44644</v>
      </c>
      <c r="K9" s="67" t="s">
        <v>823</v>
      </c>
      <c r="L9" s="5" t="s">
        <v>949</v>
      </c>
      <c r="M9" s="5" t="s">
        <v>952</v>
      </c>
      <c r="N9" s="5">
        <v>180</v>
      </c>
      <c r="O9" s="6">
        <v>1914.2716290000001</v>
      </c>
      <c r="P9" s="6">
        <v>3.6322670000000001</v>
      </c>
      <c r="Q9" s="6">
        <v>3.2329349999999999</v>
      </c>
      <c r="R9" s="6">
        <v>9.2423000000000005E-2</v>
      </c>
      <c r="S9" s="6">
        <v>23.330183999999999</v>
      </c>
      <c r="T9" s="6">
        <v>7.6520000000000005E-2</v>
      </c>
      <c r="U9" s="6">
        <v>3.6729999999999999E-2</v>
      </c>
      <c r="V9" s="6">
        <v>2.1967E-2</v>
      </c>
      <c r="W9" s="6">
        <v>5.5767369999999996</v>
      </c>
      <c r="X9" s="6">
        <v>0.13057199999999999</v>
      </c>
      <c r="Y9" s="6">
        <v>91.871756000000005</v>
      </c>
      <c r="Z9" s="6">
        <v>0.731213</v>
      </c>
      <c r="AA9" s="6">
        <v>0.32490799999999997</v>
      </c>
      <c r="AB9" s="6">
        <v>8.1854999999999997E-2</v>
      </c>
      <c r="AC9" s="6">
        <v>0.268592</v>
      </c>
      <c r="AD9" s="6">
        <v>6.7671999999999996E-2</v>
      </c>
      <c r="AE9" s="6">
        <v>2.2422000000000001E-2</v>
      </c>
      <c r="AF9" s="6">
        <v>1.5188E-2</v>
      </c>
      <c r="AG9" s="6">
        <v>0.61539200000000005</v>
      </c>
      <c r="AH9" s="6">
        <v>9.6631999999999996E-2</v>
      </c>
      <c r="AI9" s="147">
        <f t="shared" si="1"/>
        <v>1822.3998730000001</v>
      </c>
      <c r="AJ9" s="147">
        <f t="shared" si="2"/>
        <v>3.7051364361731673</v>
      </c>
      <c r="AK9" s="147">
        <f t="shared" si="3"/>
        <v>2.9080269999999997</v>
      </c>
      <c r="AL9" s="147">
        <f t="shared" si="4"/>
        <v>0.12345951544534751</v>
      </c>
      <c r="AM9" s="147">
        <f t="shared" si="5"/>
        <v>23.061591999999997</v>
      </c>
      <c r="AN9" s="147">
        <f t="shared" si="6"/>
        <v>0.10215091768554994</v>
      </c>
      <c r="AO9" s="147">
        <f t="shared" si="7"/>
        <v>1.4307999999999998E-2</v>
      </c>
      <c r="AP9" s="147">
        <f t="shared" si="8"/>
        <v>2.6706262055929877E-2</v>
      </c>
      <c r="AQ9" s="147">
        <f t="shared" si="9"/>
        <v>4.9613449999999997</v>
      </c>
      <c r="AR9" s="147">
        <f t="shared" si="10"/>
        <v>0.1624401139127894</v>
      </c>
      <c r="AS9" s="4">
        <v>304.12046242532102</v>
      </c>
      <c r="AT9" s="4">
        <v>0.91447361557367601</v>
      </c>
      <c r="AU9" s="133">
        <f t="shared" si="11"/>
        <v>2.9292355765527227</v>
      </c>
      <c r="AV9" s="133">
        <f t="shared" si="12"/>
        <v>0.12346281725396249</v>
      </c>
      <c r="AW9" s="133">
        <f t="shared" si="13"/>
        <v>23.39797370440623</v>
      </c>
      <c r="AX9" s="133">
        <f t="shared" si="14"/>
        <v>0.1021550386068374</v>
      </c>
      <c r="AY9" s="133">
        <f t="shared" si="15"/>
        <v>1.4621049686247443E-2</v>
      </c>
      <c r="AZ9" s="133">
        <f t="shared" si="16"/>
        <v>2.6707524690730323E-2</v>
      </c>
      <c r="BA9" s="133">
        <f t="shared" si="17"/>
        <v>5.1060796468749716</v>
      </c>
      <c r="BB9" s="133">
        <f t="shared" si="18"/>
        <v>0.16244447478413934</v>
      </c>
      <c r="BC9" s="6"/>
      <c r="BD9" s="8"/>
      <c r="BE9" s="147">
        <v>3.7839999999999998</v>
      </c>
      <c r="BF9" s="147">
        <f t="shared" si="249"/>
        <v>0.18920000000000001</v>
      </c>
      <c r="BG9" s="147">
        <f t="shared" si="250"/>
        <v>2.7043898611561881</v>
      </c>
      <c r="BH9" s="147">
        <f t="shared" si="251"/>
        <v>0.13521949305780942</v>
      </c>
      <c r="BI9" s="157">
        <f t="shared" si="19"/>
        <v>7.8945512413990525E-7</v>
      </c>
      <c r="BJ9" s="157">
        <f t="shared" si="252"/>
        <v>3.9472756206995272E-8</v>
      </c>
      <c r="BK9" s="133">
        <f t="shared" si="20"/>
        <v>305.6671112996068</v>
      </c>
      <c r="BL9" s="133">
        <f t="shared" si="253"/>
        <v>15.283355564980344</v>
      </c>
      <c r="BM9" s="133"/>
      <c r="BN9" s="133"/>
      <c r="BO9" s="143">
        <f t="shared" si="254"/>
        <v>1822.018440294157</v>
      </c>
      <c r="BP9" s="133">
        <f t="shared" si="255"/>
        <v>3.7051713151212131</v>
      </c>
      <c r="BQ9" s="143">
        <f t="shared" ref="BQ9:BQ37" si="271">AU9</f>
        <v>2.9292355765527227</v>
      </c>
      <c r="BR9" s="133">
        <f t="shared" ref="BR9:BR37" si="272">AV9</f>
        <v>0.12346281725396249</v>
      </c>
      <c r="BS9" s="143">
        <f t="shared" si="256"/>
        <v>23.39797370440623</v>
      </c>
      <c r="BT9" s="133">
        <f t="shared" si="257"/>
        <v>0.1021550386068374</v>
      </c>
      <c r="BU9" s="147">
        <f t="shared" si="258"/>
        <v>4.9994540491059078</v>
      </c>
      <c r="BV9" s="147">
        <f t="shared" si="21"/>
        <v>0.16253193511782202</v>
      </c>
      <c r="BW9" s="5"/>
      <c r="BX9" s="147">
        <f t="shared" si="22"/>
        <v>4.9791516206386328</v>
      </c>
      <c r="BY9" s="147">
        <f t="shared" si="23"/>
        <v>0.16253255764814403</v>
      </c>
      <c r="BZ9" s="143">
        <f t="shared" si="24"/>
        <v>22.458073654306485</v>
      </c>
      <c r="CA9" s="147">
        <f t="shared" si="25"/>
        <v>1.4961573762835119E-2</v>
      </c>
      <c r="CB9" s="143">
        <f t="shared" si="26"/>
        <v>350.67913639544099</v>
      </c>
      <c r="CC9" s="143">
        <f t="shared" si="27"/>
        <v>48.171077367424424</v>
      </c>
      <c r="CD9" s="3">
        <v>1.5903158759700325E-12</v>
      </c>
      <c r="CE9" s="3">
        <v>4.0102150310807229E-15</v>
      </c>
      <c r="CF9" s="157">
        <f t="shared" si="28"/>
        <v>7.9184238711635338E-12</v>
      </c>
      <c r="CG9" s="157">
        <f t="shared" si="29"/>
        <v>2.5924820441962788E-13</v>
      </c>
      <c r="CH9" s="157">
        <f t="shared" si="30"/>
        <v>4.8610725986166364E-10</v>
      </c>
      <c r="CI9" s="158">
        <f t="shared" si="31"/>
        <v>2.4336253479518206E-11</v>
      </c>
      <c r="CJ9" s="157">
        <f t="shared" si="32"/>
        <v>3.5715431076147927E-11</v>
      </c>
      <c r="CK9" s="477">
        <f t="shared" si="33"/>
        <v>9.3151743790246468E-14</v>
      </c>
      <c r="CL9" s="157">
        <f t="shared" si="34"/>
        <v>4.6584098418480265E-12</v>
      </c>
      <c r="CM9" s="157">
        <f t="shared" si="35"/>
        <v>1.966959584968594E-13</v>
      </c>
      <c r="CN9" s="157">
        <f t="shared" si="36"/>
        <v>2.8975848519099548E-9</v>
      </c>
      <c r="CO9" s="157">
        <f t="shared" si="37"/>
        <v>9.3865834546766188E-12</v>
      </c>
      <c r="CP9" s="157">
        <f t="shared" si="38"/>
        <v>1.5934456869404851E-15</v>
      </c>
      <c r="CQ9" s="157">
        <f t="shared" si="39"/>
        <v>4.1559696627259405E-18</v>
      </c>
      <c r="CR9" s="157">
        <f t="shared" si="40"/>
        <v>1.292758884801337E-13</v>
      </c>
      <c r="CS9" s="157">
        <f t="shared" si="41"/>
        <v>4.1878288207697763E-16</v>
      </c>
      <c r="CT9" s="66">
        <v>4.4291263970278813E-3</v>
      </c>
      <c r="CU9" s="66">
        <v>7.9614814296090847E-6</v>
      </c>
      <c r="CV9" s="3">
        <v>1.1611559367069784E+19</v>
      </c>
      <c r="CW9" s="60">
        <v>1.040942599512031E+18</v>
      </c>
      <c r="CX9" s="3">
        <v>8.6527210079182822E+17</v>
      </c>
      <c r="CY9" s="3">
        <v>8.9278178143800032E+16</v>
      </c>
      <c r="CZ9" s="6">
        <v>0.49865169925804054</v>
      </c>
      <c r="DA9" s="6">
        <v>2.7936431740382541E-2</v>
      </c>
      <c r="DB9" s="4">
        <v>24.337069265073254</v>
      </c>
      <c r="DC9" s="4">
        <v>0.74264427477540718</v>
      </c>
      <c r="DD9" s="157">
        <f t="shared" si="42"/>
        <v>3.8672315573105579E-9</v>
      </c>
      <c r="DE9" s="157">
        <f t="shared" si="43"/>
        <v>1.6721801084802142E-10</v>
      </c>
      <c r="DF9" s="147">
        <f t="shared" si="44"/>
        <v>129.23263213435501</v>
      </c>
      <c r="DG9" s="147">
        <f t="shared" si="45"/>
        <v>5.6252181597748203</v>
      </c>
      <c r="DH9" s="159">
        <f t="shared" si="46"/>
        <v>1.2923263213435501E-2</v>
      </c>
      <c r="DI9" s="167">
        <f t="shared" si="47"/>
        <v>5.6252181597748205E-4</v>
      </c>
      <c r="DJ9" s="157">
        <f t="shared" si="48"/>
        <v>1.3435535614433916E-9</v>
      </c>
      <c r="DK9" s="157">
        <f t="shared" si="49"/>
        <v>4.3010188502682926E-11</v>
      </c>
      <c r="DL9" s="147">
        <f t="shared" si="50"/>
        <v>40.711969584489367</v>
      </c>
      <c r="DM9" s="133">
        <f t="shared" si="51"/>
        <v>1.3190834864115109</v>
      </c>
      <c r="DN9" s="159">
        <f t="shared" si="52"/>
        <v>4.0711969584489366E-3</v>
      </c>
      <c r="DO9" s="167">
        <f t="shared" si="53"/>
        <v>1.3190834864115108E-4</v>
      </c>
      <c r="DP9" s="157">
        <f t="shared" si="54"/>
        <v>7.8945512413990525E-7</v>
      </c>
      <c r="DQ9" s="157">
        <f t="shared" si="55"/>
        <v>5.9768952908068204E-8</v>
      </c>
      <c r="DR9" s="143">
        <f t="shared" si="56"/>
        <v>27043.898611561883</v>
      </c>
      <c r="DS9" s="143">
        <f t="shared" si="57"/>
        <v>2051.9317875401071</v>
      </c>
      <c r="DT9" s="147">
        <f t="shared" si="58"/>
        <v>2.7043898611561881</v>
      </c>
      <c r="DU9" s="147">
        <f t="shared" si="59"/>
        <v>0.20519317875401072</v>
      </c>
      <c r="DV9" s="133">
        <f>K_mole/Cl_mole</f>
        <v>2.8783605419913116</v>
      </c>
      <c r="DW9" s="133">
        <f>KCl_mol*SQRT(K_moleerr/K_mole)^2+(Cl_moleerr/Cl_mole)^2</f>
        <v>0.12548428965210845</v>
      </c>
      <c r="DX9" s="133">
        <f t="shared" si="62"/>
        <v>4.8986084693842802E-3</v>
      </c>
      <c r="DY9" s="133">
        <f t="shared" si="63"/>
        <v>5.9436853457312498E-3</v>
      </c>
      <c r="DZ9" s="133">
        <f t="shared" si="64"/>
        <v>3.1743154028978902</v>
      </c>
      <c r="EA9" s="133">
        <f t="shared" si="65"/>
        <v>0.139220898186874</v>
      </c>
      <c r="EB9" s="133">
        <f t="shared" si="66"/>
        <v>4.7786243392846147E-3</v>
      </c>
      <c r="EC9" s="133">
        <f t="shared" si="67"/>
        <v>5.9648840719908917E-3</v>
      </c>
      <c r="ED9" s="157">
        <f t="shared" si="68"/>
        <v>9.6219378363488132E-5</v>
      </c>
      <c r="EE9" s="157">
        <f t="shared" si="69"/>
        <v>3.0959307624779585E-6</v>
      </c>
      <c r="EF9" s="147">
        <f t="shared" si="70"/>
        <v>119.71694567773156</v>
      </c>
      <c r="EG9" s="147">
        <f t="shared" si="71"/>
        <v>17.201649190873049</v>
      </c>
      <c r="EH9" s="157">
        <f t="shared" si="72"/>
        <v>3.3428535779232679E-5</v>
      </c>
      <c r="EI9" s="157">
        <f t="shared" si="73"/>
        <v>1.4494913214467767E-6</v>
      </c>
      <c r="EJ9" s="143">
        <f t="shared" si="74"/>
        <v>766.6430400924171</v>
      </c>
      <c r="EK9" s="143">
        <f t="shared" si="75"/>
        <v>90.025137354890418</v>
      </c>
      <c r="EL9" s="143">
        <f t="shared" si="76"/>
        <v>90.032181681987623</v>
      </c>
      <c r="EM9" s="133">
        <f t="shared" si="77"/>
        <v>766.6430400924171</v>
      </c>
      <c r="EN9" s="133">
        <f t="shared" si="78"/>
        <v>90.025137354890418</v>
      </c>
      <c r="EO9" s="133">
        <f t="shared" si="79"/>
        <v>90.032181681987623</v>
      </c>
      <c r="EP9" s="501">
        <f t="shared" si="259"/>
        <v>2.2045655613364636</v>
      </c>
      <c r="EQ9" s="143">
        <f t="shared" si="80"/>
        <v>766.6430400924171</v>
      </c>
      <c r="ER9" s="143">
        <f t="shared" si="80"/>
        <v>90.025137354890418</v>
      </c>
      <c r="ES9" s="147">
        <f t="shared" si="81"/>
        <v>0.58830013619408816</v>
      </c>
      <c r="ET9" s="147">
        <f t="shared" si="82"/>
        <v>1.9240886577758826E-2</v>
      </c>
      <c r="EU9" s="143">
        <f t="shared" si="83"/>
        <v>365.92949544694972</v>
      </c>
      <c r="EV9" s="143">
        <f t="shared" si="84"/>
        <v>11.968054202571894</v>
      </c>
      <c r="EW9" s="157">
        <f t="shared" si="85"/>
        <v>1.6076871187318007E-3</v>
      </c>
      <c r="EX9" s="157">
        <f t="shared" si="86"/>
        <v>6.7840385092202241E-5</v>
      </c>
      <c r="EY9" s="157">
        <f t="shared" si="87"/>
        <v>2.732766864771561E-3</v>
      </c>
      <c r="EZ9" s="157">
        <f t="shared" si="88"/>
        <v>8.9377605160336157E-5</v>
      </c>
      <c r="FA9" s="66">
        <v>0.66053200000000001</v>
      </c>
      <c r="FB9" s="66">
        <v>3.1489999999999999E-3</v>
      </c>
      <c r="FC9" s="66">
        <v>0.21113799999999999</v>
      </c>
      <c r="FD9" s="66">
        <v>3.6350000000000002E-3</v>
      </c>
      <c r="FE9" s="66">
        <v>0.113331</v>
      </c>
      <c r="FF9" s="66">
        <v>1.5510000000000001E-3</v>
      </c>
      <c r="FG9" s="117"/>
      <c r="FH9" s="117"/>
      <c r="FI9" s="66">
        <v>4.0173E-2</v>
      </c>
      <c r="FJ9" s="66">
        <v>3.0690000000000001E-3</v>
      </c>
      <c r="FK9" s="66">
        <v>1.4104E-2</v>
      </c>
      <c r="FL9" s="66">
        <v>6.4000000000000005E-4</v>
      </c>
      <c r="FM9" s="66">
        <v>7.9740000000000002E-3</v>
      </c>
      <c r="FN9" s="66">
        <v>4.1899999999999999E-4</v>
      </c>
      <c r="FO9" s="117"/>
      <c r="FP9" s="117"/>
      <c r="FQ9" s="159">
        <f t="shared" si="89"/>
        <v>0.62035899999999999</v>
      </c>
      <c r="FR9" s="159">
        <f t="shared" si="90"/>
        <v>4.3971538522094037E-3</v>
      </c>
      <c r="FS9" s="159">
        <f t="shared" si="91"/>
        <v>0.19703399999999999</v>
      </c>
      <c r="FT9" s="159">
        <f t="shared" si="92"/>
        <v>5.1406662992262006E-3</v>
      </c>
      <c r="FU9" s="159">
        <f t="shared" si="93"/>
        <v>0.10535700000000001</v>
      </c>
      <c r="FV9" s="159">
        <f t="shared" si="94"/>
        <v>1.6065995145026031E-3</v>
      </c>
      <c r="FW9" s="159">
        <f t="shared" si="95"/>
        <v>0</v>
      </c>
      <c r="FX9" s="159">
        <f t="shared" si="96"/>
        <v>0</v>
      </c>
      <c r="FY9" s="159">
        <f t="shared" si="97"/>
        <v>0.10462517686767672</v>
      </c>
      <c r="FZ9" s="159">
        <f t="shared" si="98"/>
        <v>1.4287878510919247E-2</v>
      </c>
      <c r="GA9" s="159">
        <f t="shared" si="99"/>
        <v>0.61621584299604004</v>
      </c>
      <c r="GB9" s="159">
        <f t="shared" si="100"/>
        <v>4.4334063233127038E-3</v>
      </c>
      <c r="GC9" s="159">
        <f t="shared" si="101"/>
        <v>0.17587878923735575</v>
      </c>
      <c r="GD9" s="159">
        <f t="shared" si="102"/>
        <v>5.8968485824022407E-3</v>
      </c>
      <c r="GE9" s="159">
        <f t="shared" si="103"/>
        <v>-3.193160398001494E-2</v>
      </c>
      <c r="GF9" s="159">
        <f t="shared" si="104"/>
        <v>4.3606605215325547E-3</v>
      </c>
      <c r="GG9" s="3">
        <v>1.7782159136499011E-12</v>
      </c>
      <c r="GH9" s="3">
        <v>7.5535622364420377E-15</v>
      </c>
      <c r="GI9" s="6">
        <v>1</v>
      </c>
      <c r="GJ9" s="6">
        <v>5.0000000000000001E-3</v>
      </c>
      <c r="GK9" s="157">
        <f t="shared" si="105"/>
        <v>1.0957648182587473E-12</v>
      </c>
      <c r="GL9" s="157">
        <f t="shared" si="106"/>
        <v>1.0669276605148798E-14</v>
      </c>
      <c r="GM9" s="157">
        <f t="shared" si="107"/>
        <v>3.1275046189534296E-13</v>
      </c>
      <c r="GN9" s="157">
        <f t="shared" si="108"/>
        <v>1.0684743011076361E-14</v>
      </c>
      <c r="GO9" s="157">
        <f t="shared" si="109"/>
        <v>1.8604615447453825E-13</v>
      </c>
      <c r="GP9" s="157">
        <f t="shared" si="110"/>
        <v>2.5436236620508325E-14</v>
      </c>
      <c r="GQ9" s="157">
        <f t="shared" si="111"/>
        <v>-5.6781286345629088E-14</v>
      </c>
      <c r="GR9" s="157">
        <f t="shared" si="112"/>
        <v>-7.763139416579142E-15</v>
      </c>
      <c r="GS9" s="157">
        <f t="shared" si="113"/>
        <v>4.8887600427748891E-17</v>
      </c>
      <c r="GT9" s="157">
        <f t="shared" si="114"/>
        <v>4.7601029323050649E-19</v>
      </c>
      <c r="GU9" s="157">
        <f t="shared" si="115"/>
        <v>1.3953377002037522E-17</v>
      </c>
      <c r="GV9" s="157">
        <f t="shared" si="116"/>
        <v>4.7670032690410177E-19</v>
      </c>
      <c r="GW9" s="157">
        <f t="shared" si="117"/>
        <v>8.3004581909498314E-18</v>
      </c>
      <c r="GX9" s="157">
        <f t="shared" si="118"/>
        <v>1.1348389285543184E-18</v>
      </c>
      <c r="GY9" s="147">
        <f t="shared" si="119"/>
        <v>3.5036393283582998</v>
      </c>
      <c r="GZ9" s="147">
        <f t="shared" si="120"/>
        <v>3.5281508263640654E-2</v>
      </c>
      <c r="HA9" s="4">
        <v>26.169770272470501</v>
      </c>
      <c r="HB9" s="4">
        <v>0.31897682079735301</v>
      </c>
      <c r="HC9" s="228">
        <f t="shared" si="121"/>
        <v>852.979225898398</v>
      </c>
      <c r="HD9" s="228">
        <f t="shared" si="122"/>
        <v>13.49147988887098</v>
      </c>
      <c r="HE9" s="239">
        <f t="shared" si="123"/>
        <v>6.988774058778317E-13</v>
      </c>
      <c r="HF9" s="229">
        <f t="shared" si="124"/>
        <v>2.4954513341976083E-14</v>
      </c>
      <c r="HG9" s="362">
        <f t="shared" si="125"/>
        <v>47.729145503642947</v>
      </c>
      <c r="HH9" s="362">
        <f t="shared" si="126"/>
        <v>1.7208716783979132</v>
      </c>
      <c r="HI9" s="4">
        <v>7.5091582159801398</v>
      </c>
      <c r="HJ9" s="4">
        <v>0.114829942558394</v>
      </c>
      <c r="HK9" s="228">
        <f t="shared" si="127"/>
        <v>857.52974137085425</v>
      </c>
      <c r="HL9" s="228">
        <f t="shared" si="128"/>
        <v>32.175223570340087</v>
      </c>
      <c r="HM9" s="239">
        <f t="shared" si="129"/>
        <v>6.9516878529551446E-13</v>
      </c>
      <c r="HN9" s="229">
        <f t="shared" si="130"/>
        <v>2.4822091230424889E-14</v>
      </c>
      <c r="HO9" s="362">
        <f t="shared" si="131"/>
        <v>47.475868906198954</v>
      </c>
      <c r="HP9" s="362">
        <f t="shared" si="132"/>
        <v>2.353576288793886</v>
      </c>
      <c r="HQ9" s="6">
        <v>1.11613116912226</v>
      </c>
      <c r="HR9" s="6">
        <v>3.5153924948669403E-2</v>
      </c>
      <c r="HS9" s="6">
        <f t="shared" si="133"/>
        <v>50.89277007434314</v>
      </c>
      <c r="HT9" s="6">
        <f t="shared" si="134"/>
        <v>4.8738718182450294</v>
      </c>
      <c r="HU9" s="6">
        <v>1.11613116912226</v>
      </c>
      <c r="HV9" s="6">
        <v>3.5153924948669403E-2</v>
      </c>
      <c r="HW9" s="6">
        <f t="shared" si="135"/>
        <v>63.184302918723731</v>
      </c>
      <c r="HX9" s="6">
        <f t="shared" si="136"/>
        <v>6.4387211769147932</v>
      </c>
      <c r="HY9" s="3">
        <v>7.6359999999999997E-2</v>
      </c>
      <c r="HZ9" s="3">
        <v>2.3930000000000002E-3</v>
      </c>
      <c r="IA9" s="3">
        <v>7.6220000000000003E-3</v>
      </c>
      <c r="IB9" s="3">
        <v>5.62E-4</v>
      </c>
      <c r="IC9" s="3">
        <v>1.4829999999999999E-3</v>
      </c>
      <c r="ID9" s="3">
        <v>1.9000000000000001E-4</v>
      </c>
      <c r="IE9" s="3">
        <v>0.76448199999999999</v>
      </c>
      <c r="IF9" s="3">
        <v>1.2331E-2</v>
      </c>
      <c r="IG9" s="3">
        <v>8.4539999999999997E-3</v>
      </c>
      <c r="IH9" s="3">
        <v>5.1500000000000005E-4</v>
      </c>
      <c r="II9" s="3">
        <v>6.1729999999999997E-3</v>
      </c>
      <c r="IJ9" s="3">
        <v>5.5900000000000004E-4</v>
      </c>
      <c r="IK9" s="3">
        <v>6.9490000000000003E-3</v>
      </c>
      <c r="IL9" s="3">
        <v>3.6200000000000002E-4</v>
      </c>
      <c r="IM9" s="3">
        <v>3.4169999999999999E-3</v>
      </c>
      <c r="IN9" s="3">
        <v>4.0499999999999998E-4</v>
      </c>
      <c r="IO9" s="3">
        <v>9.68E-4</v>
      </c>
      <c r="IP9" s="3">
        <v>2.4899999999999998E-4</v>
      </c>
      <c r="IQ9" s="3">
        <v>2.5999999999999998E-5</v>
      </c>
      <c r="IR9" s="3">
        <v>6.4999999999999994E-5</v>
      </c>
      <c r="IS9" s="3">
        <v>1.4809999999999999E-3</v>
      </c>
      <c r="IT9" s="3">
        <v>3.1799999999999998E-4</v>
      </c>
      <c r="IU9" s="3">
        <v>6.5799999999999995E-4</v>
      </c>
      <c r="IV9" s="3">
        <v>1.13E-4</v>
      </c>
      <c r="IW9" s="3">
        <v>3.8900000000000002E-4</v>
      </c>
      <c r="IX9" s="3">
        <v>2.0599999999999999E-4</v>
      </c>
      <c r="IY9" s="3">
        <v>2.13E-4</v>
      </c>
      <c r="IZ9" s="3">
        <v>1.07E-4</v>
      </c>
      <c r="JA9" s="157">
        <f t="shared" si="137"/>
        <v>7.2942999999999994E-2</v>
      </c>
      <c r="JB9" s="157">
        <f t="shared" si="138"/>
        <v>2.4270298720864563E-3</v>
      </c>
      <c r="JC9" s="157">
        <f t="shared" si="139"/>
        <v>6.6540000000000002E-3</v>
      </c>
      <c r="JD9" s="157">
        <f t="shared" si="140"/>
        <v>6.1469097927332561E-4</v>
      </c>
      <c r="JE9" s="157">
        <f t="shared" si="141"/>
        <v>1.457E-3</v>
      </c>
      <c r="JF9" s="157">
        <f t="shared" si="142"/>
        <v>2.0081085628023205E-4</v>
      </c>
      <c r="JG9" s="157">
        <f t="shared" si="143"/>
        <v>0.76300100000000004</v>
      </c>
      <c r="JH9" s="157">
        <f t="shared" si="144"/>
        <v>1.233509971585151E-2</v>
      </c>
      <c r="JI9" s="157">
        <f t="shared" si="145"/>
        <v>7.796E-3</v>
      </c>
      <c r="JJ9" s="157">
        <f t="shared" si="146"/>
        <v>5.2725136320354836E-4</v>
      </c>
      <c r="JK9" s="157">
        <f t="shared" si="147"/>
        <v>5.7839999999999992E-3</v>
      </c>
      <c r="JL9" s="157">
        <f t="shared" si="148"/>
        <v>5.9574910826622315E-4</v>
      </c>
      <c r="JM9" s="157">
        <f t="shared" si="149"/>
        <v>6.7360000000000007E-3</v>
      </c>
      <c r="JN9" s="157">
        <f t="shared" si="150"/>
        <v>3.7748244992317196E-4</v>
      </c>
      <c r="JO9" s="157">
        <f t="shared" si="151"/>
        <v>7.2255881109344999E-2</v>
      </c>
      <c r="JP9" s="157">
        <f t="shared" si="152"/>
        <v>2.4288767947854735E-3</v>
      </c>
      <c r="JQ9" s="157">
        <f t="shared" si="153"/>
        <v>-2.8059141344459991E-3</v>
      </c>
      <c r="JR9" s="157">
        <f t="shared" si="154"/>
        <v>1.441447054316594E-3</v>
      </c>
      <c r="JS9" s="157">
        <f t="shared" si="155"/>
        <v>0.75540804755626201</v>
      </c>
      <c r="JT9" s="157">
        <f t="shared" si="156"/>
        <v>1.2379412046910506E-2</v>
      </c>
      <c r="JU9" s="157">
        <f t="shared" si="157"/>
        <v>-1.827513870455E-3</v>
      </c>
      <c r="JV9" s="157">
        <f t="shared" si="158"/>
        <v>1.4273135652187931E-3</v>
      </c>
      <c r="JW9" s="157">
        <f t="shared" si="159"/>
        <v>2.0337166445459991E-3</v>
      </c>
      <c r="JX9" s="157">
        <f t="shared" si="160"/>
        <v>7.8872326171735793E-4</v>
      </c>
      <c r="JY9" s="157">
        <f t="shared" si="161"/>
        <v>3.5660145311610008E-3</v>
      </c>
      <c r="JZ9" s="157">
        <f t="shared" si="162"/>
        <v>5.7738819410540663E-4</v>
      </c>
      <c r="KA9" s="3">
        <v>1.7696448643015688E-12</v>
      </c>
      <c r="KB9" s="3">
        <v>3.8892524257744769E-14</v>
      </c>
      <c r="KC9" s="5">
        <v>1</v>
      </c>
      <c r="KD9" s="5">
        <v>0</v>
      </c>
      <c r="KE9" s="157">
        <f t="shared" si="163"/>
        <v>1.2786724892073712E-13</v>
      </c>
      <c r="KF9" s="157">
        <f t="shared" si="164"/>
        <v>5.1353917052923232E-15</v>
      </c>
      <c r="KG9" s="157">
        <f t="shared" si="165"/>
        <v>5.7048035024212642E-18</v>
      </c>
      <c r="KH9" s="157">
        <f t="shared" si="166"/>
        <v>2.2911574963086978E-19</v>
      </c>
      <c r="KI9" s="6">
        <v>1.2430056234832578</v>
      </c>
      <c r="KJ9" s="6">
        <v>0.11113867994607306</v>
      </c>
      <c r="KK9" s="157">
        <f t="shared" si="167"/>
        <v>6.8260345779484995E-14</v>
      </c>
      <c r="KL9" s="157">
        <f t="shared" si="260"/>
        <v>9.0778860534129385E-15</v>
      </c>
      <c r="KM9" s="494">
        <f t="shared" si="168"/>
        <v>7.4038846589509859</v>
      </c>
      <c r="KN9" s="494">
        <f t="shared" si="169"/>
        <v>0.98963640227840677</v>
      </c>
      <c r="KO9" s="4">
        <v>20.162258156415799</v>
      </c>
      <c r="KP9" s="4">
        <v>0.66285498057307002</v>
      </c>
      <c r="KQ9" s="229">
        <f t="shared" si="170"/>
        <v>5631.6511663698248</v>
      </c>
      <c r="KR9" s="229">
        <f t="shared" si="171"/>
        <v>292.6624515825398</v>
      </c>
      <c r="KS9" s="364">
        <f t="shared" si="172"/>
        <v>7.2291355380117404</v>
      </c>
      <c r="KT9" s="364">
        <f t="shared" si="173"/>
        <v>0.44271588317955279</v>
      </c>
      <c r="KU9" s="147">
        <f t="shared" si="174"/>
        <v>0.75466866261245835</v>
      </c>
      <c r="KV9" s="147">
        <f t="shared" si="175"/>
        <v>1.2382769290547666E-2</v>
      </c>
      <c r="KW9" s="157">
        <f t="shared" si="176"/>
        <v>1.3354955230414703E-12</v>
      </c>
      <c r="KX9" s="157">
        <f t="shared" si="177"/>
        <v>3.6628725440330362E-14</v>
      </c>
      <c r="KY9" s="157">
        <f t="shared" si="178"/>
        <v>5.9583197430310194E-17</v>
      </c>
      <c r="KZ9" s="157">
        <f t="shared" si="179"/>
        <v>1.6341923595890963E-18</v>
      </c>
      <c r="LA9" s="6">
        <v>1.2485542932379501</v>
      </c>
      <c r="LB9" s="6">
        <v>5.9627651953476503E-2</v>
      </c>
      <c r="LC9" s="157">
        <f t="shared" si="180"/>
        <v>5.0054423982745413E-10</v>
      </c>
      <c r="LD9" s="157">
        <f t="shared" si="181"/>
        <v>5.7112502394168242E-11</v>
      </c>
      <c r="LE9" s="159">
        <f t="shared" si="182"/>
        <v>58.750631472465635</v>
      </c>
      <c r="LF9" s="159">
        <f t="shared" si="183"/>
        <v>6.7084945438327663</v>
      </c>
      <c r="LG9" s="471"/>
      <c r="LH9" s="471"/>
      <c r="LI9" s="134"/>
      <c r="LJ9" s="134"/>
      <c r="LK9" s="134"/>
      <c r="LL9" s="134"/>
      <c r="LM9" s="157">
        <f t="shared" si="184"/>
        <v>3.5989562154654464E-15</v>
      </c>
      <c r="LN9" s="157">
        <f t="shared" si="185"/>
        <v>1.397999430561181E-15</v>
      </c>
      <c r="LO9" s="157">
        <f t="shared" si="186"/>
        <v>1.6056760582825323E-19</v>
      </c>
      <c r="LP9" s="157">
        <f t="shared" si="187"/>
        <v>6.2371812291050532E-20</v>
      </c>
      <c r="LQ9" s="157">
        <f t="shared" si="188"/>
        <v>4.0872508407779061E-14</v>
      </c>
      <c r="LR9" s="157">
        <f t="shared" si="189"/>
        <v>1.6294077698437948E-14</v>
      </c>
      <c r="LS9" s="147">
        <f t="shared" si="190"/>
        <v>8.3152466882645175</v>
      </c>
      <c r="LT9" s="147">
        <f t="shared" si="191"/>
        <v>3.315185122283089</v>
      </c>
      <c r="LU9" s="1"/>
      <c r="LV9" s="1"/>
      <c r="LW9" s="214" t="str">
        <f t="shared" si="192"/>
        <v>36z4</v>
      </c>
      <c r="LX9" s="214" t="str">
        <f t="shared" si="193"/>
        <v>MN2022a</v>
      </c>
      <c r="LY9" s="212">
        <f t="shared" si="194"/>
        <v>129.23263213435501</v>
      </c>
      <c r="LZ9" s="212">
        <f t="shared" si="195"/>
        <v>5.6252181597748203</v>
      </c>
      <c r="MA9" s="212">
        <f t="shared" si="196"/>
        <v>40.711969584489367</v>
      </c>
      <c r="MB9" s="212">
        <f t="shared" si="197"/>
        <v>1.3190834864115109</v>
      </c>
      <c r="MC9" s="212">
        <f t="shared" si="198"/>
        <v>27043.898611561883</v>
      </c>
      <c r="MD9" s="212">
        <f t="shared" si="199"/>
        <v>2051.9317875401071</v>
      </c>
      <c r="ME9" s="212">
        <f t="shared" si="200"/>
        <v>50.89277007434314</v>
      </c>
      <c r="MF9" s="212">
        <f t="shared" si="201"/>
        <v>4.8738718182450294</v>
      </c>
      <c r="MG9" s="212">
        <f t="shared" si="202"/>
        <v>63.184302918723731</v>
      </c>
      <c r="MH9" s="212">
        <f t="shared" si="203"/>
        <v>6.4387211769147932</v>
      </c>
      <c r="MI9" s="212">
        <f t="shared" si="204"/>
        <v>47.729145503642947</v>
      </c>
      <c r="MJ9" s="212">
        <f t="shared" si="205"/>
        <v>1.7208716783979132</v>
      </c>
      <c r="MK9" s="212">
        <f t="shared" si="206"/>
        <v>47.475868906198954</v>
      </c>
      <c r="ML9" s="212">
        <f t="shared" si="207"/>
        <v>2.353576288793886</v>
      </c>
      <c r="MM9" s="212">
        <f t="shared" si="261"/>
        <v>7.4038846589509859</v>
      </c>
      <c r="MN9" s="212">
        <f t="shared" si="208"/>
        <v>0.98963640227840677</v>
      </c>
      <c r="MO9" s="212">
        <f t="shared" si="209"/>
        <v>7.2291355380117404</v>
      </c>
      <c r="MP9" s="212">
        <f t="shared" si="210"/>
        <v>0.44271588317955279</v>
      </c>
      <c r="MQ9" s="211"/>
      <c r="MR9" s="211"/>
      <c r="MS9" s="211"/>
      <c r="MT9" s="211"/>
      <c r="MU9" s="506">
        <f t="shared" ref="MU9:MU37" si="273">DZ9</f>
        <v>3.1743154028978902</v>
      </c>
      <c r="MV9" s="506">
        <f t="shared" ref="MV9:MV37" si="274">EA9</f>
        <v>0.139220898186874</v>
      </c>
      <c r="MW9" s="109">
        <f t="shared" si="211"/>
        <v>1.1723614944393901E-3</v>
      </c>
      <c r="MX9" s="109">
        <f t="shared" si="212"/>
        <v>5.6829235744762085E-5</v>
      </c>
      <c r="MY9" s="109">
        <f t="shared" si="213"/>
        <v>1.1661403118233447E-3</v>
      </c>
      <c r="MZ9" s="109">
        <f t="shared" si="214"/>
        <v>6.9062509701706091E-5</v>
      </c>
      <c r="NA9" s="513">
        <f t="shared" si="215"/>
        <v>1.8186014419139653E-4</v>
      </c>
      <c r="NB9" s="513">
        <f t="shared" si="216"/>
        <v>2.5012202546996143E-5</v>
      </c>
      <c r="NC9" s="506">
        <f t="shared" ref="NC9:NC37" si="275">DV9</f>
        <v>2.8783605419913116</v>
      </c>
      <c r="ND9" s="506">
        <f t="shared" ref="ND9:ND37" si="276">DW9</f>
        <v>0.12548428965210845</v>
      </c>
      <c r="NE9" s="109">
        <f t="shared" si="217"/>
        <v>5.2017085580646403E-4</v>
      </c>
      <c r="NF9" s="109">
        <f t="shared" si="218"/>
        <v>2.4945128876943171E-5</v>
      </c>
      <c r="NG9" s="513">
        <f t="shared" si="219"/>
        <v>5.1741054859672907E-4</v>
      </c>
      <c r="NH9" s="513">
        <f t="shared" si="220"/>
        <v>2.4812756564426659E-5</v>
      </c>
      <c r="NI9" s="109">
        <f t="shared" si="221"/>
        <v>5.0805836012061531E-5</v>
      </c>
      <c r="NJ9" s="109">
        <f t="shared" si="221"/>
        <v>6.9875995455373198E-6</v>
      </c>
      <c r="NK9" s="621">
        <f t="shared" si="222"/>
        <v>6.7678836505671224E-9</v>
      </c>
      <c r="NL9" s="621">
        <f t="shared" si="223"/>
        <v>2.2414872918250376E-10</v>
      </c>
      <c r="NM9" s="621">
        <f t="shared" si="224"/>
        <v>3.9815468733743812E-9</v>
      </c>
      <c r="NN9" s="621">
        <f t="shared" si="225"/>
        <v>1.692908027104867E-10</v>
      </c>
      <c r="NO9" s="621">
        <f t="shared" si="226"/>
        <v>2.476568249495688E-6</v>
      </c>
      <c r="NP9" s="621">
        <f t="shared" si="227"/>
        <v>1.4754619887429953E-8</v>
      </c>
      <c r="NQ9" s="621">
        <f t="shared" si="228"/>
        <v>4.7665863075310275E-7</v>
      </c>
      <c r="NR9" s="621">
        <f t="shared" si="229"/>
        <v>6.5530649146103962E-8</v>
      </c>
      <c r="NS9" s="621">
        <f t="shared" si="230"/>
        <v>2.4273807596957033E-6</v>
      </c>
      <c r="NT9" s="621">
        <f t="shared" si="231"/>
        <v>8.2876606098765337E-9</v>
      </c>
      <c r="NU9" s="621">
        <f t="shared" si="232"/>
        <v>1.5901380724319509E-10</v>
      </c>
      <c r="NV9" s="621">
        <f t="shared" si="233"/>
        <v>2.1754906590803966E-11</v>
      </c>
      <c r="NW9" s="621">
        <f t="shared" si="234"/>
        <v>2.2037372369977653E-12</v>
      </c>
      <c r="NX9" s="621">
        <f t="shared" si="235"/>
        <v>3.0776445461448201E-13</v>
      </c>
      <c r="NY9" s="621">
        <f t="shared" si="236"/>
        <v>1.1791582360764983E-11</v>
      </c>
      <c r="NZ9" s="621">
        <f t="shared" si="237"/>
        <v>8.4059741918467856E-13</v>
      </c>
      <c r="OA9" s="622">
        <f t="shared" si="262"/>
        <v>365.92949544694972</v>
      </c>
      <c r="OB9" s="622">
        <f t="shared" si="238"/>
        <v>11.968054202571894</v>
      </c>
      <c r="OC9" s="622">
        <f t="shared" si="239"/>
        <v>358.66171539345214</v>
      </c>
      <c r="OD9" s="622">
        <f t="shared" si="263"/>
        <v>11.941638569945502</v>
      </c>
      <c r="OE9" s="621">
        <f t="shared" si="264"/>
        <v>2.3495351789901166E-2</v>
      </c>
      <c r="OF9" s="621">
        <f t="shared" si="265"/>
        <v>3.3031044717552766E-3</v>
      </c>
      <c r="OG9" s="621">
        <f t="shared" si="266"/>
        <v>3.2561689159846897E-4</v>
      </c>
      <c r="OH9" s="621">
        <f t="shared" si="267"/>
        <v>4.6735510606773394E-5</v>
      </c>
      <c r="OI9" s="621">
        <f t="shared" si="268"/>
        <v>1.7422850287588639E-3</v>
      </c>
      <c r="OJ9" s="621">
        <f t="shared" si="269"/>
        <v>1.369536598125334E-4</v>
      </c>
      <c r="OK9" s="621">
        <f t="shared" si="240"/>
        <v>1.6076871187318007E-3</v>
      </c>
      <c r="OL9" s="621">
        <f t="shared" si="241"/>
        <v>6.7840385092202241E-5</v>
      </c>
      <c r="OM9" s="621">
        <f t="shared" si="242"/>
        <v>2.732766864771561E-3</v>
      </c>
      <c r="ON9" s="621">
        <f t="shared" si="243"/>
        <v>8.9377605160336157E-5</v>
      </c>
      <c r="OO9" s="621">
        <f t="shared" si="244"/>
        <v>0.58830013619408816</v>
      </c>
      <c r="OP9" s="621">
        <f t="shared" si="245"/>
        <v>1.9240886577758826E-2</v>
      </c>
      <c r="OQ9" s="621">
        <f t="shared" si="246"/>
        <v>4.4291263970278813E-3</v>
      </c>
      <c r="OR9" s="621">
        <f t="shared" si="247"/>
        <v>7.9614814296090847E-6</v>
      </c>
    </row>
    <row r="10" spans="2:408" s="484" customFormat="1">
      <c r="B10" s="245" t="s">
        <v>961</v>
      </c>
      <c r="C10" s="5">
        <v>9.8999999999999999E-4</v>
      </c>
      <c r="D10" s="66">
        <f t="shared" si="270"/>
        <v>4.95E-6</v>
      </c>
      <c r="E10" s="67">
        <v>45112</v>
      </c>
      <c r="F10" s="5" t="s">
        <v>210</v>
      </c>
      <c r="G10" s="5" t="s">
        <v>893</v>
      </c>
      <c r="H10" s="5">
        <v>2</v>
      </c>
      <c r="I10" s="5"/>
      <c r="J10" s="327">
        <v>44644</v>
      </c>
      <c r="K10" s="67" t="s">
        <v>823</v>
      </c>
      <c r="L10" s="5" t="s">
        <v>949</v>
      </c>
      <c r="M10" s="5" t="s">
        <v>952</v>
      </c>
      <c r="N10" s="5">
        <v>180</v>
      </c>
      <c r="O10" s="6">
        <v>1851.580862</v>
      </c>
      <c r="P10" s="6">
        <v>4.4262870000000003</v>
      </c>
      <c r="Q10" s="6">
        <v>2.6421250000000001</v>
      </c>
      <c r="R10" s="6">
        <v>7.3926000000000006E-2</v>
      </c>
      <c r="S10" s="6">
        <v>19.174071000000001</v>
      </c>
      <c r="T10" s="6">
        <v>9.5326999999999995E-2</v>
      </c>
      <c r="U10" s="6">
        <v>2.8285000000000001E-2</v>
      </c>
      <c r="V10" s="6">
        <v>2.2498000000000001E-2</v>
      </c>
      <c r="W10" s="6">
        <v>5.0193289999999999</v>
      </c>
      <c r="X10" s="6">
        <v>0.13359299999999999</v>
      </c>
      <c r="Y10" s="6">
        <v>67.399073000000001</v>
      </c>
      <c r="Z10" s="6">
        <v>0.191688</v>
      </c>
      <c r="AA10" s="6">
        <v>7.6344999999999996E-2</v>
      </c>
      <c r="AB10" s="6">
        <v>6.9444000000000006E-2</v>
      </c>
      <c r="AC10" s="6">
        <v>0.166958</v>
      </c>
      <c r="AD10" s="6">
        <v>9.4793000000000002E-2</v>
      </c>
      <c r="AE10" s="6">
        <v>2.8189999999999999E-3</v>
      </c>
      <c r="AF10" s="6">
        <v>2.4625999999999999E-2</v>
      </c>
      <c r="AG10" s="6">
        <v>0.30279200000000001</v>
      </c>
      <c r="AH10" s="6">
        <v>0.117852</v>
      </c>
      <c r="AI10" s="147">
        <f t="shared" si="1"/>
        <v>1784.181789</v>
      </c>
      <c r="AJ10" s="147">
        <f t="shared" si="2"/>
        <v>4.4304357455799996</v>
      </c>
      <c r="AK10" s="147">
        <f t="shared" si="3"/>
        <v>2.5657800000000002</v>
      </c>
      <c r="AL10" s="147">
        <f t="shared" si="4"/>
        <v>0.1014274253444304</v>
      </c>
      <c r="AM10" s="147">
        <f t="shared" si="5"/>
        <v>19.007113</v>
      </c>
      <c r="AN10" s="147">
        <f t="shared" si="6"/>
        <v>0.13443567152359526</v>
      </c>
      <c r="AO10" s="147">
        <f t="shared" si="7"/>
        <v>2.5466000000000003E-2</v>
      </c>
      <c r="AP10" s="147">
        <f t="shared" si="8"/>
        <v>3.3355657391213267E-2</v>
      </c>
      <c r="AQ10" s="147">
        <f t="shared" si="9"/>
        <v>4.7165369999999998</v>
      </c>
      <c r="AR10" s="147">
        <f t="shared" si="10"/>
        <v>0.17814652270813483</v>
      </c>
      <c r="AS10" s="4">
        <v>304.12046242532102</v>
      </c>
      <c r="AT10" s="4">
        <v>0.91447361557367601</v>
      </c>
      <c r="AU10" s="133">
        <f t="shared" si="11"/>
        <v>2.5844925296798986</v>
      </c>
      <c r="AV10" s="133">
        <f t="shared" si="12"/>
        <v>0.10143014025388206</v>
      </c>
      <c r="AW10" s="133">
        <f t="shared" si="13"/>
        <v>19.284355137783976</v>
      </c>
      <c r="AX10" s="133">
        <f t="shared" si="14"/>
        <v>0.13443997159153026</v>
      </c>
      <c r="AY10" s="133">
        <f t="shared" si="15"/>
        <v>2.6023179431784841E-2</v>
      </c>
      <c r="AZ10" s="133">
        <f t="shared" si="16"/>
        <v>3.3357234404877548E-2</v>
      </c>
      <c r="BA10" s="133">
        <f t="shared" si="17"/>
        <v>4.8541299948769412</v>
      </c>
      <c r="BB10" s="133">
        <f t="shared" si="18"/>
        <v>0.17815129409156166</v>
      </c>
      <c r="BC10" s="6"/>
      <c r="BD10" s="8"/>
      <c r="BE10" s="797">
        <v>3.7839999999999998</v>
      </c>
      <c r="BF10" s="147">
        <f t="shared" si="249"/>
        <v>0.18920000000000001</v>
      </c>
      <c r="BG10" s="147">
        <f t="shared" si="250"/>
        <v>2.7043898611561881</v>
      </c>
      <c r="BH10" s="147">
        <f t="shared" si="251"/>
        <v>0.13521949305780942</v>
      </c>
      <c r="BI10" s="157">
        <f t="shared" si="19"/>
        <v>6.680004896568429E-7</v>
      </c>
      <c r="BJ10" s="157">
        <f t="shared" si="252"/>
        <v>3.3400024482842147E-8</v>
      </c>
      <c r="BK10" s="133">
        <f t="shared" si="20"/>
        <v>258.64140186889807</v>
      </c>
      <c r="BL10" s="133">
        <f t="shared" si="253"/>
        <v>12.932070093444905</v>
      </c>
      <c r="BM10" s="133"/>
      <c r="BN10" s="133"/>
      <c r="BO10" s="143">
        <f t="shared" si="254"/>
        <v>1783.8452472801334</v>
      </c>
      <c r="BP10" s="133">
        <f t="shared" si="255"/>
        <v>4.4304554327778707</v>
      </c>
      <c r="BQ10" s="143">
        <f t="shared" si="271"/>
        <v>2.5844925296798986</v>
      </c>
      <c r="BR10" s="133">
        <f t="shared" si="272"/>
        <v>0.10143014025388206</v>
      </c>
      <c r="BS10" s="143">
        <f t="shared" si="256"/>
        <v>19.284355137783976</v>
      </c>
      <c r="BT10" s="133">
        <f t="shared" si="257"/>
        <v>0.13443997159153026</v>
      </c>
      <c r="BU10" s="147">
        <f t="shared" si="258"/>
        <v>4.7639083352261951</v>
      </c>
      <c r="BV10" s="147">
        <f t="shared" si="21"/>
        <v>0.17820839894958215</v>
      </c>
      <c r="BW10" s="5"/>
      <c r="BX10" s="147">
        <f t="shared" si="22"/>
        <v>4.7472490493273263</v>
      </c>
      <c r="BY10" s="147">
        <f t="shared" si="23"/>
        <v>0.17820958366919135</v>
      </c>
      <c r="BZ10" s="143">
        <f t="shared" si="24"/>
        <v>18.388737803091217</v>
      </c>
      <c r="CA10" s="147">
        <f t="shared" si="25"/>
        <v>2.1589140952194545E-2</v>
      </c>
      <c r="CB10" s="143">
        <f t="shared" si="26"/>
        <v>381.03315320390857</v>
      </c>
      <c r="CC10" s="143">
        <f t="shared" si="27"/>
        <v>52.846974291230708</v>
      </c>
      <c r="CD10" s="3">
        <v>1.5903158759700325E-12</v>
      </c>
      <c r="CE10" s="3">
        <v>4.0102150310807229E-15</v>
      </c>
      <c r="CF10" s="157">
        <f t="shared" si="28"/>
        <v>7.5496255303288916E-12</v>
      </c>
      <c r="CG10" s="157">
        <f t="shared" si="29"/>
        <v>2.8404821384977248E-13</v>
      </c>
      <c r="CH10" s="157">
        <f t="shared" si="30"/>
        <v>4.1132152757525386E-10</v>
      </c>
      <c r="CI10" s="158">
        <f t="shared" si="31"/>
        <v>2.059221448266925E-11</v>
      </c>
      <c r="CJ10" s="157">
        <f t="shared" si="32"/>
        <v>2.9243901667306262E-11</v>
      </c>
      <c r="CK10" s="477">
        <f t="shared" si="33"/>
        <v>8.1343668372607335E-14</v>
      </c>
      <c r="CL10" s="157">
        <f t="shared" si="34"/>
        <v>4.110159501275893E-12</v>
      </c>
      <c r="CM10" s="157">
        <f t="shared" si="35"/>
        <v>1.6163858967080834E-13</v>
      </c>
      <c r="CN10" s="157">
        <f t="shared" si="36"/>
        <v>2.8368774170232846E-9</v>
      </c>
      <c r="CO10" s="157">
        <f t="shared" si="37"/>
        <v>1.0040800097622741E-11</v>
      </c>
      <c r="CP10" s="157">
        <f t="shared" si="38"/>
        <v>1.3047180889887412E-15</v>
      </c>
      <c r="CQ10" s="157">
        <f t="shared" si="39"/>
        <v>3.6291517823109345E-18</v>
      </c>
      <c r="CR10" s="157">
        <f t="shared" si="40"/>
        <v>1.2656742333297811E-13</v>
      </c>
      <c r="CS10" s="157">
        <f t="shared" si="41"/>
        <v>4.4797078858418214E-16</v>
      </c>
      <c r="CT10" s="66">
        <v>4.4291263970278813E-3</v>
      </c>
      <c r="CU10" s="66">
        <v>7.9614814296090847E-6</v>
      </c>
      <c r="CV10" s="3">
        <v>1.1611559367069784E+19</v>
      </c>
      <c r="CW10" s="60">
        <v>1.040942599512031E+18</v>
      </c>
      <c r="CX10" s="3">
        <v>8.6527210079182822E+17</v>
      </c>
      <c r="CY10" s="3">
        <v>8.9278178143800032E+16</v>
      </c>
      <c r="CZ10" s="6">
        <v>0.49865169925804054</v>
      </c>
      <c r="DA10" s="6">
        <v>2.7936431740382541E-2</v>
      </c>
      <c r="DB10" s="4">
        <v>24.337069265073254</v>
      </c>
      <c r="DC10" s="4">
        <v>0.74264427477540718</v>
      </c>
      <c r="DD10" s="157">
        <f t="shared" si="42"/>
        <v>3.4120953433775842E-9</v>
      </c>
      <c r="DE10" s="157">
        <f t="shared" si="43"/>
        <v>1.3790108688109059E-10</v>
      </c>
      <c r="DF10" s="147">
        <f t="shared" si="44"/>
        <v>134.75467410503009</v>
      </c>
      <c r="DG10" s="147">
        <f t="shared" si="45"/>
        <v>5.4876794383477447</v>
      </c>
      <c r="DH10" s="159">
        <f t="shared" si="46"/>
        <v>1.347546741050301E-2</v>
      </c>
      <c r="DI10" s="167">
        <f t="shared" si="47"/>
        <v>5.4876794383477447E-4</v>
      </c>
      <c r="DJ10" s="157">
        <f t="shared" si="48"/>
        <v>1.1001056700628616E-9</v>
      </c>
      <c r="DK10" s="157">
        <f t="shared" si="49"/>
        <v>3.5232925161616835E-11</v>
      </c>
      <c r="DL10" s="147">
        <f t="shared" si="50"/>
        <v>39.396006384584481</v>
      </c>
      <c r="DM10" s="133">
        <f t="shared" si="51"/>
        <v>1.277013811294812</v>
      </c>
      <c r="DN10" s="159">
        <f t="shared" si="52"/>
        <v>3.9396006384584481E-3</v>
      </c>
      <c r="DO10" s="167">
        <f t="shared" si="53"/>
        <v>1.2770138112948119E-4</v>
      </c>
      <c r="DP10" s="157">
        <f t="shared" si="54"/>
        <v>6.680004896568429E-7</v>
      </c>
      <c r="DQ10" s="157">
        <f t="shared" si="55"/>
        <v>5.0573729383750027E-8</v>
      </c>
      <c r="DR10" s="143">
        <f t="shared" si="56"/>
        <v>27043.898611561883</v>
      </c>
      <c r="DS10" s="143">
        <f t="shared" si="57"/>
        <v>2051.9317875401075</v>
      </c>
      <c r="DT10" s="147">
        <f t="shared" si="58"/>
        <v>2.7043898611561881</v>
      </c>
      <c r="DU10" s="147">
        <f t="shared" si="59"/>
        <v>0.20519317875401075</v>
      </c>
      <c r="DV10" s="133">
        <f>K_mole/Cl_mole</f>
        <v>3.1016069058007965</v>
      </c>
      <c r="DW10" s="133">
        <f t="shared" si="61"/>
        <v>0.12637830206870232</v>
      </c>
      <c r="DX10" s="133">
        <f t="shared" si="62"/>
        <v>5.1079234165388177E-3</v>
      </c>
      <c r="DY10" s="133">
        <f t="shared" si="63"/>
        <v>5.938309487180605E-3</v>
      </c>
      <c r="DZ10" s="133">
        <f t="shared" si="64"/>
        <v>3.4205160997678972</v>
      </c>
      <c r="EA10" s="133">
        <f t="shared" si="65"/>
        <v>0.14034604259924235</v>
      </c>
      <c r="EB10" s="133">
        <f t="shared" si="66"/>
        <v>4.9828124280653606E-3</v>
      </c>
      <c r="EC10" s="133">
        <f t="shared" si="67"/>
        <v>5.9597983140754918E-3</v>
      </c>
      <c r="ED10" s="157">
        <f t="shared" si="68"/>
        <v>1.1505024178790559E-4</v>
      </c>
      <c r="EE10" s="157">
        <f t="shared" si="69"/>
        <v>3.7071300075389482E-6</v>
      </c>
      <c r="EF10" s="147">
        <f t="shared" si="70"/>
        <v>147.43054925800126</v>
      </c>
      <c r="EG10" s="147">
        <f t="shared" si="71"/>
        <v>21.250578546366985</v>
      </c>
      <c r="EH10" s="157">
        <f t="shared" si="72"/>
        <v>3.7093753425920054E-5</v>
      </c>
      <c r="EI10" s="157">
        <f t="shared" si="73"/>
        <v>1.5048955261731639E-6</v>
      </c>
      <c r="EJ10" s="143">
        <f t="shared" si="74"/>
        <v>905.68890005942126</v>
      </c>
      <c r="EK10" s="143">
        <f t="shared" si="75"/>
        <v>102.95669520925486</v>
      </c>
      <c r="EL10" s="143">
        <f t="shared" si="76"/>
        <v>102.96470078901586</v>
      </c>
      <c r="EM10" s="133">
        <f t="shared" si="77"/>
        <v>905.68890005942126</v>
      </c>
      <c r="EN10" s="133">
        <f t="shared" si="78"/>
        <v>102.95669520925486</v>
      </c>
      <c r="EO10" s="133">
        <f t="shared" si="79"/>
        <v>102.96470078901586</v>
      </c>
      <c r="EP10" s="501">
        <f t="shared" si="259"/>
        <v>1.9451092531004259</v>
      </c>
      <c r="EQ10" s="143">
        <f t="shared" si="80"/>
        <v>905.68890005942126</v>
      </c>
      <c r="ER10" s="143">
        <f t="shared" si="80"/>
        <v>102.95669520925486</v>
      </c>
      <c r="ES10" s="147">
        <f t="shared" si="81"/>
        <v>0.54441898936103106</v>
      </c>
      <c r="ET10" s="147">
        <f t="shared" si="82"/>
        <v>2.0481923720152506E-2</v>
      </c>
      <c r="EU10" s="143">
        <f t="shared" si="83"/>
        <v>375.76399062798276</v>
      </c>
      <c r="EV10" s="143">
        <f t="shared" si="84"/>
        <v>14.136849638282184</v>
      </c>
      <c r="EW10" s="157">
        <f t="shared" si="85"/>
        <v>1.4488322535940431E-3</v>
      </c>
      <c r="EX10" s="157">
        <f t="shared" si="86"/>
        <v>5.6974140338138104E-5</v>
      </c>
      <c r="EY10" s="157">
        <f t="shared" si="87"/>
        <v>2.661244890253545E-3</v>
      </c>
      <c r="EZ10" s="157">
        <f t="shared" si="88"/>
        <v>1.001203409653152E-4</v>
      </c>
      <c r="FA10" s="66">
        <v>0.45816899999999999</v>
      </c>
      <c r="FB10" s="66">
        <v>4.3210000000000002E-3</v>
      </c>
      <c r="FC10" s="66">
        <v>0.151507</v>
      </c>
      <c r="FD10" s="66">
        <v>2.1810000000000002E-3</v>
      </c>
      <c r="FE10" s="66">
        <v>0.10982599999999999</v>
      </c>
      <c r="FF10" s="66">
        <v>2.2420000000000001E-3</v>
      </c>
      <c r="FG10" s="117"/>
      <c r="FH10" s="117"/>
      <c r="FI10" s="66">
        <v>3.4919999999999999E-3</v>
      </c>
      <c r="FJ10" s="66">
        <v>1.3680000000000001E-3</v>
      </c>
      <c r="FK10" s="66">
        <v>2.0960000000000002E-3</v>
      </c>
      <c r="FL10" s="66">
        <v>6.3100000000000005E-4</v>
      </c>
      <c r="FM10" s="66">
        <v>4.542E-3</v>
      </c>
      <c r="FN10" s="66">
        <v>5.5699999999999999E-4</v>
      </c>
      <c r="FO10" s="117"/>
      <c r="FP10" s="117"/>
      <c r="FQ10" s="159">
        <f t="shared" si="89"/>
        <v>0.454677</v>
      </c>
      <c r="FR10" s="159">
        <f t="shared" si="90"/>
        <v>4.5323796178166715E-3</v>
      </c>
      <c r="FS10" s="159">
        <f t="shared" si="91"/>
        <v>0.14941100000000002</v>
      </c>
      <c r="FT10" s="159">
        <f t="shared" si="92"/>
        <v>3.0843997795357205E-3</v>
      </c>
      <c r="FU10" s="159">
        <f t="shared" si="93"/>
        <v>0.10528399999999999</v>
      </c>
      <c r="FV10" s="159">
        <f t="shared" si="94"/>
        <v>2.3101543238493831E-3</v>
      </c>
      <c r="FW10" s="159">
        <f t="shared" si="95"/>
        <v>0</v>
      </c>
      <c r="FX10" s="159">
        <f t="shared" si="96"/>
        <v>0</v>
      </c>
      <c r="FY10" s="159">
        <f t="shared" si="97"/>
        <v>0.10464567916622217</v>
      </c>
      <c r="FZ10" s="159">
        <f t="shared" si="98"/>
        <v>1.0717280819083359E-2</v>
      </c>
      <c r="GA10" s="159">
        <f t="shared" si="99"/>
        <v>0.45053303110501758</v>
      </c>
      <c r="GB10" s="159">
        <f t="shared" si="100"/>
        <v>4.5522065009404493E-3</v>
      </c>
      <c r="GC10" s="159">
        <f t="shared" si="101"/>
        <v>0.1282516436725899</v>
      </c>
      <c r="GD10" s="159">
        <f t="shared" si="102"/>
        <v>3.7695568896494499E-3</v>
      </c>
      <c r="GE10" s="159">
        <f t="shared" si="103"/>
        <v>-3.1937861281531005E-2</v>
      </c>
      <c r="GF10" s="159">
        <f t="shared" si="104"/>
        <v>3.2709141059842415E-3</v>
      </c>
      <c r="GG10" s="3">
        <v>1.7782159136499011E-12</v>
      </c>
      <c r="GH10" s="3">
        <v>7.5535622364420377E-15</v>
      </c>
      <c r="GI10" s="6">
        <v>1</v>
      </c>
      <c r="GJ10" s="6">
        <v>5.0000000000000001E-3</v>
      </c>
      <c r="GK10" s="157">
        <f t="shared" si="105"/>
        <v>8.011450055358682E-13</v>
      </c>
      <c r="GL10" s="157">
        <f t="shared" si="106"/>
        <v>9.6515805349549833E-15</v>
      </c>
      <c r="GM10" s="157">
        <f t="shared" si="107"/>
        <v>2.2805911373035602E-13</v>
      </c>
      <c r="GN10" s="157">
        <f t="shared" si="108"/>
        <v>6.8680511240586198E-15</v>
      </c>
      <c r="GO10" s="157">
        <f t="shared" si="109"/>
        <v>1.8608261198807816E-13</v>
      </c>
      <c r="GP10" s="157">
        <f t="shared" si="110"/>
        <v>1.909670368870589E-14</v>
      </c>
      <c r="GQ10" s="157">
        <f t="shared" si="111"/>
        <v>-5.6792413178761458E-14</v>
      </c>
      <c r="GR10" s="157">
        <f t="shared" si="112"/>
        <v>-5.8283139657930382E-15</v>
      </c>
      <c r="GS10" s="157">
        <f t="shared" si="113"/>
        <v>3.5743123216496403E-17</v>
      </c>
      <c r="GT10" s="157">
        <f t="shared" si="114"/>
        <v>4.3060573343258861E-19</v>
      </c>
      <c r="GU10" s="157">
        <f t="shared" si="115"/>
        <v>1.0174868402576753E-17</v>
      </c>
      <c r="GV10" s="157">
        <f t="shared" si="116"/>
        <v>3.0641843353407847E-19</v>
      </c>
      <c r="GW10" s="157">
        <f t="shared" si="117"/>
        <v>8.3020847446818272E-18</v>
      </c>
      <c r="GX10" s="157">
        <f t="shared" si="118"/>
        <v>8.5200035982085053E-19</v>
      </c>
      <c r="GY10" s="147">
        <f t="shared" si="119"/>
        <v>3.5128830961041788</v>
      </c>
      <c r="GZ10" s="147">
        <f t="shared" si="120"/>
        <v>4.3227447821982186E-2</v>
      </c>
      <c r="HA10" s="4">
        <v>26.169770272470501</v>
      </c>
      <c r="HB10" s="4">
        <v>0.31897682079735301</v>
      </c>
      <c r="HC10" s="228">
        <f t="shared" si="121"/>
        <v>955.26550526546134</v>
      </c>
      <c r="HD10" s="228">
        <f t="shared" si="122"/>
        <v>16.585306309290008</v>
      </c>
      <c r="HE10" s="239">
        <f t="shared" si="123"/>
        <v>5.1096926445458909E-13</v>
      </c>
      <c r="HF10" s="229">
        <f t="shared" si="124"/>
        <v>1.861470231887022E-14</v>
      </c>
      <c r="HG10" s="362">
        <f t="shared" si="125"/>
        <v>41.240897077757054</v>
      </c>
      <c r="HH10" s="362">
        <f t="shared" si="126"/>
        <v>1.5164979688242923</v>
      </c>
      <c r="HI10" s="4">
        <v>7.5091582159801398</v>
      </c>
      <c r="HJ10" s="4">
        <v>0.114829942558394</v>
      </c>
      <c r="HK10" s="228">
        <f t="shared" si="127"/>
        <v>962.89545671043459</v>
      </c>
      <c r="HL10" s="228">
        <f t="shared" si="128"/>
        <v>32.632192969693712</v>
      </c>
      <c r="HM10" s="239">
        <f t="shared" si="129"/>
        <v>5.0692036106586474E-13</v>
      </c>
      <c r="HN10" s="229">
        <f t="shared" si="130"/>
        <v>1.8467200039296871E-14</v>
      </c>
      <c r="HO10" s="362">
        <f t="shared" si="131"/>
        <v>40.914105586471564</v>
      </c>
      <c r="HP10" s="362">
        <f t="shared" si="132"/>
        <v>1.9187049573611745</v>
      </c>
      <c r="HQ10" s="6">
        <v>1.11613116912226</v>
      </c>
      <c r="HR10" s="6">
        <v>3.5153924948669403E-2</v>
      </c>
      <c r="HS10" s="6">
        <f t="shared" si="133"/>
        <v>43.974461945432118</v>
      </c>
      <c r="HT10" s="6">
        <f t="shared" si="134"/>
        <v>4.222862385471891</v>
      </c>
      <c r="HU10" s="6">
        <v>1.11613116912226</v>
      </c>
      <c r="HV10" s="6">
        <v>3.5153924948669403E-2</v>
      </c>
      <c r="HW10" s="6">
        <f t="shared" si="135"/>
        <v>54.451436078650126</v>
      </c>
      <c r="HX10" s="6">
        <f t="shared" si="136"/>
        <v>5.4788395670885874</v>
      </c>
      <c r="HY10" s="3">
        <v>5.5834000000000002E-2</v>
      </c>
      <c r="HZ10" s="3">
        <v>1.098E-3</v>
      </c>
      <c r="IA10" s="3">
        <v>7.9059999999999998E-3</v>
      </c>
      <c r="IB10" s="3">
        <v>2.9700000000000001E-4</v>
      </c>
      <c r="IC10" s="3">
        <v>1.2869999999999999E-3</v>
      </c>
      <c r="ID10" s="3">
        <v>2.4699999999999999E-4</v>
      </c>
      <c r="IE10" s="3">
        <v>7.5812000000000004E-2</v>
      </c>
      <c r="IF10" s="3">
        <v>7.54E-4</v>
      </c>
      <c r="IG10" s="3">
        <v>8.7620000000000007E-3</v>
      </c>
      <c r="IH10" s="3">
        <v>6.7699999999999998E-4</v>
      </c>
      <c r="II10" s="3">
        <v>5.3489999999999996E-3</v>
      </c>
      <c r="IJ10" s="3">
        <v>2.1000000000000001E-4</v>
      </c>
      <c r="IK10" s="3">
        <v>6.672E-3</v>
      </c>
      <c r="IL10" s="3">
        <v>4.3800000000000002E-4</v>
      </c>
      <c r="IM10" s="3">
        <v>4.84E-4</v>
      </c>
      <c r="IN10" s="3">
        <v>2.9300000000000002E-4</v>
      </c>
      <c r="IO10" s="3">
        <v>5.1699999999999999E-4</v>
      </c>
      <c r="IP10" s="3">
        <v>2.12E-4</v>
      </c>
      <c r="IQ10" s="3">
        <v>2.0100000000000001E-4</v>
      </c>
      <c r="IR10" s="3">
        <v>1.4100000000000001E-4</v>
      </c>
      <c r="IS10" s="3">
        <v>4.0200000000000001E-4</v>
      </c>
      <c r="IT10" s="3">
        <v>2.6699999999999998E-4</v>
      </c>
      <c r="IU10" s="3">
        <v>3.5199999999999999E-4</v>
      </c>
      <c r="IV10" s="3">
        <v>1.3999999999999999E-4</v>
      </c>
      <c r="IW10" s="3">
        <v>3.0400000000000002E-4</v>
      </c>
      <c r="IX10" s="3">
        <v>1.0900000000000001E-4</v>
      </c>
      <c r="IY10" s="3">
        <v>2.5900000000000001E-4</v>
      </c>
      <c r="IZ10" s="3">
        <v>9.6000000000000002E-5</v>
      </c>
      <c r="JA10" s="157">
        <f t="shared" si="137"/>
        <v>5.5350000000000003E-2</v>
      </c>
      <c r="JB10" s="157">
        <f t="shared" si="138"/>
        <v>1.1364211367270497E-3</v>
      </c>
      <c r="JC10" s="157">
        <f t="shared" si="139"/>
        <v>7.3889999999999997E-3</v>
      </c>
      <c r="JD10" s="157">
        <f t="shared" si="140"/>
        <v>3.6490135653351576E-4</v>
      </c>
      <c r="JE10" s="157">
        <f t="shared" si="141"/>
        <v>1.0859999999999999E-3</v>
      </c>
      <c r="JF10" s="157">
        <f t="shared" si="142"/>
        <v>2.8441167345944152E-4</v>
      </c>
      <c r="JG10" s="157">
        <f t="shared" si="143"/>
        <v>7.5410000000000005E-2</v>
      </c>
      <c r="JH10" s="157">
        <f t="shared" si="144"/>
        <v>7.9987811571513817E-4</v>
      </c>
      <c r="JI10" s="157">
        <f t="shared" si="145"/>
        <v>8.4100000000000008E-3</v>
      </c>
      <c r="JJ10" s="157">
        <f t="shared" si="146"/>
        <v>6.9132409187008662E-4</v>
      </c>
      <c r="JK10" s="157">
        <f t="shared" si="147"/>
        <v>5.0449999999999991E-3</v>
      </c>
      <c r="JL10" s="157">
        <f t="shared" si="148"/>
        <v>2.3660304309116567E-4</v>
      </c>
      <c r="JM10" s="157">
        <f t="shared" si="149"/>
        <v>6.4130000000000003E-3</v>
      </c>
      <c r="JN10" s="157">
        <f t="shared" si="150"/>
        <v>4.4839714539680111E-4</v>
      </c>
      <c r="JO10" s="157">
        <f t="shared" si="151"/>
        <v>5.483784412131E-2</v>
      </c>
      <c r="JP10" s="157">
        <f t="shared" si="152"/>
        <v>1.1443091128319821E-3</v>
      </c>
      <c r="JQ10" s="157">
        <f t="shared" si="153"/>
        <v>3.3789035689199987E-4</v>
      </c>
      <c r="JR10" s="157">
        <f t="shared" si="154"/>
        <v>1.8823176047193537E-3</v>
      </c>
      <c r="JS10" s="157">
        <f t="shared" si="155"/>
        <v>6.9750462351476E-2</v>
      </c>
      <c r="JT10" s="157">
        <f t="shared" si="156"/>
        <v>1.6842322409643092E-3</v>
      </c>
      <c r="JU10" s="157">
        <f t="shared" si="157"/>
        <v>1.2369484809100009E-3</v>
      </c>
      <c r="JV10" s="157">
        <f t="shared" si="158"/>
        <v>2.0017140993999951E-3</v>
      </c>
      <c r="JW10" s="157">
        <f t="shared" si="159"/>
        <v>2.2496618229079991E-3</v>
      </c>
      <c r="JX10" s="157">
        <f t="shared" si="160"/>
        <v>7.6935417852252975E-4</v>
      </c>
      <c r="JY10" s="157">
        <f t="shared" si="161"/>
        <v>4.0501968296780006E-3</v>
      </c>
      <c r="JZ10" s="157">
        <f t="shared" si="162"/>
        <v>7.6417558685306633E-4</v>
      </c>
      <c r="KA10" s="3">
        <v>1.7696448643015688E-12</v>
      </c>
      <c r="KB10" s="3">
        <v>3.8892524257744769E-14</v>
      </c>
      <c r="KC10" s="5">
        <v>1</v>
      </c>
      <c r="KD10" s="5">
        <v>0</v>
      </c>
      <c r="KE10" s="157">
        <f t="shared" si="163"/>
        <v>9.7043509218646218E-14</v>
      </c>
      <c r="KF10" s="157">
        <f t="shared" si="164"/>
        <v>2.9409979352974986E-15</v>
      </c>
      <c r="KG10" s="157">
        <f t="shared" si="165"/>
        <v>4.3296008630087894E-18</v>
      </c>
      <c r="KH10" s="157">
        <f t="shared" si="166"/>
        <v>1.3121276532172615E-19</v>
      </c>
      <c r="KI10" s="6">
        <v>1.2430056234832578</v>
      </c>
      <c r="KJ10" s="6">
        <v>0.11113867994607306</v>
      </c>
      <c r="KK10" s="157">
        <f t="shared" si="167"/>
        <v>5.1805474434080315E-14</v>
      </c>
      <c r="KL10" s="157">
        <f t="shared" si="260"/>
        <v>6.752936580333036E-15</v>
      </c>
      <c r="KM10" s="494">
        <f t="shared" si="168"/>
        <v>6.6407553841613582</v>
      </c>
      <c r="KN10" s="494">
        <f t="shared" si="169"/>
        <v>0.87063438410020877</v>
      </c>
      <c r="KO10" s="4">
        <v>20.162258156415799</v>
      </c>
      <c r="KP10" s="4">
        <v>0.66285498057307002</v>
      </c>
      <c r="KQ10" s="229">
        <f t="shared" si="170"/>
        <v>6075.8632871427071</v>
      </c>
      <c r="KR10" s="229">
        <f t="shared" si="171"/>
        <v>272.19747681911394</v>
      </c>
      <c r="KS10" s="364">
        <f t="shared" si="172"/>
        <v>6.4840179119815611</v>
      </c>
      <c r="KT10" s="364">
        <f t="shared" si="173"/>
        <v>0.35854577772196289</v>
      </c>
      <c r="KU10" s="147">
        <f t="shared" si="174"/>
        <v>6.893256764378955E-2</v>
      </c>
      <c r="KV10" s="147">
        <f t="shared" si="175"/>
        <v>1.7076254619542662E-3</v>
      </c>
      <c r="KW10" s="157">
        <f t="shared" si="176"/>
        <v>1.2198616431395266E-13</v>
      </c>
      <c r="KX10" s="157">
        <f t="shared" si="177"/>
        <v>4.0397249727073698E-15</v>
      </c>
      <c r="KY10" s="157">
        <f t="shared" si="178"/>
        <v>5.442418627904904E-18</v>
      </c>
      <c r="KZ10" s="157">
        <f t="shared" si="179"/>
        <v>1.8023252530395729E-19</v>
      </c>
      <c r="LA10" s="6">
        <v>1.2485542932379501</v>
      </c>
      <c r="LB10" s="6">
        <v>5.9627651953476503E-2</v>
      </c>
      <c r="LC10" s="157">
        <f t="shared" si="180"/>
        <v>4.5720461680722766E-11</v>
      </c>
      <c r="LD10" s="157">
        <f t="shared" si="181"/>
        <v>5.2853005636408093E-12</v>
      </c>
      <c r="LE10" s="159">
        <f t="shared" si="182"/>
        <v>6.3420745870996109</v>
      </c>
      <c r="LF10" s="159">
        <f t="shared" si="183"/>
        <v>0.738145929801449</v>
      </c>
      <c r="LG10" s="471"/>
      <c r="LH10" s="471"/>
      <c r="LI10" s="134"/>
      <c r="LJ10" s="134"/>
      <c r="LK10" s="134"/>
      <c r="LL10" s="134"/>
      <c r="LM10" s="157">
        <f t="shared" si="184"/>
        <v>3.9811024913244457E-15</v>
      </c>
      <c r="LN10" s="157">
        <f t="shared" si="185"/>
        <v>1.3642921848885394E-15</v>
      </c>
      <c r="LO10" s="157">
        <f t="shared" si="186"/>
        <v>1.7761708043069072E-19</v>
      </c>
      <c r="LP10" s="157">
        <f t="shared" si="187"/>
        <v>6.0867961893149163E-20</v>
      </c>
      <c r="LQ10" s="157">
        <f t="shared" si="188"/>
        <v>4.5212454752757976E-14</v>
      </c>
      <c r="LR10" s="157">
        <f t="shared" si="189"/>
        <v>1.6015323999632075E-14</v>
      </c>
      <c r="LS10" s="147">
        <f t="shared" si="190"/>
        <v>10.87057709416495</v>
      </c>
      <c r="LT10" s="147">
        <f t="shared" si="191"/>
        <v>3.8509998642347005</v>
      </c>
      <c r="LU10" s="1"/>
      <c r="LV10" s="1"/>
      <c r="LW10" s="214" t="str">
        <f t="shared" si="192"/>
        <v>36z4</v>
      </c>
      <c r="LX10" s="214" t="str">
        <f t="shared" si="193"/>
        <v>MN2022a</v>
      </c>
      <c r="LY10" s="212">
        <f t="shared" si="194"/>
        <v>134.75467410503009</v>
      </c>
      <c r="LZ10" s="212">
        <f t="shared" si="195"/>
        <v>5.4876794383477447</v>
      </c>
      <c r="MA10" s="212">
        <f t="shared" si="196"/>
        <v>39.396006384584481</v>
      </c>
      <c r="MB10" s="212">
        <f t="shared" si="197"/>
        <v>1.277013811294812</v>
      </c>
      <c r="MC10" s="212">
        <f t="shared" si="198"/>
        <v>27043.898611561883</v>
      </c>
      <c r="MD10" s="212">
        <f t="shared" si="199"/>
        <v>2051.9317875401075</v>
      </c>
      <c r="ME10" s="212">
        <f t="shared" si="200"/>
        <v>43.974461945432118</v>
      </c>
      <c r="MF10" s="212">
        <f t="shared" si="201"/>
        <v>4.222862385471891</v>
      </c>
      <c r="MG10" s="212">
        <f t="shared" si="202"/>
        <v>54.451436078650126</v>
      </c>
      <c r="MH10" s="212">
        <f t="shared" si="203"/>
        <v>5.4788395670885874</v>
      </c>
      <c r="MI10" s="212">
        <f t="shared" si="204"/>
        <v>41.240897077757054</v>
      </c>
      <c r="MJ10" s="212">
        <f t="shared" si="205"/>
        <v>1.5164979688242923</v>
      </c>
      <c r="MK10" s="212">
        <f t="shared" si="206"/>
        <v>40.914105586471564</v>
      </c>
      <c r="ML10" s="212">
        <f t="shared" si="207"/>
        <v>1.9187049573611745</v>
      </c>
      <c r="MM10" s="212">
        <f t="shared" si="261"/>
        <v>6.6407553841613582</v>
      </c>
      <c r="MN10" s="212">
        <f t="shared" si="208"/>
        <v>0.87063438410020877</v>
      </c>
      <c r="MO10" s="212">
        <f t="shared" si="209"/>
        <v>6.4840179119815611</v>
      </c>
      <c r="MP10" s="212">
        <f t="shared" si="210"/>
        <v>0.35854577772196289</v>
      </c>
      <c r="MQ10" s="211"/>
      <c r="MR10" s="211"/>
      <c r="MS10" s="211"/>
      <c r="MT10" s="211"/>
      <c r="MU10" s="506">
        <f t="shared" si="273"/>
        <v>3.4205160997678972</v>
      </c>
      <c r="MV10" s="506">
        <f t="shared" si="274"/>
        <v>0.14034604259924235</v>
      </c>
      <c r="MW10" s="109">
        <f t="shared" si="211"/>
        <v>1.0468293835462082E-3</v>
      </c>
      <c r="MX10" s="109">
        <f t="shared" si="212"/>
        <v>5.1314691711722484E-5</v>
      </c>
      <c r="MY10" s="109">
        <f t="shared" si="213"/>
        <v>1.0385343424677968E-3</v>
      </c>
      <c r="MZ10" s="109">
        <f t="shared" si="214"/>
        <v>5.9205089258365618E-5</v>
      </c>
      <c r="NA10" s="513">
        <f t="shared" si="215"/>
        <v>1.6856417676792393E-4</v>
      </c>
      <c r="NB10" s="513">
        <f t="shared" si="216"/>
        <v>2.2765007052264137E-5</v>
      </c>
      <c r="NC10" s="506">
        <f t="shared" si="275"/>
        <v>3.1016069058007965</v>
      </c>
      <c r="ND10" s="506">
        <f t="shared" si="276"/>
        <v>0.12637830206870232</v>
      </c>
      <c r="NE10" s="109">
        <f t="shared" si="217"/>
        <v>4.6447289415878711E-4</v>
      </c>
      <c r="NF10" s="109">
        <f t="shared" si="218"/>
        <v>2.2529939798432595E-5</v>
      </c>
      <c r="NG10" s="513">
        <f t="shared" si="219"/>
        <v>4.6079242645563184E-4</v>
      </c>
      <c r="NH10" s="513">
        <f t="shared" si="220"/>
        <v>2.2351413307812854E-5</v>
      </c>
      <c r="NI10" s="109">
        <f t="shared" si="221"/>
        <v>4.7091373211307745E-5</v>
      </c>
      <c r="NJ10" s="109">
        <f t="shared" si="221"/>
        <v>6.3598058840947095E-6</v>
      </c>
      <c r="NK10" s="621">
        <f t="shared" si="222"/>
        <v>7.625884374069588E-9</v>
      </c>
      <c r="NL10" s="621">
        <f t="shared" si="223"/>
        <v>2.8943987319005871E-10</v>
      </c>
      <c r="NM10" s="621">
        <f t="shared" si="224"/>
        <v>4.1516762639150431E-9</v>
      </c>
      <c r="NN10" s="621">
        <f t="shared" si="225"/>
        <v>1.6458562719642628E-10</v>
      </c>
      <c r="NO10" s="621">
        <f t="shared" si="226"/>
        <v>2.8655327444679642E-6</v>
      </c>
      <c r="NP10" s="621">
        <f t="shared" si="227"/>
        <v>1.7554105541029887E-8</v>
      </c>
      <c r="NQ10" s="621">
        <f t="shared" si="228"/>
        <v>6.1208391193040154E-7</v>
      </c>
      <c r="NR10" s="621">
        <f t="shared" si="229"/>
        <v>8.4961473199489637E-8</v>
      </c>
      <c r="NS10" s="621">
        <f t="shared" si="230"/>
        <v>2.8142434992628492E-6</v>
      </c>
      <c r="NT10" s="621">
        <f t="shared" si="231"/>
        <v>1.0341256667565233E-8</v>
      </c>
      <c r="NU10" s="621">
        <f t="shared" si="232"/>
        <v>1.8796223433139208E-10</v>
      </c>
      <c r="NV10" s="621">
        <f t="shared" si="233"/>
        <v>1.9312480448341837E-11</v>
      </c>
      <c r="NW10" s="621">
        <f t="shared" si="234"/>
        <v>1.9412467905368722E-12</v>
      </c>
      <c r="NX10" s="621">
        <f t="shared" si="235"/>
        <v>5.1027092079298761E-13</v>
      </c>
      <c r="NY10" s="621">
        <f t="shared" si="236"/>
        <v>1.503304374623858E-11</v>
      </c>
      <c r="NZ10" s="621">
        <f t="shared" si="237"/>
        <v>1.2813662614824526E-12</v>
      </c>
      <c r="OA10" s="622">
        <f t="shared" si="262"/>
        <v>375.76399062798276</v>
      </c>
      <c r="OB10" s="622">
        <f t="shared" si="238"/>
        <v>14.136849638282184</v>
      </c>
      <c r="OC10" s="622">
        <f t="shared" si="239"/>
        <v>369.03831230803405</v>
      </c>
      <c r="OD10" s="622">
        <f t="shared" si="263"/>
        <v>14.072312775892808</v>
      </c>
      <c r="OE10" s="621">
        <f t="shared" si="264"/>
        <v>2.4647926077993387E-2</v>
      </c>
      <c r="OF10" s="621">
        <f t="shared" si="265"/>
        <v>2.694125447292996E-3</v>
      </c>
      <c r="OG10" s="621">
        <f t="shared" si="266"/>
        <v>2.545602182400934E-4</v>
      </c>
      <c r="OH10" s="621">
        <f t="shared" si="267"/>
        <v>6.7606969471289329E-5</v>
      </c>
      <c r="OI10" s="621">
        <f t="shared" si="268"/>
        <v>1.9713180804780714E-3</v>
      </c>
      <c r="OJ10" s="621">
        <f t="shared" si="269"/>
        <v>1.8393425123074445E-4</v>
      </c>
      <c r="OK10" s="621">
        <f t="shared" si="240"/>
        <v>1.4488322535940431E-3</v>
      </c>
      <c r="OL10" s="621">
        <f t="shared" si="241"/>
        <v>5.6974140338138104E-5</v>
      </c>
      <c r="OM10" s="621">
        <f t="shared" si="242"/>
        <v>2.661244890253545E-3</v>
      </c>
      <c r="ON10" s="621">
        <f t="shared" si="243"/>
        <v>1.001203409653152E-4</v>
      </c>
      <c r="OO10" s="621">
        <f t="shared" si="244"/>
        <v>0.54441898936103106</v>
      </c>
      <c r="OP10" s="621">
        <f t="shared" si="245"/>
        <v>2.0481923720152506E-2</v>
      </c>
      <c r="OQ10" s="621">
        <f t="shared" si="246"/>
        <v>4.4291263970278813E-3</v>
      </c>
      <c r="OR10" s="621">
        <f t="shared" si="247"/>
        <v>7.9614814296090847E-6</v>
      </c>
    </row>
    <row r="11" spans="2:408" s="692" customFormat="1">
      <c r="B11" s="666" t="s">
        <v>964</v>
      </c>
      <c r="C11" s="667">
        <v>1.14E-3</v>
      </c>
      <c r="D11" s="668">
        <f>C11*0.5%</f>
        <v>5.6999999999999996E-6</v>
      </c>
      <c r="E11" s="669">
        <v>45112</v>
      </c>
      <c r="F11" s="667" t="s">
        <v>210</v>
      </c>
      <c r="G11" s="667" t="s">
        <v>893</v>
      </c>
      <c r="H11" s="667">
        <v>2</v>
      </c>
      <c r="I11" s="667"/>
      <c r="J11" s="670">
        <v>44644</v>
      </c>
      <c r="K11" s="669" t="s">
        <v>823</v>
      </c>
      <c r="L11" s="667" t="s">
        <v>949</v>
      </c>
      <c r="M11" s="667" t="s">
        <v>952</v>
      </c>
      <c r="N11" s="667">
        <v>180</v>
      </c>
      <c r="O11" s="671">
        <v>1345.035228</v>
      </c>
      <c r="P11" s="671">
        <v>0.81738599999999995</v>
      </c>
      <c r="Q11" s="671">
        <v>2.375604</v>
      </c>
      <c r="R11" s="671">
        <v>6.7890000000000006E-2</v>
      </c>
      <c r="S11" s="671">
        <v>112.342202</v>
      </c>
      <c r="T11" s="671">
        <v>0.37273000000000001</v>
      </c>
      <c r="U11" s="671">
        <v>6.0420000000000001E-2</v>
      </c>
      <c r="V11" s="671">
        <v>3.8339999999999999E-2</v>
      </c>
      <c r="W11" s="671">
        <v>5.3986150000000004</v>
      </c>
      <c r="X11" s="671">
        <v>0.119341</v>
      </c>
      <c r="Y11" s="671">
        <v>68.266750999999999</v>
      </c>
      <c r="Z11" s="671">
        <v>0.22454399999999999</v>
      </c>
      <c r="AA11" s="671">
        <v>0.16173499999999999</v>
      </c>
      <c r="AB11" s="671">
        <v>8.6606000000000002E-2</v>
      </c>
      <c r="AC11" s="671">
        <v>9.2564999999999995E-2</v>
      </c>
      <c r="AD11" s="671">
        <v>6.5777000000000002E-2</v>
      </c>
      <c r="AE11" s="671">
        <v>5.3452E-2</v>
      </c>
      <c r="AF11" s="671">
        <v>2.7903000000000001E-2</v>
      </c>
      <c r="AG11" s="671">
        <v>0.226189</v>
      </c>
      <c r="AH11" s="671">
        <v>0.107351</v>
      </c>
      <c r="AI11" s="672">
        <f t="shared" si="1"/>
        <v>1276.7684770000001</v>
      </c>
      <c r="AJ11" s="672">
        <f t="shared" si="2"/>
        <v>0.84766731736690182</v>
      </c>
      <c r="AK11" s="672">
        <f t="shared" si="3"/>
        <v>2.2138689999999999</v>
      </c>
      <c r="AL11" s="672">
        <f t="shared" si="4"/>
        <v>0.1100438609646172</v>
      </c>
      <c r="AM11" s="672">
        <f t="shared" si="5"/>
        <v>112.24963700000001</v>
      </c>
      <c r="AN11" s="672">
        <f t="shared" si="6"/>
        <v>0.37848945378834536</v>
      </c>
      <c r="AO11" s="672">
        <f t="shared" si="7"/>
        <v>6.968000000000002E-3</v>
      </c>
      <c r="AP11" s="672">
        <f t="shared" si="8"/>
        <v>4.7418698938288047E-2</v>
      </c>
      <c r="AQ11" s="672">
        <f t="shared" si="9"/>
        <v>5.1724260000000006</v>
      </c>
      <c r="AR11" s="672">
        <f t="shared" si="10"/>
        <v>0.16051950498926915</v>
      </c>
      <c r="AS11" s="673">
        <v>304.12046242532102</v>
      </c>
      <c r="AT11" s="673">
        <v>0.91447361557367601</v>
      </c>
      <c r="AU11" s="674">
        <f t="shared" si="11"/>
        <v>2.2300150021396639</v>
      </c>
      <c r="AV11" s="674">
        <f t="shared" si="12"/>
        <v>0.11004679952963378</v>
      </c>
      <c r="AW11" s="674">
        <f t="shared" si="13"/>
        <v>113.88693611677569</v>
      </c>
      <c r="AX11" s="674">
        <f t="shared" si="14"/>
        <v>0.37850849854788027</v>
      </c>
      <c r="AY11" s="674">
        <f t="shared" si="15"/>
        <v>7.120455284719893E-3</v>
      </c>
      <c r="AZ11" s="674">
        <f t="shared" si="16"/>
        <v>4.7420940822163971E-2</v>
      </c>
      <c r="BA11" s="674">
        <f t="shared" si="17"/>
        <v>5.3233183992580493</v>
      </c>
      <c r="BB11" s="674">
        <f t="shared" si="18"/>
        <v>0.16052381886646419</v>
      </c>
      <c r="BC11" s="671"/>
      <c r="BD11" s="675"/>
      <c r="BE11" s="798">
        <v>3.1970000000000001</v>
      </c>
      <c r="BF11" s="672">
        <v>2.0400944831061141</v>
      </c>
      <c r="BG11" s="672">
        <f t="shared" si="250"/>
        <v>2.2848663811089676</v>
      </c>
      <c r="BH11" s="672">
        <f t="shared" si="251"/>
        <v>0.11424331905544838</v>
      </c>
      <c r="BI11" s="676">
        <f t="shared" si="19"/>
        <v>6.4988714432740097E-7</v>
      </c>
      <c r="BJ11" s="676">
        <f t="shared" si="252"/>
        <v>3.2494357216370051E-8</v>
      </c>
      <c r="BK11" s="674">
        <f t="shared" si="20"/>
        <v>278.10017010729166</v>
      </c>
      <c r="BL11" s="674">
        <f t="shared" si="253"/>
        <v>13.905008505364584</v>
      </c>
      <c r="BM11" s="674"/>
      <c r="BN11" s="674"/>
      <c r="BO11" s="677">
        <f t="shared" si="254"/>
        <v>1276.4780938491378</v>
      </c>
      <c r="BP11" s="674">
        <f t="shared" si="255"/>
        <v>0.84778843172480467</v>
      </c>
      <c r="BQ11" s="677">
        <f t="shared" si="271"/>
        <v>2.2300150021396639</v>
      </c>
      <c r="BR11" s="674">
        <f t="shared" si="272"/>
        <v>0.11004679952963378</v>
      </c>
      <c r="BS11" s="677">
        <f t="shared" si="256"/>
        <v>113.88693611677569</v>
      </c>
      <c r="BT11" s="674">
        <f t="shared" si="257"/>
        <v>0.37850849854788027</v>
      </c>
      <c r="BU11" s="672">
        <f t="shared" si="258"/>
        <v>5.226308954076675</v>
      </c>
      <c r="BV11" s="672">
        <f t="shared" si="21"/>
        <v>0.16059708435899264</v>
      </c>
      <c r="BW11" s="667"/>
      <c r="BX11" s="672">
        <f t="shared" si="22"/>
        <v>5.1240231699180541</v>
      </c>
      <c r="BY11" s="672">
        <f t="shared" si="23"/>
        <v>0.16060554707002889</v>
      </c>
      <c r="BZ11" s="677">
        <f t="shared" si="24"/>
        <v>112.90438721651252</v>
      </c>
      <c r="CA11" s="672">
        <f t="shared" si="25"/>
        <v>5.4776221715391225E-2</v>
      </c>
      <c r="CB11" s="677">
        <f>Ar40_IC-(Ar36_ClCor*Ar4036_Air)</f>
        <v>-237.67075286164709</v>
      </c>
      <c r="CC11" s="677">
        <f t="shared" si="27"/>
        <v>47.466510840180781</v>
      </c>
      <c r="CD11" s="678">
        <v>1.5903158759700325E-12</v>
      </c>
      <c r="CE11" s="678">
        <v>4.0102150310807229E-15</v>
      </c>
      <c r="CF11" s="676">
        <f t="shared" si="28"/>
        <v>8.1488153959589725E-12</v>
      </c>
      <c r="CG11" s="676">
        <f t="shared" si="29"/>
        <v>2.5623879554946982E-13</v>
      </c>
      <c r="CH11" s="676">
        <f t="shared" si="30"/>
        <v>4.422671156315926E-10</v>
      </c>
      <c r="CI11" s="679">
        <f t="shared" si="31"/>
        <v>2.2141460373845874E-11</v>
      </c>
      <c r="CJ11" s="676">
        <f t="shared" si="32"/>
        <v>1.7955363945708783E-10</v>
      </c>
      <c r="CK11" s="680">
        <f t="shared" si="33"/>
        <v>4.6107469450241584E-13</v>
      </c>
      <c r="CL11" s="676">
        <f t="shared" si="34"/>
        <v>3.5464282615540536E-12</v>
      </c>
      <c r="CM11" s="676">
        <f t="shared" si="35"/>
        <v>1.7523750969121525E-13</v>
      </c>
      <c r="CN11" s="676">
        <f>Ar_Sensitivity*Ar40_IC</f>
        <v>2.0300033779762488E-9</v>
      </c>
      <c r="CO11" s="676">
        <f t="shared" si="37"/>
        <v>5.2935288536602517E-12</v>
      </c>
      <c r="CP11" s="676">
        <f t="shared" si="38"/>
        <v>8.0107943190538033E-15</v>
      </c>
      <c r="CQ11" s="676">
        <f t="shared" si="39"/>
        <v>2.0570870346938578E-17</v>
      </c>
      <c r="CR11" s="676">
        <f>Ar40CC/MV</f>
        <v>9.0568699008959188E-14</v>
      </c>
      <c r="CS11" s="676">
        <f t="shared" si="41"/>
        <v>2.3617105198085222E-16</v>
      </c>
      <c r="CT11" s="668">
        <v>4.8950836526663556E-3</v>
      </c>
      <c r="CU11" s="668">
        <v>9.1152863979977992E-6</v>
      </c>
      <c r="CV11" s="678">
        <v>1.1611559367069784E+19</v>
      </c>
      <c r="CW11" s="681">
        <v>1.040942599512031E+18</v>
      </c>
      <c r="CX11" s="678">
        <v>8.6527210079182822E+17</v>
      </c>
      <c r="CY11" s="678">
        <v>8.9278178143800032E+16</v>
      </c>
      <c r="CZ11" s="671">
        <v>0.49865169925804054</v>
      </c>
      <c r="DA11" s="671">
        <v>2.7936431740382541E-2</v>
      </c>
      <c r="DB11" s="673">
        <v>24.337069265073254</v>
      </c>
      <c r="DC11" s="673">
        <v>0.74264427477540718</v>
      </c>
      <c r="DD11" s="676">
        <f t="shared" si="42"/>
        <v>2.6638613571757248E-9</v>
      </c>
      <c r="DE11" s="676">
        <f t="shared" si="43"/>
        <v>1.3395387029991352E-10</v>
      </c>
      <c r="DF11" s="672">
        <f t="shared" si="44"/>
        <v>91.361798685318973</v>
      </c>
      <c r="DG11" s="672">
        <f t="shared" si="45"/>
        <v>4.616837856251454</v>
      </c>
      <c r="DH11" s="682">
        <f t="shared" si="46"/>
        <v>9.1361798685318969E-3</v>
      </c>
      <c r="DI11" s="683">
        <f t="shared" si="47"/>
        <v>4.616837856251454E-4</v>
      </c>
      <c r="DJ11" s="676">
        <f t="shared" si="48"/>
        <v>6.1115484206964638E-9</v>
      </c>
      <c r="DK11" s="676">
        <f t="shared" si="49"/>
        <v>1.9564715917720697E-10</v>
      </c>
      <c r="DL11" s="672">
        <f t="shared" si="50"/>
        <v>190.06379487627348</v>
      </c>
      <c r="DM11" s="674">
        <f t="shared" si="51"/>
        <v>6.1582221716942485</v>
      </c>
      <c r="DN11" s="682">
        <f t="shared" si="52"/>
        <v>1.9006379487627349E-2</v>
      </c>
      <c r="DO11" s="683">
        <f t="shared" si="53"/>
        <v>6.1582221716942483E-4</v>
      </c>
      <c r="DP11" s="676">
        <f t="shared" si="54"/>
        <v>6.4988714432740107E-7</v>
      </c>
      <c r="DQ11" s="676">
        <f t="shared" si="55"/>
        <v>4.920339865850287E-8</v>
      </c>
      <c r="DR11" s="677">
        <f t="shared" si="56"/>
        <v>22848.663811089678</v>
      </c>
      <c r="DS11" s="677">
        <f t="shared" si="57"/>
        <v>1733.6576707743714</v>
      </c>
      <c r="DT11" s="672">
        <f t="shared" si="58"/>
        <v>2.284866381108968</v>
      </c>
      <c r="DU11" s="672">
        <f t="shared" si="59"/>
        <v>0.17336576707743714</v>
      </c>
      <c r="DV11" s="674">
        <f t="shared" si="60"/>
        <v>0.43587339472836162</v>
      </c>
      <c r="DW11" s="674">
        <f t="shared" si="61"/>
        <v>2.2942968661620742E-2</v>
      </c>
      <c r="DX11" s="674">
        <f t="shared" si="62"/>
        <v>4.0989599200837879E-3</v>
      </c>
      <c r="DY11" s="674">
        <f t="shared" si="63"/>
        <v>5.9382259725177817E-3</v>
      </c>
      <c r="DZ11" s="674">
        <f t="shared" si="64"/>
        <v>0.48069017429012767</v>
      </c>
      <c r="EA11" s="674">
        <f t="shared" si="65"/>
        <v>2.534080352825752E-2</v>
      </c>
      <c r="EB11" s="674">
        <f t="shared" si="66"/>
        <v>3.998561992101096E-3</v>
      </c>
      <c r="EC11" s="674">
        <f t="shared" si="67"/>
        <v>5.9591788807191581E-3</v>
      </c>
      <c r="ED11" s="676">
        <f t="shared" si="68"/>
        <v>1.4819272101690736E-5</v>
      </c>
      <c r="EE11" s="676">
        <f t="shared" si="69"/>
        <v>4.7597617318591446E-7</v>
      </c>
      <c r="EF11" s="672">
        <f t="shared" si="70"/>
        <v>-106.57809594715989</v>
      </c>
      <c r="EG11" s="672">
        <f t="shared" si="71"/>
        <v>-21.925440393509945</v>
      </c>
      <c r="EH11" s="676">
        <f t="shared" si="72"/>
        <v>3.3999028802678305E-5</v>
      </c>
      <c r="EI11" s="676">
        <f t="shared" si="73"/>
        <v>1.7119588063098162E-6</v>
      </c>
      <c r="EJ11" s="677" t="str">
        <f t="shared" si="74"/>
        <v/>
      </c>
      <c r="EK11" s="677" t="str">
        <f t="shared" si="75"/>
        <v/>
      </c>
      <c r="EL11" s="677" t="str">
        <f t="shared" si="76"/>
        <v/>
      </c>
      <c r="EM11" s="674" t="str">
        <f t="shared" si="77"/>
        <v/>
      </c>
      <c r="EN11" s="674" t="str">
        <f t="shared" si="78"/>
        <v/>
      </c>
      <c r="EO11" s="674" t="str">
        <f t="shared" si="79"/>
        <v/>
      </c>
      <c r="EP11" s="684">
        <f t="shared" si="259"/>
        <v>1.6783266987240475</v>
      </c>
      <c r="EQ11" s="677" t="str">
        <f t="shared" ref="EQ11:ER13" si="277">EM11</f>
        <v/>
      </c>
      <c r="ER11" s="677" t="str">
        <f t="shared" si="277"/>
        <v/>
      </c>
      <c r="ES11" s="672">
        <f t="shared" si="81"/>
        <v>0.43520782951013226</v>
      </c>
      <c r="ET11" s="672">
        <f t="shared" si="82"/>
        <v>1.3644060420073989E-2</v>
      </c>
      <c r="EU11" s="677">
        <f t="shared" si="83"/>
        <v>249.11637818951391</v>
      </c>
      <c r="EV11" s="677">
        <f t="shared" si="84"/>
        <v>7.8099672964835696</v>
      </c>
      <c r="EW11" s="676">
        <f t="shared" si="85"/>
        <v>1.7470060887728959E-3</v>
      </c>
      <c r="EX11" s="676">
        <f t="shared" si="86"/>
        <v>8.6219079217780294E-5</v>
      </c>
      <c r="EY11" s="676">
        <f t="shared" si="87"/>
        <v>4.014188096614248E-3</v>
      </c>
      <c r="EZ11" s="676">
        <f t="shared" si="88"/>
        <v>1.2584751747089486E-4</v>
      </c>
      <c r="FA11" s="668">
        <v>7.629645</v>
      </c>
      <c r="FB11" s="668">
        <v>5.2253000000000001E-2</v>
      </c>
      <c r="FC11" s="668">
        <v>2.2040600000000001</v>
      </c>
      <c r="FD11" s="668">
        <v>1.0547000000000001E-2</v>
      </c>
      <c r="FE11" s="668">
        <v>6.6237000000000004E-2</v>
      </c>
      <c r="FF11" s="668">
        <v>1.774E-3</v>
      </c>
      <c r="FG11" s="667"/>
      <c r="FH11" s="667"/>
      <c r="FI11" s="668">
        <v>1.1679E-2</v>
      </c>
      <c r="FJ11" s="668">
        <v>1.738E-3</v>
      </c>
      <c r="FK11" s="668">
        <v>5.0549999999999996E-3</v>
      </c>
      <c r="FL11" s="668">
        <v>1.0219999999999999E-3</v>
      </c>
      <c r="FM11" s="668">
        <v>4.8409999999999998E-3</v>
      </c>
      <c r="FN11" s="668">
        <v>9.0399999999999996E-4</v>
      </c>
      <c r="FO11" s="667"/>
      <c r="FP11" s="667"/>
      <c r="FQ11" s="682">
        <f t="shared" si="89"/>
        <v>7.617966</v>
      </c>
      <c r="FR11" s="682">
        <f t="shared" si="90"/>
        <v>5.2281896034860859E-2</v>
      </c>
      <c r="FS11" s="682">
        <f t="shared" si="91"/>
        <v>2.1990050000000001</v>
      </c>
      <c r="FT11" s="682">
        <f t="shared" si="92"/>
        <v>1.4915710442349035E-2</v>
      </c>
      <c r="FU11" s="682">
        <f t="shared" si="93"/>
        <v>6.1396000000000006E-2</v>
      </c>
      <c r="FV11" s="682">
        <f t="shared" si="94"/>
        <v>1.9910529877429179E-3</v>
      </c>
      <c r="FW11" s="682">
        <f t="shared" si="95"/>
        <v>0</v>
      </c>
      <c r="FX11" s="682">
        <f t="shared" si="96"/>
        <v>0</v>
      </c>
      <c r="FY11" s="682">
        <f t="shared" si="97"/>
        <v>6.0666454325557402E-2</v>
      </c>
      <c r="FZ11" s="682">
        <f t="shared" si="98"/>
        <v>8.1160471561045888E-3</v>
      </c>
      <c r="GA11" s="682">
        <f t="shared" si="99"/>
        <v>7.6155636084087082</v>
      </c>
      <c r="GB11" s="682">
        <f t="shared" si="100"/>
        <v>5.2282883891828814E-2</v>
      </c>
      <c r="GC11" s="682">
        <f t="shared" si="101"/>
        <v>2.1867382429353723</v>
      </c>
      <c r="GD11" s="682">
        <f t="shared" si="102"/>
        <v>1.5005715959738264E-2</v>
      </c>
      <c r="GE11" s="682">
        <f t="shared" si="103"/>
        <v>-1.8515401860160121E-2</v>
      </c>
      <c r="GF11" s="682">
        <f t="shared" si="104"/>
        <v>2.4770175920431209E-3</v>
      </c>
      <c r="GG11" s="678">
        <v>1.7782159136499011E-12</v>
      </c>
      <c r="GH11" s="678">
        <v>7.5535622364420377E-15</v>
      </c>
      <c r="GI11" s="671">
        <v>1</v>
      </c>
      <c r="GJ11" s="671">
        <v>5.0000000000000001E-3</v>
      </c>
      <c r="GK11" s="676">
        <f t="shared" si="105"/>
        <v>1.3542116399885429E-11</v>
      </c>
      <c r="GL11" s="676">
        <f t="shared" si="106"/>
        <v>1.2859733637650521E-13</v>
      </c>
      <c r="GM11" s="676">
        <f t="shared" si="107"/>
        <v>3.8884927425745027E-12</v>
      </c>
      <c r="GN11" s="676">
        <f t="shared" si="108"/>
        <v>3.6916752172783649E-14</v>
      </c>
      <c r="GO11" s="676">
        <f t="shared" si="109"/>
        <v>1.0787805450642105E-13</v>
      </c>
      <c r="GP11" s="676">
        <f t="shared" si="110"/>
        <v>1.4449428624025866E-14</v>
      </c>
      <c r="GQ11" s="676">
        <f t="shared" si="111"/>
        <v>-3.2924382235359712E-14</v>
      </c>
      <c r="GR11" s="676">
        <f t="shared" si="112"/>
        <v>-4.4099656160526956E-15</v>
      </c>
      <c r="GS11" s="676">
        <f t="shared" si="113"/>
        <v>6.0418217894209995E-16</v>
      </c>
      <c r="GT11" s="676">
        <f t="shared" si="114"/>
        <v>5.7373764003154252E-18</v>
      </c>
      <c r="GU11" s="676">
        <f t="shared" si="115"/>
        <v>1.7348529200569282E-16</v>
      </c>
      <c r="GV11" s="676">
        <f t="shared" si="116"/>
        <v>1.6470426889130098E-18</v>
      </c>
      <c r="GW11" s="676">
        <f t="shared" si="117"/>
        <v>4.8129846256730984E-18</v>
      </c>
      <c r="GX11" s="676">
        <f t="shared" si="118"/>
        <v>6.4466195776370698E-19</v>
      </c>
      <c r="GY11" s="672">
        <f t="shared" si="119"/>
        <v>3.4826132633899252</v>
      </c>
      <c r="GZ11" s="672">
        <f t="shared" si="120"/>
        <v>3.3161388518066014E-2</v>
      </c>
      <c r="HA11" s="673">
        <v>26.169770272470501</v>
      </c>
      <c r="HB11" s="673">
        <v>0.31897682079735301</v>
      </c>
      <c r="HC11" s="685">
        <f t="shared" si="121"/>
        <v>346.98250682720004</v>
      </c>
      <c r="HD11" s="685">
        <f t="shared" si="122"/>
        <v>5.4348550854536093</v>
      </c>
      <c r="HE11" s="686">
        <f t="shared" si="123"/>
        <v>7.8149849612578154E-12</v>
      </c>
      <c r="HF11" s="687">
        <f t="shared" si="124"/>
        <v>2.7851937646464338E-13</v>
      </c>
      <c r="HG11" s="688">
        <f t="shared" si="125"/>
        <v>547.76189328451278</v>
      </c>
      <c r="HH11" s="688">
        <f t="shared" si="126"/>
        <v>19.712950081995601</v>
      </c>
      <c r="HI11" s="673">
        <v>7.5091582159801398</v>
      </c>
      <c r="HJ11" s="673">
        <v>0.114829942558394</v>
      </c>
      <c r="HK11" s="685">
        <f>Pi_prime*(Ar38_mole/Kr82_mole)</f>
        <v>346.74018345875663</v>
      </c>
      <c r="HL11" s="685">
        <f t="shared" si="128"/>
        <v>6.3043051867956903</v>
      </c>
      <c r="HM11" s="686">
        <f t="shared" si="129"/>
        <v>7.8204465534541878E-12</v>
      </c>
      <c r="HN11" s="687">
        <f t="shared" si="130"/>
        <v>2.787140229368476E-13</v>
      </c>
      <c r="HO11" s="688">
        <f t="shared" si="131"/>
        <v>548.14470298877495</v>
      </c>
      <c r="HP11" s="688">
        <f t="shared" si="132"/>
        <v>20.36551185953066</v>
      </c>
      <c r="HQ11" s="671">
        <v>1.11613116912226</v>
      </c>
      <c r="HR11" s="671">
        <v>3.5153924948669403E-2</v>
      </c>
      <c r="HS11" s="671">
        <f t="shared" si="133"/>
        <v>645.51492845900134</v>
      </c>
      <c r="HT11" s="671">
        <f t="shared" si="134"/>
        <v>61.803725642870972</v>
      </c>
      <c r="HU11" s="671">
        <v>1.11613116912226</v>
      </c>
      <c r="HV11" s="671">
        <v>3.5153924948669403E-2</v>
      </c>
      <c r="HW11" s="671">
        <f t="shared" si="135"/>
        <v>806.25708098586438</v>
      </c>
      <c r="HX11" s="671">
        <f t="shared" si="136"/>
        <v>77.783354984647517</v>
      </c>
      <c r="HY11" s="678">
        <v>0.31801200000000002</v>
      </c>
      <c r="HZ11" s="678">
        <v>6.4079999999999996E-3</v>
      </c>
      <c r="IA11" s="678">
        <v>6.5170000000000002E-3</v>
      </c>
      <c r="IB11" s="678">
        <v>3.8499999999999998E-4</v>
      </c>
      <c r="IC11" s="678">
        <v>1.5269999999999999E-3</v>
      </c>
      <c r="ID11" s="678">
        <v>1.6200000000000001E-4</v>
      </c>
      <c r="IE11" s="678">
        <v>3.6176E-2</v>
      </c>
      <c r="IF11" s="678">
        <v>1.7949999999999999E-3</v>
      </c>
      <c r="IG11" s="678">
        <v>1.0173E-2</v>
      </c>
      <c r="IH11" s="678">
        <v>5.0799999999999999E-4</v>
      </c>
      <c r="II11" s="678">
        <v>6.2360000000000002E-3</v>
      </c>
      <c r="IJ11" s="678">
        <v>5.1599999999999997E-4</v>
      </c>
      <c r="IK11" s="678">
        <v>7.1459999999999996E-3</v>
      </c>
      <c r="IL11" s="678">
        <v>4.7699999999999999E-4</v>
      </c>
      <c r="IM11" s="678">
        <v>1.392E-3</v>
      </c>
      <c r="IN11" s="678">
        <v>2.5399999999999999E-4</v>
      </c>
      <c r="IO11" s="678">
        <v>5.7300000000000005E-4</v>
      </c>
      <c r="IP11" s="678">
        <v>1.95E-4</v>
      </c>
      <c r="IQ11" s="678">
        <v>1.0000000000000001E-5</v>
      </c>
      <c r="IR11" s="678">
        <v>7.2000000000000002E-5</v>
      </c>
      <c r="IS11" s="678">
        <v>1.078E-3</v>
      </c>
      <c r="IT11" s="678">
        <v>2.32E-4</v>
      </c>
      <c r="IU11" s="678">
        <v>8.2600000000000002E-4</v>
      </c>
      <c r="IV11" s="678">
        <v>1.0399999999999999E-4</v>
      </c>
      <c r="IW11" s="678">
        <v>4.6999999999999999E-4</v>
      </c>
      <c r="IX11" s="678">
        <v>1.85E-4</v>
      </c>
      <c r="IY11" s="678">
        <v>1.01E-4</v>
      </c>
      <c r="IZ11" s="678">
        <v>8.0000000000000007E-5</v>
      </c>
      <c r="JA11" s="676">
        <f t="shared" si="137"/>
        <v>0.31662000000000001</v>
      </c>
      <c r="JB11" s="676">
        <f t="shared" si="138"/>
        <v>6.4130320442049877E-3</v>
      </c>
      <c r="JC11" s="676">
        <f t="shared" si="139"/>
        <v>5.9440000000000005E-3</v>
      </c>
      <c r="JD11" s="676">
        <f t="shared" si="140"/>
        <v>4.3156691254080169E-4</v>
      </c>
      <c r="JE11" s="676">
        <f t="shared" si="141"/>
        <v>1.5169999999999999E-3</v>
      </c>
      <c r="JF11" s="676">
        <f t="shared" si="142"/>
        <v>1.772794404323299E-4</v>
      </c>
      <c r="JG11" s="676">
        <f t="shared" si="143"/>
        <v>3.5097999999999997E-2</v>
      </c>
      <c r="JH11" s="676">
        <f t="shared" si="144"/>
        <v>1.8099306616553021E-3</v>
      </c>
      <c r="JI11" s="676">
        <f t="shared" si="145"/>
        <v>9.3469999999999994E-3</v>
      </c>
      <c r="JJ11" s="676">
        <f t="shared" si="146"/>
        <v>5.1853640180801188E-4</v>
      </c>
      <c r="JK11" s="676">
        <f t="shared" si="147"/>
        <v>5.7660000000000003E-3</v>
      </c>
      <c r="JL11" s="676">
        <f t="shared" si="148"/>
        <v>5.4816147256077743E-4</v>
      </c>
      <c r="JM11" s="676">
        <f t="shared" si="149"/>
        <v>7.0449999999999992E-3</v>
      </c>
      <c r="JN11" s="676">
        <f t="shared" si="150"/>
        <v>4.8366207211233752E-4</v>
      </c>
      <c r="JO11" s="676">
        <f t="shared" si="151"/>
        <v>0.31590458520444503</v>
      </c>
      <c r="JP11" s="676">
        <f t="shared" si="152"/>
        <v>6.4135769853010879E-3</v>
      </c>
      <c r="JQ11" s="676">
        <f t="shared" si="153"/>
        <v>-3.9054782031259982E-3</v>
      </c>
      <c r="JR11" s="676">
        <f t="shared" si="154"/>
        <v>1.229274675686798E-3</v>
      </c>
      <c r="JS11" s="676">
        <f t="shared" si="155"/>
        <v>2.7192365918221998E-2</v>
      </c>
      <c r="JT11" s="676">
        <f t="shared" si="156"/>
        <v>2.0320874521238515E-3</v>
      </c>
      <c r="JU11" s="676">
        <f t="shared" si="157"/>
        <v>-6.728150593550003E-4</v>
      </c>
      <c r="JV11" s="676">
        <f t="shared" si="158"/>
        <v>1.2806119397321821E-3</v>
      </c>
      <c r="JW11" s="676">
        <f t="shared" si="159"/>
        <v>1.8612780712260004E-3</v>
      </c>
      <c r="JX11" s="676">
        <f t="shared" si="160"/>
        <v>7.132339116104839E-4</v>
      </c>
      <c r="JY11" s="676">
        <f t="shared" si="161"/>
        <v>3.7444729195409993E-3</v>
      </c>
      <c r="JZ11" s="676">
        <f t="shared" si="162"/>
        <v>6.1862582466362377E-4</v>
      </c>
      <c r="KA11" s="678">
        <v>1.7696448643015688E-12</v>
      </c>
      <c r="KB11" s="678">
        <v>3.8892524257744769E-14</v>
      </c>
      <c r="KC11" s="667">
        <v>1</v>
      </c>
      <c r="KD11" s="667">
        <v>0</v>
      </c>
      <c r="KE11" s="676">
        <f t="shared" si="163"/>
        <v>5.5903892681636351E-13</v>
      </c>
      <c r="KF11" s="676">
        <f t="shared" si="164"/>
        <v>1.672634840685504E-14</v>
      </c>
      <c r="KG11" s="676">
        <f t="shared" si="165"/>
        <v>2.494154879072087E-17</v>
      </c>
      <c r="KH11" s="676">
        <f t="shared" si="166"/>
        <v>7.4624684426598651E-19</v>
      </c>
      <c r="KI11" s="671">
        <v>1.2430056234832578</v>
      </c>
      <c r="KJ11" s="671">
        <v>0.11113867994607306</v>
      </c>
      <c r="KK11" s="676">
        <f t="shared" si="167"/>
        <v>2.9843600117127785E-13</v>
      </c>
      <c r="KL11" s="676">
        <f t="shared" si="260"/>
        <v>3.8875037535174558E-14</v>
      </c>
      <c r="KM11" s="682">
        <f t="shared" si="168"/>
        <v>33.221817114596867</v>
      </c>
      <c r="KN11" s="682">
        <f t="shared" si="169"/>
        <v>4.3325589481429319</v>
      </c>
      <c r="KO11" s="673">
        <v>20.162258156415799</v>
      </c>
      <c r="KP11" s="673">
        <v>0.66285498057307002</v>
      </c>
      <c r="KQ11" s="687">
        <f t="shared" si="170"/>
        <v>6475.7687846073695</v>
      </c>
      <c r="KR11" s="687">
        <f t="shared" si="171"/>
        <v>288.34435453541334</v>
      </c>
      <c r="KS11" s="689">
        <f t="shared" si="172"/>
        <v>29.349997073404957</v>
      </c>
      <c r="KT11" s="689">
        <f t="shared" si="173"/>
        <v>1.6162327785491721</v>
      </c>
      <c r="KU11" s="672">
        <f t="shared" si="174"/>
        <v>2.651567332892394E-2</v>
      </c>
      <c r="KV11" s="672">
        <f t="shared" si="175"/>
        <v>2.0487504123683502E-3</v>
      </c>
      <c r="KW11" s="676">
        <f t="shared" si="176"/>
        <v>4.6923325130028332E-14</v>
      </c>
      <c r="KX11" s="676">
        <f t="shared" si="177"/>
        <v>3.7693753076312619E-15</v>
      </c>
      <c r="KY11" s="676">
        <f t="shared" si="178"/>
        <v>2.093486422883573E-18</v>
      </c>
      <c r="KZ11" s="676">
        <f t="shared" si="179"/>
        <v>1.681708618819605E-19</v>
      </c>
      <c r="LA11" s="671">
        <v>1.2485542932379501</v>
      </c>
      <c r="LB11" s="671">
        <v>5.9627651953476503E-2</v>
      </c>
      <c r="LC11" s="676">
        <f t="shared" si="180"/>
        <v>1.7586880451606858E-11</v>
      </c>
      <c r="LD11" s="676">
        <f t="shared" si="181"/>
        <v>2.4062389877137283E-12</v>
      </c>
      <c r="LE11" s="682">
        <f t="shared" si="182"/>
        <v>2.1185557296296627</v>
      </c>
      <c r="LF11" s="682">
        <f t="shared" si="183"/>
        <v>0.29486103637381289</v>
      </c>
      <c r="LG11" s="690"/>
      <c r="LH11" s="690"/>
      <c r="LI11" s="691"/>
      <c r="LJ11" s="691"/>
      <c r="LK11" s="691"/>
      <c r="LL11" s="691"/>
      <c r="LM11" s="676">
        <f t="shared" si="184"/>
        <v>3.2938011797822213E-15</v>
      </c>
      <c r="LN11" s="676">
        <f t="shared" si="185"/>
        <v>1.2642449256243506E-15</v>
      </c>
      <c r="LO11" s="676">
        <f t="shared" si="186"/>
        <v>1.4695309913446903E-19</v>
      </c>
      <c r="LP11" s="676">
        <f t="shared" si="187"/>
        <v>5.6404348576382612E-20</v>
      </c>
      <c r="LQ11" s="676">
        <f t="shared" si="188"/>
        <v>3.740693366473494E-14</v>
      </c>
      <c r="LR11" s="676">
        <f t="shared" si="189"/>
        <v>1.4744151867184323E-14</v>
      </c>
      <c r="LS11" s="672">
        <f t="shared" si="190"/>
        <v>7.8104663567185648</v>
      </c>
      <c r="LT11" s="672">
        <f t="shared" si="191"/>
        <v>3.0787866316668242</v>
      </c>
      <c r="LW11" s="693" t="str">
        <f t="shared" si="192"/>
        <v>43z1</v>
      </c>
      <c r="LX11" s="693" t="str">
        <f t="shared" si="193"/>
        <v>MN2022a</v>
      </c>
      <c r="LY11" s="694">
        <f t="shared" si="194"/>
        <v>91.361798685318973</v>
      </c>
      <c r="LZ11" s="694">
        <f t="shared" si="195"/>
        <v>4.616837856251454</v>
      </c>
      <c r="MA11" s="694">
        <f t="shared" si="196"/>
        <v>190.06379487627348</v>
      </c>
      <c r="MB11" s="694">
        <f t="shared" si="197"/>
        <v>6.1582221716942485</v>
      </c>
      <c r="MC11" s="694">
        <f t="shared" si="198"/>
        <v>22848.663811089678</v>
      </c>
      <c r="MD11" s="694">
        <f t="shared" si="199"/>
        <v>1733.6576707743714</v>
      </c>
      <c r="ME11" s="694">
        <f t="shared" si="200"/>
        <v>645.51492845900134</v>
      </c>
      <c r="MF11" s="694">
        <f t="shared" si="201"/>
        <v>61.803725642870972</v>
      </c>
      <c r="MG11" s="694">
        <f t="shared" si="202"/>
        <v>806.25708098586438</v>
      </c>
      <c r="MH11" s="694">
        <f t="shared" si="203"/>
        <v>77.783354984647517</v>
      </c>
      <c r="MI11" s="694">
        <f t="shared" si="204"/>
        <v>547.76189328451278</v>
      </c>
      <c r="MJ11" s="694">
        <f t="shared" si="205"/>
        <v>19.712950081995601</v>
      </c>
      <c r="MK11" s="694">
        <f t="shared" si="206"/>
        <v>548.14470298877495</v>
      </c>
      <c r="ML11" s="694">
        <f t="shared" si="207"/>
        <v>20.36551185953066</v>
      </c>
      <c r="MM11" s="694">
        <f t="shared" si="261"/>
        <v>33.221817114596867</v>
      </c>
      <c r="MN11" s="694">
        <f t="shared" si="208"/>
        <v>4.3325589481429319</v>
      </c>
      <c r="MO11" s="694">
        <f t="shared" si="209"/>
        <v>29.349997073404957</v>
      </c>
      <c r="MP11" s="694">
        <f t="shared" si="210"/>
        <v>1.6162327785491721</v>
      </c>
      <c r="MQ11" s="695"/>
      <c r="MR11" s="695"/>
      <c r="MS11" s="695"/>
      <c r="MT11" s="695"/>
      <c r="MU11" s="696">
        <f t="shared" si="273"/>
        <v>0.48069017429012767</v>
      </c>
      <c r="MV11" s="696">
        <f t="shared" si="274"/>
        <v>2.534080352825752E-2</v>
      </c>
      <c r="MW11" s="697">
        <f t="shared" si="211"/>
        <v>2.8819896690008284E-3</v>
      </c>
      <c r="MX11" s="697">
        <f t="shared" si="212"/>
        <v>1.3955978228171942E-4</v>
      </c>
      <c r="MY11" s="697">
        <f t="shared" si="213"/>
        <v>2.8840037806548203E-3</v>
      </c>
      <c r="MZ11" s="697">
        <f t="shared" si="214"/>
        <v>1.4217284156482665E-4</v>
      </c>
      <c r="NA11" s="698">
        <f t="shared" si="215"/>
        <v>1.7479298009504332E-4</v>
      </c>
      <c r="NB11" s="698">
        <f t="shared" si="216"/>
        <v>2.3488287629252016E-5</v>
      </c>
      <c r="NC11" s="696">
        <f t="shared" si="275"/>
        <v>0.43587339472836162</v>
      </c>
      <c r="ND11" s="696">
        <f t="shared" si="276"/>
        <v>2.2942968661620742E-2</v>
      </c>
      <c r="NE11" s="697">
        <f t="shared" si="217"/>
        <v>1.2787242157474767E-3</v>
      </c>
      <c r="NF11" s="697">
        <f t="shared" si="218"/>
        <v>6.1258250731401003E-5</v>
      </c>
      <c r="NG11" s="698">
        <f t="shared" si="219"/>
        <v>1.2796178668847036E-3</v>
      </c>
      <c r="NH11" s="698">
        <f t="shared" si="220"/>
        <v>6.1301061765051937E-5</v>
      </c>
      <c r="NI11" s="697">
        <f t="shared" si="221"/>
        <v>4.8831499184461915E-5</v>
      </c>
      <c r="NJ11" s="697">
        <f t="shared" si="221"/>
        <v>6.5618670588977028E-6</v>
      </c>
      <c r="NK11" s="699">
        <f t="shared" si="222"/>
        <v>7.1480836806657657E-9</v>
      </c>
      <c r="NL11" s="699">
        <f t="shared" si="223"/>
        <v>2.2759464621723548E-10</v>
      </c>
      <c r="NM11" s="699">
        <f t="shared" si="224"/>
        <v>3.1109019838193454E-9</v>
      </c>
      <c r="NN11" s="699">
        <f t="shared" si="225"/>
        <v>1.5450208361969306E-10</v>
      </c>
      <c r="NO11" s="699">
        <f t="shared" si="226"/>
        <v>1.7807047175230253E-6</v>
      </c>
      <c r="NP11" s="699">
        <f t="shared" si="227"/>
        <v>1.0041629668533665E-8</v>
      </c>
      <c r="NQ11" s="699">
        <f t="shared" si="228"/>
        <v>-3.3155401011370826E-7</v>
      </c>
      <c r="NR11" s="699">
        <f t="shared" si="229"/>
        <v>-6.6242468339135828E-8</v>
      </c>
      <c r="NS11" s="699">
        <f t="shared" si="230"/>
        <v>1.7459313211546037E-6</v>
      </c>
      <c r="NT11" s="699">
        <f t="shared" si="231"/>
        <v>4.9515779876134995E-9</v>
      </c>
      <c r="NU11" s="699">
        <f t="shared" si="232"/>
        <v>9.4629872374053559E-11</v>
      </c>
      <c r="NV11" s="699">
        <f t="shared" si="233"/>
        <v>1.2683765534977829E-11</v>
      </c>
      <c r="NW11" s="699">
        <f t="shared" si="234"/>
        <v>2.3548695255662106E-12</v>
      </c>
      <c r="NX11" s="699">
        <f t="shared" si="235"/>
        <v>2.8026616433449791E-13</v>
      </c>
      <c r="NY11" s="699">
        <f t="shared" si="236"/>
        <v>1.4509535567216459E-11</v>
      </c>
      <c r="NZ11" s="699">
        <f t="shared" si="237"/>
        <v>8.6883256262955354E-13</v>
      </c>
      <c r="OA11" s="700">
        <f t="shared" si="262"/>
        <v>249.11637818951391</v>
      </c>
      <c r="OB11" s="700">
        <f t="shared" si="238"/>
        <v>7.8099672964835696</v>
      </c>
      <c r="OC11" s="700">
        <f t="shared" si="239"/>
        <v>244.25166228495934</v>
      </c>
      <c r="OD11" s="700">
        <f t="shared" si="263"/>
        <v>7.8077513362833733</v>
      </c>
      <c r="OE11" s="699">
        <f t="shared" si="264"/>
        <v>1.3238495322880694E-2</v>
      </c>
      <c r="OF11" s="699">
        <f t="shared" si="265"/>
        <v>1.8214027384852833E-3</v>
      </c>
      <c r="OG11" s="699">
        <f t="shared" si="266"/>
        <v>3.2944067679785194E-4</v>
      </c>
      <c r="OH11" s="699">
        <f t="shared" si="267"/>
        <v>4.0587427057447154E-5</v>
      </c>
      <c r="OI11" s="699">
        <f t="shared" si="268"/>
        <v>2.0298497073365342E-3</v>
      </c>
      <c r="OJ11" s="699">
        <f t="shared" si="269"/>
        <v>1.3766227566654895E-4</v>
      </c>
      <c r="OK11" s="699">
        <f t="shared" si="240"/>
        <v>1.7470060887728959E-3</v>
      </c>
      <c r="OL11" s="699">
        <f t="shared" si="241"/>
        <v>8.6219079217780294E-5</v>
      </c>
      <c r="OM11" s="699">
        <f t="shared" si="242"/>
        <v>4.014188096614248E-3</v>
      </c>
      <c r="ON11" s="699">
        <f t="shared" si="243"/>
        <v>1.2584751747089486E-4</v>
      </c>
      <c r="OO11" s="699">
        <f t="shared" si="244"/>
        <v>0.43520782951013226</v>
      </c>
      <c r="OP11" s="699">
        <f t="shared" si="245"/>
        <v>1.3644060420073989E-2</v>
      </c>
      <c r="OQ11" s="699">
        <f t="shared" si="246"/>
        <v>4.8950836526663556E-3</v>
      </c>
      <c r="OR11" s="699">
        <f t="shared" si="247"/>
        <v>9.1152863979977992E-6</v>
      </c>
    </row>
    <row r="12" spans="2:408">
      <c r="B12" s="245" t="s">
        <v>959</v>
      </c>
      <c r="C12" s="5">
        <v>1.2600000000000001E-3</v>
      </c>
      <c r="D12" s="66">
        <f t="shared" ref="D12" si="278">C12*0.5%</f>
        <v>6.3000000000000007E-6</v>
      </c>
      <c r="E12" s="67">
        <v>45111</v>
      </c>
      <c r="F12" s="5" t="s">
        <v>210</v>
      </c>
      <c r="G12" s="5" t="s">
        <v>893</v>
      </c>
      <c r="H12" s="5">
        <v>2</v>
      </c>
      <c r="J12" s="327">
        <v>44644</v>
      </c>
      <c r="K12" s="67" t="s">
        <v>823</v>
      </c>
      <c r="L12" s="5" t="s">
        <v>949</v>
      </c>
      <c r="M12" s="5" t="s">
        <v>951</v>
      </c>
      <c r="N12" s="5">
        <v>180</v>
      </c>
      <c r="O12" s="6">
        <v>719.36655099999996</v>
      </c>
      <c r="P12" s="6">
        <v>1.1196790000000001</v>
      </c>
      <c r="Q12" s="6">
        <v>1.7683260000000001</v>
      </c>
      <c r="R12" s="6">
        <v>0.101622</v>
      </c>
      <c r="S12" s="6">
        <v>131.88470100000001</v>
      </c>
      <c r="T12" s="6">
        <v>0.35787200000000002</v>
      </c>
      <c r="U12" s="6">
        <v>9.3040999999999999E-2</v>
      </c>
      <c r="V12" s="6">
        <v>2.5339E-2</v>
      </c>
      <c r="W12" s="6">
        <v>3.132997</v>
      </c>
      <c r="X12" s="6">
        <v>0.131685</v>
      </c>
      <c r="Y12" s="6">
        <v>96.848258999999999</v>
      </c>
      <c r="Z12" s="6">
        <v>0.65095099999999995</v>
      </c>
      <c r="AA12" s="6">
        <v>0.198543</v>
      </c>
      <c r="AB12" s="6">
        <v>3.6814E-2</v>
      </c>
      <c r="AC12" s="6">
        <v>0.24674699999999999</v>
      </c>
      <c r="AD12" s="6">
        <v>5.5192999999999999E-2</v>
      </c>
      <c r="AE12" s="6">
        <v>9.1962000000000002E-2</v>
      </c>
      <c r="AF12" s="6">
        <v>2.1925E-2</v>
      </c>
      <c r="AG12" s="6">
        <v>0.49363899999999999</v>
      </c>
      <c r="AH12" s="6">
        <v>8.3148E-2</v>
      </c>
      <c r="AI12" s="147">
        <f t="shared" si="1"/>
        <v>622.51829199999997</v>
      </c>
      <c r="AJ12" s="147">
        <f t="shared" si="2"/>
        <v>1.295151831810464</v>
      </c>
      <c r="AK12" s="147">
        <f t="shared" si="3"/>
        <v>1.5697830000000002</v>
      </c>
      <c r="AL12" s="147">
        <f t="shared" si="4"/>
        <v>0.10808469586393811</v>
      </c>
      <c r="AM12" s="147">
        <f t="shared" si="5"/>
        <v>131.63795400000001</v>
      </c>
      <c r="AN12" s="147">
        <f t="shared" si="6"/>
        <v>0.3621030732167293</v>
      </c>
      <c r="AO12" s="147">
        <f t="shared" si="7"/>
        <v>1.0789999999999966E-3</v>
      </c>
      <c r="AP12" s="147">
        <f t="shared" si="8"/>
        <v>3.3507768442556721E-2</v>
      </c>
      <c r="AQ12" s="147">
        <f t="shared" si="9"/>
        <v>2.6393580000000001</v>
      </c>
      <c r="AR12" s="147">
        <f t="shared" si="10"/>
        <v>0.15573865650184607</v>
      </c>
      <c r="AS12" s="4">
        <v>304.12046242532102</v>
      </c>
      <c r="AT12" s="4">
        <v>0.91447361557367601</v>
      </c>
      <c r="AU12" s="133">
        <f t="shared" si="11"/>
        <v>1.5812316086018678</v>
      </c>
      <c r="AV12" s="133">
        <f t="shared" si="12"/>
        <v>0.10808757646236612</v>
      </c>
      <c r="AW12" s="133">
        <f t="shared" si="13"/>
        <v>133.55805558410006</v>
      </c>
      <c r="AX12" s="133">
        <f t="shared" si="14"/>
        <v>0.36212561063020887</v>
      </c>
      <c r="AY12" s="133">
        <f t="shared" si="15"/>
        <v>1.1026078146114723E-3</v>
      </c>
      <c r="AZ12" s="133">
        <f t="shared" si="16"/>
        <v>3.35093526384923E-2</v>
      </c>
      <c r="BA12" s="133">
        <f t="shared" si="17"/>
        <v>2.7163545701048069</v>
      </c>
      <c r="BB12" s="133">
        <f t="shared" si="18"/>
        <v>0.1557428103447307</v>
      </c>
      <c r="BC12" s="6"/>
      <c r="BD12" s="8"/>
      <c r="BE12" s="797">
        <v>3.08</v>
      </c>
      <c r="BF12" s="147">
        <f t="shared" si="249"/>
        <v>0.15400000000000003</v>
      </c>
      <c r="BG12" s="147">
        <f t="shared" si="250"/>
        <v>2.2012475614061997</v>
      </c>
      <c r="BH12" s="147">
        <f t="shared" si="251"/>
        <v>0.11006237807031</v>
      </c>
      <c r="BI12" s="157">
        <f t="shared" si="19"/>
        <v>6.9200896391512265E-7</v>
      </c>
      <c r="BJ12" s="157">
        <f t="shared" si="252"/>
        <v>3.4600448195756133E-8</v>
      </c>
      <c r="BK12" s="133">
        <f t="shared" si="20"/>
        <v>283.81970662415733</v>
      </c>
      <c r="BL12" s="133">
        <f t="shared" si="253"/>
        <v>14.190985331207868</v>
      </c>
      <c r="BM12" s="133"/>
      <c r="BN12" s="133"/>
      <c r="BO12" s="143">
        <f t="shared" si="254"/>
        <v>622.31239068709044</v>
      </c>
      <c r="BP12" s="133">
        <f t="shared" si="255"/>
        <v>1.2952283060759233</v>
      </c>
      <c r="BQ12" s="143">
        <f t="shared" si="271"/>
        <v>1.5812316086018678</v>
      </c>
      <c r="BR12" s="133">
        <f t="shared" si="272"/>
        <v>0.10808757646236612</v>
      </c>
      <c r="BS12" s="143">
        <f t="shared" si="256"/>
        <v>133.55805558410006</v>
      </c>
      <c r="BT12" s="133">
        <f t="shared" si="257"/>
        <v>0.36212561063020887</v>
      </c>
      <c r="BU12" s="147">
        <f t="shared" si="258"/>
        <v>2.6173499838777379</v>
      </c>
      <c r="BV12" s="147">
        <f t="shared" si="21"/>
        <v>0.15582146111595069</v>
      </c>
      <c r="BX12" s="147">
        <f t="shared" si="22"/>
        <v>2.4970563721773216</v>
      </c>
      <c r="BY12" s="147">
        <f t="shared" si="23"/>
        <v>0.15582896072031599</v>
      </c>
      <c r="BZ12" s="143">
        <f t="shared" si="24"/>
        <v>133.0659923794357</v>
      </c>
      <c r="CA12" s="147">
        <f t="shared" si="25"/>
        <v>5.084699509918026E-2</v>
      </c>
      <c r="CB12" s="143">
        <f t="shared" si="26"/>
        <v>-115.56776729130809</v>
      </c>
      <c r="CC12" s="143">
        <f t="shared" si="27"/>
        <v>46.065670458150983</v>
      </c>
      <c r="CD12" s="3">
        <v>1.5903158759700325E-12</v>
      </c>
      <c r="CE12" s="3">
        <v>4.0102150310807229E-15</v>
      </c>
      <c r="CF12" s="157">
        <f t="shared" si="28"/>
        <v>3.9711083918657283E-12</v>
      </c>
      <c r="CG12" s="157">
        <f t="shared" si="29"/>
        <v>2.4801950375477783E-13</v>
      </c>
      <c r="CH12" s="157">
        <f t="shared" si="30"/>
        <v>4.5136298535755439E-10</v>
      </c>
      <c r="CI12" s="158">
        <f t="shared" si="31"/>
        <v>2.2596831872166382E-11</v>
      </c>
      <c r="CJ12" s="157">
        <f t="shared" si="32"/>
        <v>2.1161696023272395E-10</v>
      </c>
      <c r="CK12" s="477">
        <f t="shared" si="33"/>
        <v>5.3971525361386499E-13</v>
      </c>
      <c r="CL12" s="157">
        <f t="shared" si="34"/>
        <v>2.514657730745183E-12</v>
      </c>
      <c r="CM12" s="157">
        <f t="shared" si="35"/>
        <v>1.7201030901636431E-13</v>
      </c>
      <c r="CN12" s="157">
        <f t="shared" si="36"/>
        <v>9.8967327472254539E-10</v>
      </c>
      <c r="CO12" s="157">
        <f t="shared" si="37"/>
        <v>3.2358799513373957E-12</v>
      </c>
      <c r="CP12" s="157">
        <f t="shared" si="38"/>
        <v>9.4413009280877677E-15</v>
      </c>
      <c r="CQ12" s="157">
        <f t="shared" si="39"/>
        <v>2.4079422797705096E-17</v>
      </c>
      <c r="CR12" s="157">
        <f t="shared" si="40"/>
        <v>4.415432107552183E-14</v>
      </c>
      <c r="CS12" s="157">
        <f t="shared" si="41"/>
        <v>1.4436894299402713E-16</v>
      </c>
      <c r="CT12" s="66">
        <v>4.6916719318723325E-3</v>
      </c>
      <c r="CU12" s="66">
        <v>8.9351582067168345E-6</v>
      </c>
      <c r="CV12" s="3">
        <v>1.1611559367069784E+19</v>
      </c>
      <c r="CW12" s="60">
        <v>1.040942599512031E+18</v>
      </c>
      <c r="CX12" s="3">
        <v>8.6527210079182822E+17</v>
      </c>
      <c r="CY12" s="3">
        <v>8.9278178143800032E+16</v>
      </c>
      <c r="CZ12" s="6">
        <v>0.49865169925804054</v>
      </c>
      <c r="DA12" s="6">
        <v>2.7936431740382541E-2</v>
      </c>
      <c r="DB12" s="4">
        <v>24.337069265073254</v>
      </c>
      <c r="DC12" s="4">
        <v>0.74264427477540718</v>
      </c>
      <c r="DD12" s="157">
        <f t="shared" si="42"/>
        <v>1.9707512111126186E-9</v>
      </c>
      <c r="DE12" s="157">
        <f t="shared" si="43"/>
        <v>1.360560239436621E-10</v>
      </c>
      <c r="DF12" s="147">
        <f t="shared" si="44"/>
        <v>61.15319212495595</v>
      </c>
      <c r="DG12" s="147">
        <f t="shared" si="45"/>
        <v>4.2329303677753929</v>
      </c>
      <c r="DH12" s="159">
        <f t="shared" si="46"/>
        <v>6.115319212495595E-3</v>
      </c>
      <c r="DI12" s="167">
        <f t="shared" si="47"/>
        <v>4.2329303677753928E-4</v>
      </c>
      <c r="DJ12" s="157">
        <f t="shared" si="48"/>
        <v>7.5151905698803531E-9</v>
      </c>
      <c r="DK12" s="157">
        <f t="shared" si="49"/>
        <v>2.4058976314965671E-10</v>
      </c>
      <c r="DL12" s="147">
        <f t="shared" si="50"/>
        <v>211.45718355076838</v>
      </c>
      <c r="DM12" s="133">
        <f t="shared" si="51"/>
        <v>6.8516142470846324</v>
      </c>
      <c r="DN12" s="159">
        <f t="shared" si="52"/>
        <v>2.1145718355076837E-2</v>
      </c>
      <c r="DO12" s="167">
        <f t="shared" si="53"/>
        <v>6.8516142470846327E-4</v>
      </c>
      <c r="DP12" s="157">
        <f t="shared" si="54"/>
        <v>6.9200896391512265E-7</v>
      </c>
      <c r="DQ12" s="157">
        <f t="shared" si="55"/>
        <v>5.239319917369321E-8</v>
      </c>
      <c r="DR12" s="143">
        <f t="shared" si="56"/>
        <v>22012.475614061997</v>
      </c>
      <c r="DS12" s="143">
        <f t="shared" si="57"/>
        <v>1670.2344650140913</v>
      </c>
      <c r="DT12" s="147">
        <f t="shared" si="58"/>
        <v>2.2012475614061997</v>
      </c>
      <c r="DU12" s="147">
        <f t="shared" si="59"/>
        <v>0.16702344650140913</v>
      </c>
      <c r="DV12" s="133">
        <f t="shared" si="60"/>
        <v>0.26223569353132109</v>
      </c>
      <c r="DW12" s="133">
        <f t="shared" si="61"/>
        <v>1.9129017918427898E-2</v>
      </c>
      <c r="DX12" s="133">
        <f t="shared" si="62"/>
        <v>2.8478694841795982E-3</v>
      </c>
      <c r="DY12" s="133">
        <f t="shared" si="63"/>
        <v>5.9288769950268548E-3</v>
      </c>
      <c r="DZ12" s="133">
        <f t="shared" si="64"/>
        <v>0.28919893426214005</v>
      </c>
      <c r="EA12" s="133">
        <f t="shared" si="65"/>
        <v>2.1067790670138118E-2</v>
      </c>
      <c r="EB12" s="133">
        <f t="shared" si="66"/>
        <v>2.7781151560204386E-3</v>
      </c>
      <c r="EC12" s="133">
        <f t="shared" si="67"/>
        <v>5.9495736299688337E-3</v>
      </c>
      <c r="ED12" s="157">
        <f t="shared" si="68"/>
        <v>5.8753428359468464E-6</v>
      </c>
      <c r="EE12" s="157">
        <f t="shared" si="69"/>
        <v>1.8907046650269328E-7</v>
      </c>
      <c r="EF12" s="147">
        <f t="shared" si="70"/>
        <v>-73.087185117361543</v>
      </c>
      <c r="EG12" s="147">
        <f t="shared" si="71"/>
        <v>-29.558056508769049</v>
      </c>
      <c r="EH12" s="157">
        <f t="shared" si="72"/>
        <v>2.24048174252263E-5</v>
      </c>
      <c r="EI12" s="157">
        <f t="shared" si="73"/>
        <v>1.5485095852600497E-6</v>
      </c>
      <c r="EJ12" s="143" t="str">
        <f t="shared" si="74"/>
        <v/>
      </c>
      <c r="EK12" s="143" t="str">
        <f t="shared" si="75"/>
        <v/>
      </c>
      <c r="EL12" s="143" t="str">
        <f t="shared" si="76"/>
        <v/>
      </c>
      <c r="EM12" s="133" t="str">
        <f t="shared" si="77"/>
        <v/>
      </c>
      <c r="EN12" s="133" t="str">
        <f t="shared" si="78"/>
        <v/>
      </c>
      <c r="EO12" s="133" t="str">
        <f t="shared" si="79"/>
        <v/>
      </c>
      <c r="EP12" s="501">
        <f t="shared" si="259"/>
        <v>1.1900472521649348</v>
      </c>
      <c r="EQ12" s="143" t="str">
        <f t="shared" si="277"/>
        <v/>
      </c>
      <c r="ER12" s="143" t="str">
        <f t="shared" si="277"/>
        <v/>
      </c>
      <c r="ES12" s="147">
        <f t="shared" si="81"/>
        <v>0.63323825053380933</v>
      </c>
      <c r="ET12" s="147">
        <f t="shared" si="82"/>
        <v>3.9539245185245264E-2</v>
      </c>
      <c r="EU12" s="143">
        <f t="shared" si="83"/>
        <v>249.21839875984131</v>
      </c>
      <c r="EV12" s="143">
        <f t="shared" si="84"/>
        <v>15.56113732064181</v>
      </c>
      <c r="EW12" s="157">
        <f t="shared" si="85"/>
        <v>2.5408968747288509E-3</v>
      </c>
      <c r="EX12" s="157">
        <f t="shared" si="86"/>
        <v>1.7376749869327514E-4</v>
      </c>
      <c r="EY12" s="157">
        <f t="shared" si="87"/>
        <v>4.0125448400928354E-3</v>
      </c>
      <c r="EZ12" s="157">
        <f t="shared" si="88"/>
        <v>2.5054234186813496E-4</v>
      </c>
      <c r="FA12" s="66">
        <v>5.88748</v>
      </c>
      <c r="FB12" s="66">
        <v>3.0537999999999999E-2</v>
      </c>
      <c r="FC12" s="66">
        <v>1.687063</v>
      </c>
      <c r="FD12" s="66">
        <v>1.1708E-2</v>
      </c>
      <c r="FE12" s="66">
        <v>7.1981000000000003E-2</v>
      </c>
      <c r="FF12" s="66">
        <v>1.7340000000000001E-3</v>
      </c>
      <c r="FG12" s="473"/>
      <c r="FH12" s="473"/>
      <c r="FI12" s="66">
        <v>4.3674999999999999E-2</v>
      </c>
      <c r="FJ12" s="66">
        <v>4.3280000000000002E-3</v>
      </c>
      <c r="FK12" s="66">
        <v>1.6249E-2</v>
      </c>
      <c r="FL12" s="66">
        <v>1.3849999999999999E-3</v>
      </c>
      <c r="FM12" s="66">
        <v>8.5179999999999995E-3</v>
      </c>
      <c r="FN12" s="66">
        <v>4.9799999999999996E-4</v>
      </c>
      <c r="FO12" s="471"/>
      <c r="FP12" s="471"/>
      <c r="FQ12" s="159">
        <f t="shared" si="89"/>
        <v>5.8438049999999997</v>
      </c>
      <c r="FR12" s="159">
        <f t="shared" si="90"/>
        <v>3.0843168254898846E-2</v>
      </c>
      <c r="FS12" s="159">
        <f t="shared" si="91"/>
        <v>1.670814</v>
      </c>
      <c r="FT12" s="159">
        <f t="shared" si="92"/>
        <v>1.6557612388264198E-2</v>
      </c>
      <c r="FU12" s="159">
        <f t="shared" si="93"/>
        <v>6.3463000000000006E-2</v>
      </c>
      <c r="FV12" s="159">
        <f t="shared" si="94"/>
        <v>1.8040953411613257E-3</v>
      </c>
      <c r="FW12" s="159">
        <f t="shared" si="95"/>
        <v>0</v>
      </c>
      <c r="FX12" s="159">
        <f t="shared" si="96"/>
        <v>0</v>
      </c>
      <c r="FY12" s="159">
        <f t="shared" si="97"/>
        <v>6.278545628049946E-2</v>
      </c>
      <c r="FZ12" s="159">
        <f t="shared" si="98"/>
        <v>8.4102062556268703E-3</v>
      </c>
      <c r="GA12" s="159">
        <f t="shared" si="99"/>
        <v>5.8413186959312915</v>
      </c>
      <c r="GB12" s="159">
        <f t="shared" si="100"/>
        <v>3.0844966305989929E-2</v>
      </c>
      <c r="GC12" s="159">
        <f t="shared" si="101"/>
        <v>1.658118780740083</v>
      </c>
      <c r="GD12" s="159">
        <f t="shared" si="102"/>
        <v>1.664471017747781E-2</v>
      </c>
      <c r="GE12" s="159">
        <f t="shared" si="103"/>
        <v>-1.9162121256808436E-2</v>
      </c>
      <c r="GF12" s="159">
        <f t="shared" si="104"/>
        <v>2.5667949492173209E-3</v>
      </c>
      <c r="GG12" s="3">
        <v>1.7782159136499011E-12</v>
      </c>
      <c r="GH12" s="3">
        <v>7.5535622364420377E-15</v>
      </c>
      <c r="GI12" s="6">
        <v>1</v>
      </c>
      <c r="GJ12" s="6">
        <v>5.0000000000000001E-3</v>
      </c>
      <c r="GK12" s="157">
        <f t="shared" si="105"/>
        <v>1.038712586180571E-11</v>
      </c>
      <c r="GL12" s="157">
        <f t="shared" si="106"/>
        <v>8.7478807798531548E-14</v>
      </c>
      <c r="GM12" s="157">
        <f t="shared" si="107"/>
        <v>2.948493202633787E-12</v>
      </c>
      <c r="GN12" s="157">
        <f t="shared" si="108"/>
        <v>3.535878256017517E-14</v>
      </c>
      <c r="GO12" s="157">
        <f t="shared" si="109"/>
        <v>1.1164609750375427E-13</v>
      </c>
      <c r="GP12" s="157">
        <f t="shared" si="110"/>
        <v>1.4973090075541744E-14</v>
      </c>
      <c r="GQ12" s="157">
        <f t="shared" si="111"/>
        <v>-3.4074388958145803E-14</v>
      </c>
      <c r="GR12" s="157">
        <f t="shared" si="112"/>
        <v>-4.5697870910553407E-15</v>
      </c>
      <c r="GS12" s="157">
        <f t="shared" si="113"/>
        <v>4.6342212330893175E-16</v>
      </c>
      <c r="GT12" s="157">
        <f t="shared" si="114"/>
        <v>3.9028712552461122E-18</v>
      </c>
      <c r="GU12" s="157">
        <f t="shared" si="115"/>
        <v>1.3154716701285508E-16</v>
      </c>
      <c r="GV12" s="157">
        <f t="shared" si="116"/>
        <v>1.5775337979751029E-18</v>
      </c>
      <c r="GW12" s="157">
        <f t="shared" si="117"/>
        <v>4.9810960464622125E-18</v>
      </c>
      <c r="GX12" s="157">
        <f t="shared" si="118"/>
        <v>6.6802513878098689E-19</v>
      </c>
      <c r="GY12" s="147">
        <f t="shared" si="119"/>
        <v>3.5228590157600665</v>
      </c>
      <c r="GZ12" s="147">
        <f t="shared" si="120"/>
        <v>2.9812799252938608E-2</v>
      </c>
      <c r="HA12" s="4">
        <v>26.169770272470501</v>
      </c>
      <c r="HB12" s="4">
        <v>0.31897682079735301</v>
      </c>
      <c r="HC12" s="228">
        <f t="shared" si="121"/>
        <v>533.15684326233679</v>
      </c>
      <c r="HD12" s="228">
        <f t="shared" si="122"/>
        <v>8.0150679586314197</v>
      </c>
      <c r="HE12" s="239">
        <f t="shared" si="123"/>
        <v>6.2541670906845506E-12</v>
      </c>
      <c r="HF12" s="229">
        <f t="shared" si="124"/>
        <v>2.2119610012386936E-13</v>
      </c>
      <c r="HG12" s="362">
        <f t="shared" si="125"/>
        <v>396.61346604290338</v>
      </c>
      <c r="HH12" s="362">
        <f t="shared" si="126"/>
        <v>14.166825157497545</v>
      </c>
      <c r="HI12" s="4">
        <v>7.5091582159801398</v>
      </c>
      <c r="HJ12" s="4">
        <v>0.114829942558394</v>
      </c>
      <c r="HK12" s="228">
        <f t="shared" si="127"/>
        <v>538.94146140572559</v>
      </c>
      <c r="HL12" s="228">
        <f t="shared" si="128"/>
        <v>10.563270466711053</v>
      </c>
      <c r="HM12" s="239">
        <f t="shared" si="129"/>
        <v>6.1870392650943727E-12</v>
      </c>
      <c r="HN12" s="229">
        <f t="shared" si="130"/>
        <v>2.188219369435381E-13</v>
      </c>
      <c r="HO12" s="362">
        <f t="shared" si="131"/>
        <v>392.35649637944505</v>
      </c>
      <c r="HP12" s="362">
        <f t="shared" si="132"/>
        <v>14.858061008775499</v>
      </c>
      <c r="HQ12" s="6">
        <v>1.11613116912226</v>
      </c>
      <c r="HR12" s="6">
        <v>3.5153924948669403E-2</v>
      </c>
      <c r="HS12" s="6">
        <f t="shared" si="133"/>
        <v>447.97053373944226</v>
      </c>
      <c r="HT12" s="6">
        <f t="shared" si="134"/>
        <v>42.845120426684346</v>
      </c>
      <c r="HU12" s="6">
        <v>1.11613116912226</v>
      </c>
      <c r="HV12" s="6">
        <v>3.5153924948669403E-2</v>
      </c>
      <c r="HW12" s="6">
        <f t="shared" si="135"/>
        <v>553.12932805003868</v>
      </c>
      <c r="HX12" s="6">
        <f t="shared" si="136"/>
        <v>53.516607981254836</v>
      </c>
      <c r="HY12" s="3">
        <v>0.35617599999999999</v>
      </c>
      <c r="HZ12" s="3">
        <v>3.9069999999999999E-3</v>
      </c>
      <c r="IA12" s="3">
        <v>9.2890000000000004E-3</v>
      </c>
      <c r="IB12" s="3">
        <v>5.8200000000000005E-4</v>
      </c>
      <c r="IC12" s="3">
        <v>1.06E-3</v>
      </c>
      <c r="ID12" s="3">
        <v>2.7599999999999999E-4</v>
      </c>
      <c r="IE12" s="3">
        <v>0.42403099999999999</v>
      </c>
      <c r="IF12" s="3">
        <v>6.9969999999999997E-3</v>
      </c>
      <c r="IG12" s="3">
        <v>9.6620000000000004E-3</v>
      </c>
      <c r="IH12" s="3">
        <v>4.6799999999999999E-4</v>
      </c>
      <c r="II12" s="3">
        <v>5.5630000000000002E-3</v>
      </c>
      <c r="IJ12" s="3">
        <v>4.8099999999999998E-4</v>
      </c>
      <c r="IK12" s="3">
        <v>7.0439999999999999E-3</v>
      </c>
      <c r="IL12" s="3">
        <v>7.94E-4</v>
      </c>
      <c r="IM12" s="3">
        <v>3.6909999999999998E-3</v>
      </c>
      <c r="IN12" s="3">
        <v>3.1399999999999999E-4</v>
      </c>
      <c r="IO12" s="3">
        <v>1.3129999999999999E-3</v>
      </c>
      <c r="IP12" s="3">
        <v>1.46E-4</v>
      </c>
      <c r="IQ12" s="3">
        <v>3.7100000000000002E-4</v>
      </c>
      <c r="IR12" s="3">
        <v>6.8999999999999997E-5</v>
      </c>
      <c r="IS12" s="3">
        <v>1.6130000000000001E-3</v>
      </c>
      <c r="IT12" s="3">
        <v>2.8800000000000001E-4</v>
      </c>
      <c r="IU12" s="3">
        <v>1.294E-3</v>
      </c>
      <c r="IV12" s="3">
        <v>3.1399999999999999E-4</v>
      </c>
      <c r="IW12" s="3">
        <v>2.0799999999999999E-4</v>
      </c>
      <c r="IX12" s="3">
        <v>1.9000000000000001E-4</v>
      </c>
      <c r="IY12" s="3">
        <v>2.42E-4</v>
      </c>
      <c r="IZ12" s="3">
        <v>1.8000000000000001E-4</v>
      </c>
      <c r="JA12" s="157">
        <f t="shared" si="137"/>
        <v>0.35248499999999999</v>
      </c>
      <c r="JB12" s="157">
        <f t="shared" si="138"/>
        <v>3.9195975558722861E-3</v>
      </c>
      <c r="JC12" s="157">
        <f t="shared" si="139"/>
        <v>7.9760000000000005E-3</v>
      </c>
      <c r="JD12" s="157">
        <f t="shared" si="140"/>
        <v>6.0003333240745891E-4</v>
      </c>
      <c r="JE12" s="157">
        <f t="shared" si="141"/>
        <v>6.8899999999999994E-4</v>
      </c>
      <c r="JF12" s="157">
        <f t="shared" si="142"/>
        <v>2.8449428816761856E-4</v>
      </c>
      <c r="JG12" s="157">
        <f t="shared" si="143"/>
        <v>0.42241800000000002</v>
      </c>
      <c r="JH12" s="157">
        <f t="shared" si="144"/>
        <v>7.0029246033353806E-3</v>
      </c>
      <c r="JI12" s="157">
        <f t="shared" si="145"/>
        <v>8.3680000000000004E-3</v>
      </c>
      <c r="JJ12" s="157">
        <f t="shared" si="146"/>
        <v>5.6357785620089794E-4</v>
      </c>
      <c r="JK12" s="157">
        <f t="shared" si="147"/>
        <v>5.3550000000000004E-3</v>
      </c>
      <c r="JL12" s="157">
        <f t="shared" si="148"/>
        <v>5.1716631754204561E-4</v>
      </c>
      <c r="JM12" s="157">
        <f t="shared" si="149"/>
        <v>6.8019999999999999E-3</v>
      </c>
      <c r="JN12" s="157">
        <f t="shared" si="150"/>
        <v>8.1414740680051296E-4</v>
      </c>
      <c r="JO12" s="157">
        <f t="shared" si="151"/>
        <v>0.35216006869206501</v>
      </c>
      <c r="JP12" s="157">
        <f t="shared" si="152"/>
        <v>3.9218931396391172E-3</v>
      </c>
      <c r="JQ12" s="157">
        <f t="shared" si="153"/>
        <v>3.5025059446580006E-3</v>
      </c>
      <c r="JR12" s="157">
        <f t="shared" si="154"/>
        <v>1.9421606211339705E-3</v>
      </c>
      <c r="JS12" s="157">
        <f t="shared" si="155"/>
        <v>0.41882737252317404</v>
      </c>
      <c r="JT12" s="157">
        <f t="shared" si="156"/>
        <v>7.1581465953588549E-3</v>
      </c>
      <c r="JU12" s="157">
        <f t="shared" si="157"/>
        <v>3.8171413474650008E-3</v>
      </c>
      <c r="JV12" s="157">
        <f t="shared" si="158"/>
        <v>1.9617850981221902E-3</v>
      </c>
      <c r="JW12" s="157">
        <f t="shared" si="159"/>
        <v>3.5815303830420003E-3</v>
      </c>
      <c r="JX12" s="157">
        <f t="shared" si="160"/>
        <v>8.9649163054033774E-4</v>
      </c>
      <c r="JY12" s="157">
        <f t="shared" si="161"/>
        <v>5.3029471598969998E-3</v>
      </c>
      <c r="JZ12" s="157">
        <f t="shared" si="162"/>
        <v>1.022723231735463E-3</v>
      </c>
      <c r="KA12" s="3">
        <v>1.7696448643015688E-12</v>
      </c>
      <c r="KB12" s="3">
        <v>3.8892524257744769E-14</v>
      </c>
      <c r="KC12" s="5">
        <v>1</v>
      </c>
      <c r="KD12" s="5">
        <v>0</v>
      </c>
      <c r="KE12" s="157">
        <f t="shared" si="163"/>
        <v>6.231982569730005E-13</v>
      </c>
      <c r="KF12" s="157">
        <f t="shared" si="164"/>
        <v>1.5354470974120552E-14</v>
      </c>
      <c r="KG12" s="157">
        <f t="shared" si="165"/>
        <v>2.7804020412500052E-17</v>
      </c>
      <c r="KH12" s="157">
        <f t="shared" si="166"/>
        <v>6.8504046622256867E-19</v>
      </c>
      <c r="KI12" s="6">
        <v>1.2430056234832578</v>
      </c>
      <c r="KJ12" s="6">
        <v>0.11113867994607306</v>
      </c>
      <c r="KK12" s="157">
        <f t="shared" si="167"/>
        <v>3.3268666424909992E-13</v>
      </c>
      <c r="KL12" s="157">
        <f t="shared" si="260"/>
        <v>4.2967069866193384E-14</v>
      </c>
      <c r="KM12" s="494">
        <f t="shared" si="168"/>
        <v>33.507487923174523</v>
      </c>
      <c r="KN12" s="494">
        <f t="shared" si="169"/>
        <v>4.3325512046307635</v>
      </c>
      <c r="KO12" s="4">
        <v>20.162258156415799</v>
      </c>
      <c r="KP12" s="4">
        <v>0.66285498057307002</v>
      </c>
      <c r="KQ12" s="229">
        <f t="shared" si="170"/>
        <v>6846.418029492349</v>
      </c>
      <c r="KR12" s="229">
        <f t="shared" si="171"/>
        <v>281.81788671269857</v>
      </c>
      <c r="KS12" s="364">
        <f t="shared" si="172"/>
        <v>30.885812499305946</v>
      </c>
      <c r="KT12" s="364">
        <f t="shared" si="173"/>
        <v>1.6179747286497212</v>
      </c>
      <c r="KU12" s="147">
        <f t="shared" si="174"/>
        <v>0.41752525914956407</v>
      </c>
      <c r="KV12" s="147">
        <f t="shared" si="175"/>
        <v>7.165759257935193E-3</v>
      </c>
      <c r="KW12" s="157">
        <f t="shared" si="176"/>
        <v>7.3887143057020766E-13</v>
      </c>
      <c r="KX12" s="157">
        <f t="shared" si="177"/>
        <v>2.060331111969458E-14</v>
      </c>
      <c r="KY12" s="157">
        <f t="shared" si="178"/>
        <v>3.2964784653878137E-17</v>
      </c>
      <c r="KZ12" s="157">
        <f t="shared" si="179"/>
        <v>9.1921772349535316E-19</v>
      </c>
      <c r="LA12" s="6">
        <v>1.2485542932379501</v>
      </c>
      <c r="LB12" s="6">
        <v>5.9627651953476503E-2</v>
      </c>
      <c r="LC12" s="157">
        <f t="shared" si="180"/>
        <v>2.7692929864917547E-10</v>
      </c>
      <c r="LD12" s="157">
        <f t="shared" si="181"/>
        <v>3.1628568773466372E-11</v>
      </c>
      <c r="LE12" s="159">
        <f t="shared" si="182"/>
        <v>30.18243634571057</v>
      </c>
      <c r="LF12" s="159">
        <f t="shared" si="183"/>
        <v>3.4521876698049518</v>
      </c>
      <c r="LG12" s="471"/>
      <c r="LH12" s="471"/>
      <c r="LM12" s="157">
        <f t="shared" si="184"/>
        <v>6.338036848690306E-15</v>
      </c>
      <c r="LN12" s="157">
        <f t="shared" si="185"/>
        <v>1.5925752204967023E-15</v>
      </c>
      <c r="LO12" s="157">
        <f t="shared" si="186"/>
        <v>2.8277182091636927E-19</v>
      </c>
      <c r="LP12" s="157">
        <f t="shared" si="187"/>
        <v>7.1052820581249544E-20</v>
      </c>
      <c r="LQ12" s="157">
        <f t="shared" si="188"/>
        <v>7.1979609886252916E-14</v>
      </c>
      <c r="LR12" s="157">
        <f t="shared" si="189"/>
        <v>1.9203121112622143E-14</v>
      </c>
      <c r="LS12" s="147">
        <f t="shared" si="190"/>
        <v>13.597800066230162</v>
      </c>
      <c r="LT12" s="147">
        <f t="shared" si="191"/>
        <v>3.6283338719816349</v>
      </c>
      <c r="LW12" s="214" t="str">
        <f t="shared" si="192"/>
        <v>43z4</v>
      </c>
      <c r="LX12" s="214" t="str">
        <f t="shared" si="193"/>
        <v>MN2022a</v>
      </c>
      <c r="LY12" s="212">
        <f t="shared" si="194"/>
        <v>61.15319212495595</v>
      </c>
      <c r="LZ12" s="212">
        <f t="shared" si="195"/>
        <v>4.2329303677753929</v>
      </c>
      <c r="MA12" s="212">
        <f t="shared" si="196"/>
        <v>211.45718355076838</v>
      </c>
      <c r="MB12" s="212">
        <f t="shared" si="197"/>
        <v>6.8516142470846324</v>
      </c>
      <c r="MC12" s="212">
        <f t="shared" si="198"/>
        <v>22012.475614061997</v>
      </c>
      <c r="MD12" s="212">
        <f t="shared" si="199"/>
        <v>1670.2344650140913</v>
      </c>
      <c r="ME12" s="212">
        <f t="shared" si="200"/>
        <v>447.97053373944226</v>
      </c>
      <c r="MF12" s="212">
        <f t="shared" si="201"/>
        <v>42.845120426684346</v>
      </c>
      <c r="MG12" s="212">
        <f t="shared" si="202"/>
        <v>553.12932805003868</v>
      </c>
      <c r="MH12" s="212">
        <f t="shared" si="203"/>
        <v>53.516607981254836</v>
      </c>
      <c r="MI12" s="212">
        <f t="shared" si="204"/>
        <v>396.61346604290338</v>
      </c>
      <c r="MJ12" s="212">
        <f t="shared" si="205"/>
        <v>14.166825157497545</v>
      </c>
      <c r="MK12" s="212">
        <f t="shared" si="206"/>
        <v>392.35649637944505</v>
      </c>
      <c r="ML12" s="212">
        <f t="shared" si="207"/>
        <v>14.858061008775499</v>
      </c>
      <c r="MM12" s="212">
        <f t="shared" si="261"/>
        <v>33.507487923174523</v>
      </c>
      <c r="MN12" s="212">
        <f t="shared" si="208"/>
        <v>4.3325512046307635</v>
      </c>
      <c r="MO12" s="212">
        <f t="shared" si="209"/>
        <v>30.885812499305946</v>
      </c>
      <c r="MP12" s="212">
        <f t="shared" si="210"/>
        <v>1.6179747286497212</v>
      </c>
      <c r="MQ12" s="211"/>
      <c r="MR12" s="211"/>
      <c r="MS12" s="211"/>
      <c r="MT12" s="211"/>
      <c r="MU12" s="506">
        <f t="shared" si="273"/>
        <v>0.28919893426214005</v>
      </c>
      <c r="MV12" s="506">
        <f t="shared" si="274"/>
        <v>2.1067790670138118E-2</v>
      </c>
      <c r="MW12" s="109">
        <f t="shared" si="211"/>
        <v>1.875620678300017E-3</v>
      </c>
      <c r="MX12" s="109">
        <f t="shared" si="212"/>
        <v>9.0454011989675432E-5</v>
      </c>
      <c r="MY12" s="109">
        <f t="shared" si="213"/>
        <v>1.8554890866842783E-3</v>
      </c>
      <c r="MZ12" s="109">
        <f t="shared" si="214"/>
        <v>9.2475747730823979E-5</v>
      </c>
      <c r="NA12" s="513">
        <f t="shared" si="215"/>
        <v>1.5845991779763667E-4</v>
      </c>
      <c r="NB12" s="513">
        <f t="shared" si="216"/>
        <v>2.1122551227122228E-5</v>
      </c>
      <c r="NC12" s="506">
        <f t="shared" si="275"/>
        <v>0.26223569353132109</v>
      </c>
      <c r="ND12" s="506">
        <f t="shared" si="276"/>
        <v>1.9129017918427898E-2</v>
      </c>
      <c r="NE12" s="109">
        <f t="shared" si="217"/>
        <v>8.3220339291863372E-4</v>
      </c>
      <c r="NF12" s="109">
        <f t="shared" si="218"/>
        <v>3.9700235942023896E-5</v>
      </c>
      <c r="NG12" s="513">
        <f t="shared" si="219"/>
        <v>8.2327110770696985E-4</v>
      </c>
      <c r="NH12" s="513">
        <f t="shared" si="220"/>
        <v>3.9274121564911305E-5</v>
      </c>
      <c r="NI12" s="109">
        <f t="shared" si="221"/>
        <v>4.4268570411110127E-5</v>
      </c>
      <c r="NJ12" s="109">
        <f t="shared" si="221"/>
        <v>5.9009569060503892E-6</v>
      </c>
      <c r="NK12" s="621">
        <f t="shared" si="222"/>
        <v>3.1516733268775622E-9</v>
      </c>
      <c r="NL12" s="621">
        <f t="shared" si="223"/>
        <v>1.9747064739297209E-10</v>
      </c>
      <c r="NM12" s="621">
        <f t="shared" si="224"/>
        <v>1.9957601037660183E-9</v>
      </c>
      <c r="NN12" s="621">
        <f t="shared" si="225"/>
        <v>1.3688033827570731E-10</v>
      </c>
      <c r="NO12" s="621">
        <f t="shared" si="226"/>
        <v>7.8545497993852806E-7</v>
      </c>
      <c r="NP12" s="621">
        <f t="shared" si="227"/>
        <v>4.6924329726354151E-9</v>
      </c>
      <c r="NQ12" s="621">
        <f t="shared" si="228"/>
        <v>-1.4586448815379165E-7</v>
      </c>
      <c r="NR12" s="621">
        <f t="shared" si="229"/>
        <v>-5.814777476037746E-8</v>
      </c>
      <c r="NS12" s="621">
        <f t="shared" si="230"/>
        <v>7.6217934154747859E-7</v>
      </c>
      <c r="NT12" s="621">
        <f t="shared" si="231"/>
        <v>3.0219640021993122E-9</v>
      </c>
      <c r="NU12" s="621">
        <f t="shared" si="232"/>
        <v>8.8608013891868464E-11</v>
      </c>
      <c r="NV12" s="621">
        <f t="shared" si="233"/>
        <v>1.1891660719315743E-11</v>
      </c>
      <c r="NW12" s="621">
        <f t="shared" si="234"/>
        <v>9.6768675516173065E-13</v>
      </c>
      <c r="NX12" s="621">
        <f t="shared" si="235"/>
        <v>4.0016139664336932E-13</v>
      </c>
      <c r="NY12" s="621">
        <f t="shared" si="236"/>
        <v>1.1752689067044069E-11</v>
      </c>
      <c r="NZ12" s="621">
        <f t="shared" si="237"/>
        <v>8.3468298276789565E-13</v>
      </c>
      <c r="OA12" s="622">
        <f t="shared" si="262"/>
        <v>249.21839875984131</v>
      </c>
      <c r="OB12" s="622">
        <f t="shared" si="238"/>
        <v>15.56113732064181</v>
      </c>
      <c r="OC12" s="622">
        <f t="shared" si="239"/>
        <v>241.83323031850759</v>
      </c>
      <c r="OD12" s="622">
        <f t="shared" si="263"/>
        <v>15.182564924677761</v>
      </c>
      <c r="OE12" s="621">
        <f t="shared" si="264"/>
        <v>2.811459332926948E-2</v>
      </c>
      <c r="OF12" s="621">
        <f t="shared" si="265"/>
        <v>4.1593257998108158E-3</v>
      </c>
      <c r="OG12" s="621">
        <f t="shared" si="266"/>
        <v>3.0703904078803782E-4</v>
      </c>
      <c r="OH12" s="621">
        <f t="shared" si="267"/>
        <v>1.2841707078204922E-4</v>
      </c>
      <c r="OI12" s="621">
        <f t="shared" si="268"/>
        <v>3.7290314852166922E-3</v>
      </c>
      <c r="OJ12" s="621">
        <f t="shared" si="269"/>
        <v>3.5317050017130204E-4</v>
      </c>
      <c r="OK12" s="621">
        <f t="shared" si="240"/>
        <v>2.5408968747288509E-3</v>
      </c>
      <c r="OL12" s="621">
        <f t="shared" si="241"/>
        <v>1.7376749869327514E-4</v>
      </c>
      <c r="OM12" s="621">
        <f t="shared" si="242"/>
        <v>4.0125448400928354E-3</v>
      </c>
      <c r="ON12" s="621">
        <f t="shared" si="243"/>
        <v>2.5054234186813496E-4</v>
      </c>
      <c r="OO12" s="621">
        <f t="shared" si="244"/>
        <v>0.63323825053380933</v>
      </c>
      <c r="OP12" s="621">
        <f t="shared" si="245"/>
        <v>3.9539245185245264E-2</v>
      </c>
      <c r="OQ12" s="621">
        <f t="shared" si="246"/>
        <v>4.6916719318723325E-3</v>
      </c>
      <c r="OR12" s="621">
        <f t="shared" si="247"/>
        <v>8.9351582067168345E-6</v>
      </c>
    </row>
    <row r="13" spans="2:408" s="657" customFormat="1">
      <c r="B13" s="630" t="s">
        <v>959</v>
      </c>
      <c r="C13" s="631">
        <v>1.1000000000000001E-3</v>
      </c>
      <c r="D13" s="632">
        <f>C13*0.5%</f>
        <v>5.5000000000000007E-6</v>
      </c>
      <c r="E13" s="633">
        <v>45111</v>
      </c>
      <c r="F13" s="631" t="s">
        <v>210</v>
      </c>
      <c r="G13" s="631" t="s">
        <v>893</v>
      </c>
      <c r="H13" s="631">
        <v>2</v>
      </c>
      <c r="I13" s="631"/>
      <c r="J13" s="634">
        <v>44644</v>
      </c>
      <c r="K13" s="633" t="s">
        <v>823</v>
      </c>
      <c r="L13" s="631" t="s">
        <v>949</v>
      </c>
      <c r="M13" s="631" t="s">
        <v>951</v>
      </c>
      <c r="N13" s="631">
        <v>180</v>
      </c>
      <c r="O13" s="635">
        <v>795.23339899999996</v>
      </c>
      <c r="P13" s="635">
        <v>1.181996</v>
      </c>
      <c r="Q13" s="635">
        <v>1.921354</v>
      </c>
      <c r="R13" s="635">
        <v>6.7918000000000006E-2</v>
      </c>
      <c r="S13" s="635">
        <v>72.780724000000006</v>
      </c>
      <c r="T13" s="635">
        <v>0.22806100000000001</v>
      </c>
      <c r="U13" s="635">
        <v>0.12762499999999999</v>
      </c>
      <c r="V13" s="635">
        <v>2.0719999999999999E-2</v>
      </c>
      <c r="W13" s="635">
        <v>3.5124379999999999</v>
      </c>
      <c r="X13" s="635">
        <v>7.5785000000000005E-2</v>
      </c>
      <c r="Y13" s="635">
        <v>96.848258999999999</v>
      </c>
      <c r="Z13" s="635">
        <v>0.65095099999999995</v>
      </c>
      <c r="AA13" s="635">
        <v>0.198543</v>
      </c>
      <c r="AB13" s="635">
        <v>3.6814E-2</v>
      </c>
      <c r="AC13" s="635">
        <v>0.24674699999999999</v>
      </c>
      <c r="AD13" s="635">
        <v>5.5192999999999999E-2</v>
      </c>
      <c r="AE13" s="635">
        <v>9.1962000000000002E-2</v>
      </c>
      <c r="AF13" s="635">
        <v>2.1925E-2</v>
      </c>
      <c r="AG13" s="635">
        <v>0.49363899999999999</v>
      </c>
      <c r="AH13" s="635">
        <v>8.3148E-2</v>
      </c>
      <c r="AI13" s="637">
        <f t="shared" si="1"/>
        <v>698.38513999999998</v>
      </c>
      <c r="AJ13" s="637">
        <f t="shared" si="2"/>
        <v>1.3493893983639416</v>
      </c>
      <c r="AK13" s="637">
        <f t="shared" si="3"/>
        <v>1.7228110000000001</v>
      </c>
      <c r="AL13" s="637">
        <f t="shared" si="4"/>
        <v>7.7253642762008329E-2</v>
      </c>
      <c r="AM13" s="637">
        <f t="shared" si="5"/>
        <v>72.533977000000007</v>
      </c>
      <c r="AN13" s="637">
        <f t="shared" si="6"/>
        <v>0.23464459714640779</v>
      </c>
      <c r="AO13" s="637">
        <f t="shared" si="7"/>
        <v>3.5662999999999986E-2</v>
      </c>
      <c r="AP13" s="637">
        <f t="shared" si="8"/>
        <v>3.0166604465865891E-2</v>
      </c>
      <c r="AQ13" s="637">
        <f t="shared" si="9"/>
        <v>3.018799</v>
      </c>
      <c r="AR13" s="637">
        <f t="shared" si="10"/>
        <v>0.11250313830733791</v>
      </c>
      <c r="AS13" s="638">
        <v>304.12046242532102</v>
      </c>
      <c r="AT13" s="638">
        <v>0.91447361557367601</v>
      </c>
      <c r="AU13" s="639">
        <f t="shared" si="11"/>
        <v>1.7353756594682146</v>
      </c>
      <c r="AV13" s="639">
        <f t="shared" si="12"/>
        <v>7.7255707640032839E-2</v>
      </c>
      <c r="AW13" s="639">
        <f t="shared" si="13"/>
        <v>73.591974332127919</v>
      </c>
      <c r="AX13" s="639">
        <f t="shared" si="14"/>
        <v>0.23465688502946361</v>
      </c>
      <c r="AY13" s="639">
        <f t="shared" si="15"/>
        <v>3.6443283125569083E-2</v>
      </c>
      <c r="AZ13" s="639">
        <f t="shared" si="16"/>
        <v>3.0168030716890656E-2</v>
      </c>
      <c r="BA13" s="639">
        <f t="shared" si="17"/>
        <v>3.1068647981356907</v>
      </c>
      <c r="BB13" s="639">
        <f t="shared" si="18"/>
        <v>0.11250615211080818</v>
      </c>
      <c r="BC13" s="635"/>
      <c r="BD13" s="640"/>
      <c r="BE13" s="799">
        <v>3.08</v>
      </c>
      <c r="BF13" s="637">
        <f t="shared" si="249"/>
        <v>0.15400000000000003</v>
      </c>
      <c r="BG13" s="637">
        <f t="shared" si="250"/>
        <v>2.2012475614061997</v>
      </c>
      <c r="BH13" s="637">
        <f t="shared" si="251"/>
        <v>0.11006237807031</v>
      </c>
      <c r="BI13" s="641">
        <f t="shared" si="19"/>
        <v>6.0413480976717058E-7</v>
      </c>
      <c r="BJ13" s="641">
        <f t="shared" si="252"/>
        <v>3.020674048835853E-8</v>
      </c>
      <c r="BK13" s="639">
        <f t="shared" si="20"/>
        <v>247.77910895759769</v>
      </c>
      <c r="BL13" s="639">
        <f t="shared" si="253"/>
        <v>12.388955447879885</v>
      </c>
      <c r="BM13" s="639"/>
      <c r="BN13" s="639"/>
      <c r="BO13" s="642">
        <f t="shared" si="254"/>
        <v>698.15916669872513</v>
      </c>
      <c r="BP13" s="639">
        <f t="shared" si="255"/>
        <v>1.3494268969664902</v>
      </c>
      <c r="BQ13" s="642">
        <f t="shared" si="271"/>
        <v>1.7353756594682146</v>
      </c>
      <c r="BR13" s="639">
        <f t="shared" si="272"/>
        <v>7.7255707640032839E-2</v>
      </c>
      <c r="BS13" s="642">
        <f t="shared" si="256"/>
        <v>73.591974332127919</v>
      </c>
      <c r="BT13" s="639">
        <f t="shared" si="257"/>
        <v>0.23465688502946361</v>
      </c>
      <c r="BU13" s="637">
        <f t="shared" si="258"/>
        <v>3.0204322228580907</v>
      </c>
      <c r="BV13" s="637">
        <f t="shared" si="21"/>
        <v>0.11258912353310645</v>
      </c>
      <c r="BW13" s="631"/>
      <c r="BX13" s="637">
        <f t="shared" si="22"/>
        <v>2.9544173353853593</v>
      </c>
      <c r="BY13" s="637">
        <f t="shared" si="23"/>
        <v>0.11259139895379905</v>
      </c>
      <c r="BZ13" s="642">
        <f t="shared" si="24"/>
        <v>73.024131449744615</v>
      </c>
      <c r="CA13" s="637">
        <f t="shared" si="25"/>
        <v>2.3807210902572876E-2</v>
      </c>
      <c r="CB13" s="642">
        <f t="shared" si="26"/>
        <v>-174.87115590764859</v>
      </c>
      <c r="CC13" s="642">
        <f t="shared" si="27"/>
        <v>33.298112812176214</v>
      </c>
      <c r="CD13" s="643">
        <v>1.5903158759700325E-12</v>
      </c>
      <c r="CE13" s="643">
        <v>4.0102150310807229E-15</v>
      </c>
      <c r="CF13" s="641">
        <f t="shared" si="28"/>
        <v>4.6984567927044172E-12</v>
      </c>
      <c r="CG13" s="641">
        <f t="shared" si="29"/>
        <v>1.7944743798072511E-13</v>
      </c>
      <c r="CH13" s="641">
        <f t="shared" si="30"/>
        <v>3.9404705070897608E-10</v>
      </c>
      <c r="CI13" s="644">
        <f t="shared" si="31"/>
        <v>1.9727392904272239E-11</v>
      </c>
      <c r="CJ13" s="641">
        <f t="shared" si="32"/>
        <v>1.1613143557345141E-10</v>
      </c>
      <c r="CK13" s="645">
        <f t="shared" si="33"/>
        <v>2.9527981001879811E-13</v>
      </c>
      <c r="CL13" s="641">
        <f t="shared" si="34"/>
        <v>2.7597954620242664E-12</v>
      </c>
      <c r="CM13" s="641">
        <f t="shared" si="35"/>
        <v>1.2305791677838277E-13</v>
      </c>
      <c r="CN13" s="641">
        <f t="shared" si="36"/>
        <v>1.110293606754991E-9</v>
      </c>
      <c r="CO13" s="641">
        <f t="shared" si="37"/>
        <v>3.5276172499873288E-12</v>
      </c>
      <c r="CP13" s="641">
        <f t="shared" si="38"/>
        <v>5.1812096216390215E-15</v>
      </c>
      <c r="CQ13" s="641">
        <f t="shared" si="39"/>
        <v>1.3173923365310971E-17</v>
      </c>
      <c r="CR13" s="641">
        <f t="shared" si="40"/>
        <v>4.9535803030048458E-14</v>
      </c>
      <c r="CS13" s="641">
        <f t="shared" si="41"/>
        <v>1.5738481705131714E-16</v>
      </c>
      <c r="CT13" s="632">
        <v>4.6916719318723325E-3</v>
      </c>
      <c r="CU13" s="632">
        <v>8.9351582067168345E-6</v>
      </c>
      <c r="CV13" s="643">
        <v>1.1611559367069784E+19</v>
      </c>
      <c r="CW13" s="646">
        <v>1.040942599512031E+18</v>
      </c>
      <c r="CX13" s="643">
        <v>8.6527210079182822E+17</v>
      </c>
      <c r="CY13" s="643">
        <v>8.9278178143800032E+16</v>
      </c>
      <c r="CZ13" s="635">
        <v>0.49865169925804054</v>
      </c>
      <c r="DA13" s="635">
        <v>2.7936431740382541E-2</v>
      </c>
      <c r="DB13" s="638">
        <v>24.337069265073254</v>
      </c>
      <c r="DC13" s="638">
        <v>0.74264427477540718</v>
      </c>
      <c r="DD13" s="641">
        <f t="shared" si="42"/>
        <v>2.1628670107703683E-9</v>
      </c>
      <c r="DE13" s="641">
        <f t="shared" si="43"/>
        <v>9.8533740522668502E-11</v>
      </c>
      <c r="DF13" s="637">
        <f t="shared" si="44"/>
        <v>76.876748406548273</v>
      </c>
      <c r="DG13" s="637">
        <f t="shared" si="45"/>
        <v>3.5233047331605443</v>
      </c>
      <c r="DH13" s="647">
        <f t="shared" si="46"/>
        <v>7.6876748406548272E-3</v>
      </c>
      <c r="DI13" s="648">
        <f t="shared" si="47"/>
        <v>3.5233047331605441E-4</v>
      </c>
      <c r="DJ13" s="641">
        <f t="shared" si="48"/>
        <v>4.1241962294915803E-9</v>
      </c>
      <c r="DK13" s="641">
        <f t="shared" si="49"/>
        <v>1.3202860978269569E-10</v>
      </c>
      <c r="DL13" s="637">
        <f t="shared" si="50"/>
        <v>132.92284447651363</v>
      </c>
      <c r="DM13" s="639">
        <f t="shared" si="51"/>
        <v>4.3068710591799686</v>
      </c>
      <c r="DN13" s="647">
        <f t="shared" si="52"/>
        <v>1.3292284447651364E-2</v>
      </c>
      <c r="DO13" s="648">
        <f t="shared" si="53"/>
        <v>4.3068710591799689E-4</v>
      </c>
      <c r="DP13" s="641">
        <f t="shared" si="54"/>
        <v>6.0413480976717058E-7</v>
      </c>
      <c r="DQ13" s="641">
        <f t="shared" si="55"/>
        <v>4.5740094516716291E-8</v>
      </c>
      <c r="DR13" s="642">
        <f t="shared" si="56"/>
        <v>22012.475614061997</v>
      </c>
      <c r="DS13" s="642">
        <f t="shared" si="57"/>
        <v>1670.2344650140913</v>
      </c>
      <c r="DT13" s="637">
        <f t="shared" si="58"/>
        <v>2.2012475614061997</v>
      </c>
      <c r="DU13" s="637">
        <f t="shared" si="59"/>
        <v>0.16702344650140913</v>
      </c>
      <c r="DV13" s="639">
        <f t="shared" si="60"/>
        <v>0.5244335842470329</v>
      </c>
      <c r="DW13" s="639">
        <f t="shared" si="61"/>
        <v>2.4916466047532414E-2</v>
      </c>
      <c r="DX13" s="639">
        <f t="shared" si="62"/>
        <v>3.5801065851575786E-3</v>
      </c>
      <c r="DY13" s="639">
        <f t="shared" si="63"/>
        <v>5.8953657196090742E-3</v>
      </c>
      <c r="DZ13" s="639">
        <f t="shared" si="64"/>
        <v>0.57835617879913603</v>
      </c>
      <c r="EA13" s="639">
        <f t="shared" si="65"/>
        <v>2.755623314579805E-2</v>
      </c>
      <c r="EB13" s="639">
        <f t="shared" si="66"/>
        <v>3.492417198065533E-3</v>
      </c>
      <c r="EC13" s="639">
        <f t="shared" si="67"/>
        <v>5.9173362002922945E-3</v>
      </c>
      <c r="ED13" s="641">
        <f t="shared" si="68"/>
        <v>1.2011019911182814E-5</v>
      </c>
      <c r="EE13" s="641">
        <f t="shared" si="69"/>
        <v>3.8639991294631814E-7</v>
      </c>
      <c r="EF13" s="637">
        <f t="shared" si="70"/>
        <v>-100.76847335823287</v>
      </c>
      <c r="EG13" s="637">
        <f t="shared" si="71"/>
        <v>-19.705270392658431</v>
      </c>
      <c r="EH13" s="641">
        <f t="shared" si="72"/>
        <v>2.2902842746861644E-5</v>
      </c>
      <c r="EI13" s="641">
        <f t="shared" si="73"/>
        <v>1.0459192299782167E-6</v>
      </c>
      <c r="EJ13" s="642" t="str">
        <f t="shared" si="74"/>
        <v/>
      </c>
      <c r="EK13" s="642" t="str">
        <f t="shared" si="75"/>
        <v/>
      </c>
      <c r="EL13" s="642" t="str">
        <f t="shared" si="76"/>
        <v/>
      </c>
      <c r="EM13" s="639" t="str">
        <f t="shared" si="77"/>
        <v/>
      </c>
      <c r="EN13" s="639" t="str">
        <f t="shared" si="78"/>
        <v/>
      </c>
      <c r="EO13" s="639" t="str">
        <f t="shared" si="79"/>
        <v/>
      </c>
      <c r="EP13" s="649">
        <f t="shared" si="259"/>
        <v>1.3060572681380311</v>
      </c>
      <c r="EQ13" s="642" t="str">
        <f t="shared" si="277"/>
        <v/>
      </c>
      <c r="ER13" s="642" t="str">
        <f t="shared" si="277"/>
        <v/>
      </c>
      <c r="ES13" s="637">
        <f t="shared" si="81"/>
        <v>0.5873833864577771</v>
      </c>
      <c r="ET13" s="637">
        <f t="shared" si="82"/>
        <v>2.2413665368707914E-2</v>
      </c>
      <c r="EU13" s="642">
        <f t="shared" si="83"/>
        <v>236.3102728706609</v>
      </c>
      <c r="EV13" s="642">
        <f t="shared" si="84"/>
        <v>9.017244105680513</v>
      </c>
      <c r="EW13" s="641">
        <f t="shared" si="85"/>
        <v>2.4856447386833163E-3</v>
      </c>
      <c r="EX13" s="641">
        <f t="shared" si="86"/>
        <v>1.1076054183334386E-4</v>
      </c>
      <c r="EY13" s="641">
        <f t="shared" si="87"/>
        <v>4.2317246214146915E-3</v>
      </c>
      <c r="EZ13" s="641">
        <f t="shared" si="88"/>
        <v>1.6147623814983243E-4</v>
      </c>
      <c r="FA13" s="632">
        <v>4.2459809999999996</v>
      </c>
      <c r="FB13" s="632">
        <v>1.9939999999999999E-2</v>
      </c>
      <c r="FC13" s="632">
        <v>1.2230300000000001</v>
      </c>
      <c r="FD13" s="632">
        <v>9.7540000000000005E-3</v>
      </c>
      <c r="FE13" s="632">
        <v>8.2071000000000005E-2</v>
      </c>
      <c r="FF13" s="632">
        <v>2.0500000000000002E-3</v>
      </c>
      <c r="FG13" s="631"/>
      <c r="FH13" s="631"/>
      <c r="FI13" s="632">
        <v>4.3674999999999999E-2</v>
      </c>
      <c r="FJ13" s="632">
        <v>4.3280000000000002E-3</v>
      </c>
      <c r="FK13" s="632">
        <v>1.6249E-2</v>
      </c>
      <c r="FL13" s="632">
        <v>1.3849999999999999E-3</v>
      </c>
      <c r="FM13" s="632">
        <v>8.5179999999999995E-3</v>
      </c>
      <c r="FN13" s="632">
        <v>4.9799999999999996E-4</v>
      </c>
      <c r="FO13" s="631"/>
      <c r="FP13" s="631"/>
      <c r="FQ13" s="647">
        <f t="shared" si="89"/>
        <v>4.2023059999999992</v>
      </c>
      <c r="FR13" s="647">
        <f t="shared" si="90"/>
        <v>2.0404293273720606E-2</v>
      </c>
      <c r="FS13" s="647">
        <f t="shared" si="91"/>
        <v>1.2067810000000001</v>
      </c>
      <c r="FT13" s="647">
        <f t="shared" si="92"/>
        <v>1.379423908738717E-2</v>
      </c>
      <c r="FU13" s="647">
        <f t="shared" si="93"/>
        <v>7.3553000000000007E-2</v>
      </c>
      <c r="FV13" s="647">
        <f t="shared" si="94"/>
        <v>2.1096217670473543E-3</v>
      </c>
      <c r="FW13" s="647">
        <f t="shared" si="95"/>
        <v>0</v>
      </c>
      <c r="FX13" s="647">
        <f t="shared" si="96"/>
        <v>0</v>
      </c>
      <c r="FY13" s="647">
        <f t="shared" si="97"/>
        <v>7.2933657981894467E-2</v>
      </c>
      <c r="FZ13" s="647">
        <f t="shared" si="98"/>
        <v>1.0095760285573276E-2</v>
      </c>
      <c r="GA13" s="647">
        <f t="shared" si="99"/>
        <v>4.1994178271439164</v>
      </c>
      <c r="GB13" s="647">
        <f t="shared" si="100"/>
        <v>2.0408209566962661E-2</v>
      </c>
      <c r="GC13" s="647">
        <f t="shared" si="101"/>
        <v>1.1920338143560611</v>
      </c>
      <c r="GD13" s="647">
        <f t="shared" si="102"/>
        <v>1.3944468214829258E-2</v>
      </c>
      <c r="GE13" s="647">
        <f t="shared" si="103"/>
        <v>-2.2259352416074192E-2</v>
      </c>
      <c r="GF13" s="647">
        <f t="shared" si="104"/>
        <v>3.081226039156964E-3</v>
      </c>
      <c r="GG13" s="643">
        <v>1.7782159136499011E-12</v>
      </c>
      <c r="GH13" s="643">
        <v>7.5535622364420377E-15</v>
      </c>
      <c r="GI13" s="635">
        <v>1</v>
      </c>
      <c r="GJ13" s="635">
        <v>5.0000000000000001E-3</v>
      </c>
      <c r="GK13" s="641">
        <f t="shared" si="105"/>
        <v>7.467471608292402E-12</v>
      </c>
      <c r="GL13" s="641">
        <f t="shared" si="106"/>
        <v>6.0969265338030941E-14</v>
      </c>
      <c r="GM13" s="641">
        <f t="shared" si="107"/>
        <v>2.11969349829674E-12</v>
      </c>
      <c r="GN13" s="641">
        <f t="shared" si="108"/>
        <v>2.8429854501630711E-14</v>
      </c>
      <c r="GO13" s="641">
        <f t="shared" si="109"/>
        <v>1.2969179126410388E-13</v>
      </c>
      <c r="GP13" s="641">
        <f t="shared" si="110"/>
        <v>1.7972594667158485E-14</v>
      </c>
      <c r="GQ13" s="641">
        <f t="shared" si="111"/>
        <v>-3.9581934693804503E-14</v>
      </c>
      <c r="GR13" s="641">
        <f t="shared" si="112"/>
        <v>-5.4852358924167692E-15</v>
      </c>
      <c r="GS13" s="641">
        <f t="shared" si="113"/>
        <v>3.3316160740757935E-16</v>
      </c>
      <c r="GT13" s="641">
        <f t="shared" si="114"/>
        <v>2.7201467322852661E-18</v>
      </c>
      <c r="GU13" s="641">
        <f t="shared" si="115"/>
        <v>9.4570228070197497E-17</v>
      </c>
      <c r="GV13" s="641">
        <f t="shared" si="116"/>
        <v>1.2683993364588067E-18</v>
      </c>
      <c r="GW13" s="641">
        <f t="shared" si="117"/>
        <v>5.78620554742191E-18</v>
      </c>
      <c r="GX13" s="641">
        <f t="shared" si="118"/>
        <v>8.0184818138425935E-19</v>
      </c>
      <c r="GY13" s="637">
        <f t="shared" si="119"/>
        <v>3.5229015960528347</v>
      </c>
      <c r="GZ13" s="637">
        <f t="shared" si="120"/>
        <v>2.8943134371049263E-2</v>
      </c>
      <c r="HA13" s="638">
        <v>26.169770272470501</v>
      </c>
      <c r="HB13" s="638">
        <v>0.31897682079735301</v>
      </c>
      <c r="HC13" s="650">
        <f t="shared" si="121"/>
        <v>406.98286512325888</v>
      </c>
      <c r="HD13" s="650">
        <f t="shared" si="122"/>
        <v>6.0597015345008458</v>
      </c>
      <c r="HE13" s="651">
        <f t="shared" si="123"/>
        <v>4.4962211688349278E-12</v>
      </c>
      <c r="HF13" s="652">
        <f t="shared" si="124"/>
        <v>1.5874496933476149E-13</v>
      </c>
      <c r="HG13" s="653">
        <f t="shared" si="125"/>
        <v>326.6055057041691</v>
      </c>
      <c r="HH13" s="653">
        <f t="shared" si="126"/>
        <v>11.646293533527924</v>
      </c>
      <c r="HI13" s="638">
        <v>7.5091582159801398</v>
      </c>
      <c r="HJ13" s="638">
        <v>0.114829942558394</v>
      </c>
      <c r="HK13" s="650">
        <f t="shared" si="127"/>
        <v>411.40349973742809</v>
      </c>
      <c r="HL13" s="650">
        <f t="shared" si="128"/>
        <v>8.4332521557596571</v>
      </c>
      <c r="HM13" s="651">
        <f t="shared" si="129"/>
        <v>4.4479081356580161E-12</v>
      </c>
      <c r="HN13" s="652">
        <f t="shared" si="130"/>
        <v>1.5703921450595144E-13</v>
      </c>
      <c r="HO13" s="653">
        <f t="shared" si="131"/>
        <v>323.09604697419826</v>
      </c>
      <c r="HP13" s="653">
        <f t="shared" si="132"/>
        <v>12.387864526628494</v>
      </c>
      <c r="HQ13" s="635">
        <v>1.11613116912226</v>
      </c>
      <c r="HR13" s="635">
        <v>3.5153924948669403E-2</v>
      </c>
      <c r="HS13" s="635">
        <f t="shared" si="133"/>
        <v>368.89731499109041</v>
      </c>
      <c r="HT13" s="635">
        <f t="shared" si="134"/>
        <v>35.274114494338548</v>
      </c>
      <c r="HU13" s="635">
        <v>1.11613116912226</v>
      </c>
      <c r="HV13" s="635">
        <v>3.5153924948669403E-2</v>
      </c>
      <c r="HW13" s="635">
        <f t="shared" si="135"/>
        <v>455.48856972570456</v>
      </c>
      <c r="HX13" s="635">
        <f t="shared" si="136"/>
        <v>44.154465794502713</v>
      </c>
      <c r="HY13" s="643">
        <v>0.31336700000000001</v>
      </c>
      <c r="HZ13" s="643">
        <v>5.6870000000000002E-3</v>
      </c>
      <c r="IA13" s="643">
        <v>9.7820000000000008E-3</v>
      </c>
      <c r="IB13" s="643">
        <v>6.9700000000000003E-4</v>
      </c>
      <c r="IC13" s="643">
        <v>1.6050000000000001E-3</v>
      </c>
      <c r="ID13" s="643">
        <v>1.7799999999999999E-4</v>
      </c>
      <c r="IE13" s="643">
        <v>0.442861</v>
      </c>
      <c r="IF13" s="643">
        <v>6.1269999999999996E-3</v>
      </c>
      <c r="IG13" s="643">
        <v>1.0633E-2</v>
      </c>
      <c r="IH13" s="643">
        <v>5.4500000000000002E-4</v>
      </c>
      <c r="II13" s="643">
        <v>5.1029999999999999E-3</v>
      </c>
      <c r="IJ13" s="643">
        <v>4.6500000000000003E-4</v>
      </c>
      <c r="IK13" s="643">
        <v>4.6439999999999997E-3</v>
      </c>
      <c r="IL13" s="643">
        <v>4.8200000000000001E-4</v>
      </c>
      <c r="IM13" s="643">
        <v>3.6909999999999998E-3</v>
      </c>
      <c r="IN13" s="643">
        <v>3.1399999999999999E-4</v>
      </c>
      <c r="IO13" s="643">
        <v>1.3129999999999999E-3</v>
      </c>
      <c r="IP13" s="643">
        <v>1.46E-4</v>
      </c>
      <c r="IQ13" s="643">
        <v>3.7100000000000002E-4</v>
      </c>
      <c r="IR13" s="643">
        <v>6.8999999999999997E-5</v>
      </c>
      <c r="IS13" s="643">
        <v>1.6130000000000001E-3</v>
      </c>
      <c r="IT13" s="643">
        <v>2.8800000000000001E-4</v>
      </c>
      <c r="IU13" s="643">
        <v>1.294E-3</v>
      </c>
      <c r="IV13" s="643">
        <v>3.1399999999999999E-4</v>
      </c>
      <c r="IW13" s="643">
        <v>2.0799999999999999E-4</v>
      </c>
      <c r="IX13" s="643">
        <v>1.9000000000000001E-4</v>
      </c>
      <c r="IY13" s="643">
        <v>2.42E-4</v>
      </c>
      <c r="IZ13" s="643">
        <v>1.8000000000000001E-4</v>
      </c>
      <c r="JA13" s="641">
        <f t="shared" si="137"/>
        <v>0.30967600000000001</v>
      </c>
      <c r="JB13" s="641">
        <f t="shared" si="138"/>
        <v>5.6956619457267654E-3</v>
      </c>
      <c r="JC13" s="641">
        <f t="shared" si="139"/>
        <v>8.4690000000000008E-3</v>
      </c>
      <c r="JD13" s="641">
        <f t="shared" si="140"/>
        <v>7.1212709539800547E-4</v>
      </c>
      <c r="JE13" s="641">
        <f t="shared" si="141"/>
        <v>1.2340000000000001E-3</v>
      </c>
      <c r="JF13" s="641">
        <f t="shared" si="142"/>
        <v>1.9090573590125571E-4</v>
      </c>
      <c r="JG13" s="641">
        <f t="shared" si="143"/>
        <v>0.44124800000000003</v>
      </c>
      <c r="JH13" s="641">
        <f t="shared" si="144"/>
        <v>6.1337649938679583E-3</v>
      </c>
      <c r="JI13" s="641">
        <f t="shared" si="145"/>
        <v>9.3390000000000001E-3</v>
      </c>
      <c r="JJ13" s="641">
        <f t="shared" si="146"/>
        <v>6.2898410154788498E-4</v>
      </c>
      <c r="JK13" s="641">
        <f t="shared" si="147"/>
        <v>4.895E-3</v>
      </c>
      <c r="JL13" s="641">
        <f t="shared" si="148"/>
        <v>5.0231961936599684E-4</v>
      </c>
      <c r="JM13" s="641">
        <f t="shared" si="149"/>
        <v>4.4019999999999997E-3</v>
      </c>
      <c r="JN13" s="641">
        <f t="shared" si="150"/>
        <v>5.1451336231433291E-4</v>
      </c>
      <c r="JO13" s="641">
        <f t="shared" si="151"/>
        <v>0.30909404755588998</v>
      </c>
      <c r="JP13" s="641">
        <f t="shared" si="152"/>
        <v>5.6963734562083482E-3</v>
      </c>
      <c r="JQ13" s="641">
        <f t="shared" si="153"/>
        <v>4.5696565414799981E-4</v>
      </c>
      <c r="JR13" s="641">
        <f t="shared" si="154"/>
        <v>1.4295054664152083E-3</v>
      </c>
      <c r="JS13" s="641">
        <f t="shared" si="155"/>
        <v>0.43481718097764405</v>
      </c>
      <c r="JT13" s="641">
        <f t="shared" si="156"/>
        <v>6.2139244042811953E-3</v>
      </c>
      <c r="JU13" s="641">
        <f t="shared" si="157"/>
        <v>1.1884055482899985E-3</v>
      </c>
      <c r="JV13" s="641">
        <f t="shared" si="158"/>
        <v>1.4091064618552411E-3</v>
      </c>
      <c r="JW13" s="641">
        <f t="shared" si="159"/>
        <v>1.7187133420519998E-3</v>
      </c>
      <c r="JX13" s="641">
        <f t="shared" si="160"/>
        <v>7.0269909039314446E-4</v>
      </c>
      <c r="JY13" s="641">
        <f t="shared" si="161"/>
        <v>1.7171941876819997E-3</v>
      </c>
      <c r="JZ13" s="641">
        <f t="shared" si="162"/>
        <v>6.6124246269987476E-4</v>
      </c>
      <c r="KA13" s="643">
        <v>1.7696448643015688E-12</v>
      </c>
      <c r="KB13" s="643">
        <v>3.8892524257744769E-14</v>
      </c>
      <c r="KC13" s="631">
        <v>1</v>
      </c>
      <c r="KD13" s="631">
        <v>0</v>
      </c>
      <c r="KE13" s="641">
        <f t="shared" si="163"/>
        <v>5.4698669384346554E-13</v>
      </c>
      <c r="KF13" s="641">
        <f t="shared" si="164"/>
        <v>1.5688621866194302E-14</v>
      </c>
      <c r="KG13" s="641">
        <f t="shared" si="165"/>
        <v>2.4403837833019685E-17</v>
      </c>
      <c r="KH13" s="641">
        <f t="shared" si="166"/>
        <v>6.99948624406607E-19</v>
      </c>
      <c r="KI13" s="635">
        <v>1.2430056234832578</v>
      </c>
      <c r="KJ13" s="635">
        <v>0.11113867994607306</v>
      </c>
      <c r="KK13" s="641">
        <f t="shared" si="167"/>
        <v>2.9200206599953662E-13</v>
      </c>
      <c r="KL13" s="641">
        <f t="shared" si="260"/>
        <v>3.7955540431075747E-14</v>
      </c>
      <c r="KM13" s="573">
        <f t="shared" si="168"/>
        <v>33.687614713307447</v>
      </c>
      <c r="KN13" s="573">
        <f t="shared" si="169"/>
        <v>4.383844436941656</v>
      </c>
      <c r="KO13" s="638">
        <v>20.162258156415799</v>
      </c>
      <c r="KP13" s="638">
        <v>0.66285498057307002</v>
      </c>
      <c r="KQ13" s="652">
        <f t="shared" si="170"/>
        <v>4280.6744852502197</v>
      </c>
      <c r="KR13" s="652">
        <f t="shared" si="171"/>
        <v>187.07821339801438</v>
      </c>
      <c r="KS13" s="654">
        <f t="shared" si="172"/>
        <v>31.051845902911218</v>
      </c>
      <c r="KT13" s="654">
        <f t="shared" si="173"/>
        <v>1.6893441084257996</v>
      </c>
      <c r="KU13" s="637">
        <f t="shared" si="174"/>
        <v>0.43419231970641647</v>
      </c>
      <c r="KV13" s="637">
        <f t="shared" si="175"/>
        <v>6.2192259821367453E-3</v>
      </c>
      <c r="KW13" s="641">
        <f t="shared" si="176"/>
        <v>7.6836620868764474E-13</v>
      </c>
      <c r="KX13" s="641">
        <f t="shared" si="177"/>
        <v>2.0156718737481596E-14</v>
      </c>
      <c r="KY13" s="641">
        <f t="shared" si="178"/>
        <v>3.428069560783786E-17</v>
      </c>
      <c r="KZ13" s="641">
        <f t="shared" si="179"/>
        <v>8.9929298275816056E-19</v>
      </c>
      <c r="LA13" s="635">
        <v>1.2485542932379501</v>
      </c>
      <c r="LB13" s="635">
        <v>5.9627651953476503E-2</v>
      </c>
      <c r="LC13" s="641">
        <f t="shared" si="180"/>
        <v>2.8798395292315577E-10</v>
      </c>
      <c r="LD13" s="641">
        <f t="shared" si="181"/>
        <v>3.2778257386095667E-11</v>
      </c>
      <c r="LE13" s="647">
        <f t="shared" si="182"/>
        <v>35.952702093707465</v>
      </c>
      <c r="LF13" s="647">
        <f t="shared" si="183"/>
        <v>4.0971270473279358</v>
      </c>
      <c r="LG13" s="655"/>
      <c r="LH13" s="655"/>
      <c r="LI13" s="656"/>
      <c r="LJ13" s="656"/>
      <c r="LK13" s="656"/>
      <c r="LL13" s="656"/>
      <c r="LM13" s="641">
        <f t="shared" si="184"/>
        <v>3.0415122389689067E-15</v>
      </c>
      <c r="LN13" s="641">
        <f t="shared" si="185"/>
        <v>1.2453231498291468E-15</v>
      </c>
      <c r="LO13" s="641">
        <f t="shared" si="186"/>
        <v>1.3569721582328491E-19</v>
      </c>
      <c r="LP13" s="641">
        <f t="shared" si="187"/>
        <v>5.5560152633005996E-20</v>
      </c>
      <c r="LQ13" s="641">
        <f t="shared" si="188"/>
        <v>3.4541746861330526E-14</v>
      </c>
      <c r="LR13" s="641">
        <f t="shared" si="189"/>
        <v>1.4477872839114696E-14</v>
      </c>
      <c r="LS13" s="637">
        <f t="shared" si="190"/>
        <v>7.4744857771803872</v>
      </c>
      <c r="LT13" s="637">
        <f t="shared" si="191"/>
        <v>3.1330886218536986</v>
      </c>
      <c r="LW13" s="658" t="str">
        <f t="shared" si="192"/>
        <v>43z4</v>
      </c>
      <c r="LX13" s="658" t="str">
        <f t="shared" si="193"/>
        <v>MN2022a</v>
      </c>
      <c r="LY13" s="659">
        <f t="shared" si="194"/>
        <v>76.876748406548273</v>
      </c>
      <c r="LZ13" s="659">
        <f t="shared" si="195"/>
        <v>3.5233047331605443</v>
      </c>
      <c r="MA13" s="659">
        <f t="shared" si="196"/>
        <v>132.92284447651363</v>
      </c>
      <c r="MB13" s="659">
        <f t="shared" si="197"/>
        <v>4.3068710591799686</v>
      </c>
      <c r="MC13" s="659">
        <f t="shared" si="198"/>
        <v>22012.475614061997</v>
      </c>
      <c r="MD13" s="659">
        <f t="shared" si="199"/>
        <v>1670.2344650140913</v>
      </c>
      <c r="ME13" s="659">
        <f t="shared" si="200"/>
        <v>368.89731499109041</v>
      </c>
      <c r="MF13" s="659">
        <f t="shared" si="201"/>
        <v>35.274114494338548</v>
      </c>
      <c r="MG13" s="659">
        <f t="shared" si="202"/>
        <v>455.48856972570456</v>
      </c>
      <c r="MH13" s="659">
        <f t="shared" si="203"/>
        <v>44.154465794502713</v>
      </c>
      <c r="MI13" s="659">
        <f t="shared" si="204"/>
        <v>326.6055057041691</v>
      </c>
      <c r="MJ13" s="659">
        <f t="shared" si="205"/>
        <v>11.646293533527924</v>
      </c>
      <c r="MK13" s="659">
        <f t="shared" si="206"/>
        <v>323.09604697419826</v>
      </c>
      <c r="ML13" s="659">
        <f t="shared" si="207"/>
        <v>12.387864526628494</v>
      </c>
      <c r="MM13" s="659">
        <f t="shared" si="261"/>
        <v>33.687614713307447</v>
      </c>
      <c r="MN13" s="659">
        <f t="shared" si="208"/>
        <v>4.383844436941656</v>
      </c>
      <c r="MO13" s="659">
        <f t="shared" si="209"/>
        <v>31.051845902911218</v>
      </c>
      <c r="MP13" s="659">
        <f t="shared" si="210"/>
        <v>1.6893441084257996</v>
      </c>
      <c r="MQ13" s="660"/>
      <c r="MR13" s="660"/>
      <c r="MS13" s="660"/>
      <c r="MT13" s="660"/>
      <c r="MU13" s="661">
        <f t="shared" si="273"/>
        <v>0.57835617879913603</v>
      </c>
      <c r="MV13" s="661">
        <f t="shared" si="274"/>
        <v>2.755623314579805E-2</v>
      </c>
      <c r="MW13" s="662">
        <f t="shared" si="211"/>
        <v>2.4571059022279471E-3</v>
      </c>
      <c r="MX13" s="662">
        <f t="shared" si="212"/>
        <v>1.1838505371287422E-4</v>
      </c>
      <c r="MY13" s="662">
        <f t="shared" si="213"/>
        <v>2.4307036781122046E-3</v>
      </c>
      <c r="MZ13" s="662">
        <f t="shared" si="214"/>
        <v>1.2201756835338468E-4</v>
      </c>
      <c r="NA13" s="663">
        <f t="shared" si="215"/>
        <v>2.5343735943944362E-4</v>
      </c>
      <c r="NB13" s="663">
        <f t="shared" si="216"/>
        <v>3.3987301808005486E-5</v>
      </c>
      <c r="NC13" s="661">
        <f t="shared" si="275"/>
        <v>0.5244335842470329</v>
      </c>
      <c r="ND13" s="661">
        <f t="shared" si="276"/>
        <v>2.4916466047532414E-2</v>
      </c>
      <c r="NE13" s="662">
        <f t="shared" si="217"/>
        <v>1.0902054409252029E-3</v>
      </c>
      <c r="NF13" s="662">
        <f t="shared" si="218"/>
        <v>5.1958082637658184E-5</v>
      </c>
      <c r="NG13" s="663">
        <f t="shared" si="219"/>
        <v>1.0784909078408091E-3</v>
      </c>
      <c r="NH13" s="663">
        <f t="shared" si="220"/>
        <v>5.1399779903868876E-5</v>
      </c>
      <c r="NI13" s="662">
        <f t="shared" si="221"/>
        <v>7.0802192422430777E-5</v>
      </c>
      <c r="NJ13" s="662">
        <f t="shared" si="221"/>
        <v>9.4949516829408651E-6</v>
      </c>
      <c r="NK13" s="664">
        <f t="shared" si="222"/>
        <v>4.2713243570040152E-9</v>
      </c>
      <c r="NL13" s="664">
        <f t="shared" si="223"/>
        <v>1.6452604205848043E-10</v>
      </c>
      <c r="NM13" s="664">
        <f t="shared" si="224"/>
        <v>2.5089049654766057E-9</v>
      </c>
      <c r="NN13" s="664">
        <f t="shared" si="225"/>
        <v>1.1257197020822944E-10</v>
      </c>
      <c r="NO13" s="664">
        <f t="shared" si="226"/>
        <v>1.0093578243227191E-6</v>
      </c>
      <c r="NP13" s="664">
        <f t="shared" si="227"/>
        <v>5.9795022314483098E-9</v>
      </c>
      <c r="NQ13" s="664">
        <f t="shared" si="228"/>
        <v>-2.5281852317196754E-7</v>
      </c>
      <c r="NR13" s="664">
        <f t="shared" si="229"/>
        <v>-4.8161283739489797E-8</v>
      </c>
      <c r="NS13" s="664">
        <f t="shared" si="230"/>
        <v>9.8009761182335738E-7</v>
      </c>
      <c r="NT13" s="664">
        <f t="shared" si="231"/>
        <v>3.4626160318953248E-9</v>
      </c>
      <c r="NU13" s="664">
        <f t="shared" si="232"/>
        <v>1.1790162842191261E-10</v>
      </c>
      <c r="NV13" s="664">
        <f t="shared" si="233"/>
        <v>1.6349353819667187E-11</v>
      </c>
      <c r="NW13" s="664">
        <f t="shared" si="234"/>
        <v>1.9852197841346688E-12</v>
      </c>
      <c r="NX13" s="664">
        <f t="shared" si="235"/>
        <v>3.103654329680088E-13</v>
      </c>
      <c r="NY13" s="664">
        <f t="shared" si="236"/>
        <v>1.5024284897920318E-11</v>
      </c>
      <c r="NZ13" s="664">
        <f t="shared" si="237"/>
        <v>1.0670492315366408E-12</v>
      </c>
      <c r="OA13" s="665">
        <f t="shared" si="262"/>
        <v>236.3102728706609</v>
      </c>
      <c r="OB13" s="665">
        <f t="shared" si="238"/>
        <v>9.017244105680513</v>
      </c>
      <c r="OC13" s="665">
        <f t="shared" si="239"/>
        <v>229.45988876171785</v>
      </c>
      <c r="OD13" s="665">
        <f t="shared" si="263"/>
        <v>8.8756054857672986</v>
      </c>
      <c r="OE13" s="664">
        <f t="shared" si="264"/>
        <v>2.7603061385066751E-2</v>
      </c>
      <c r="OF13" s="664">
        <f t="shared" si="265"/>
        <v>3.9678293743855937E-3</v>
      </c>
      <c r="OG13" s="664">
        <f t="shared" si="266"/>
        <v>4.6477851322139773E-4</v>
      </c>
      <c r="OH13" s="664">
        <f t="shared" si="267"/>
        <v>7.4835527082142212E-5</v>
      </c>
      <c r="OI13" s="664">
        <f t="shared" si="268"/>
        <v>3.5174769327185034E-3</v>
      </c>
      <c r="OJ13" s="664">
        <f t="shared" si="269"/>
        <v>2.8419310509200305E-4</v>
      </c>
      <c r="OK13" s="664">
        <f t="shared" si="240"/>
        <v>2.4856447386833163E-3</v>
      </c>
      <c r="OL13" s="664">
        <f t="shared" si="241"/>
        <v>1.1076054183334386E-4</v>
      </c>
      <c r="OM13" s="664">
        <f t="shared" si="242"/>
        <v>4.2317246214146915E-3</v>
      </c>
      <c r="ON13" s="664">
        <f t="shared" si="243"/>
        <v>1.6147623814983243E-4</v>
      </c>
      <c r="OO13" s="664">
        <f t="shared" si="244"/>
        <v>0.5873833864577771</v>
      </c>
      <c r="OP13" s="664">
        <f t="shared" si="245"/>
        <v>2.2413665368707914E-2</v>
      </c>
      <c r="OQ13" s="664">
        <f t="shared" si="246"/>
        <v>4.6916719318723325E-3</v>
      </c>
      <c r="OR13" s="664">
        <f t="shared" si="247"/>
        <v>8.9351582067168345E-6</v>
      </c>
    </row>
    <row r="14" spans="2:408">
      <c r="B14" s="245" t="s">
        <v>955</v>
      </c>
      <c r="C14" s="5">
        <v>1.0300000000000001E-3</v>
      </c>
      <c r="D14" s="66">
        <f t="shared" ref="D14" si="279">C14*0.5%</f>
        <v>5.1500000000000007E-6</v>
      </c>
      <c r="E14" s="67">
        <v>45110</v>
      </c>
      <c r="F14" s="5" t="s">
        <v>210</v>
      </c>
      <c r="G14" s="5" t="s">
        <v>893</v>
      </c>
      <c r="H14" s="5">
        <v>2</v>
      </c>
      <c r="J14" s="327">
        <v>44644</v>
      </c>
      <c r="K14" s="67" t="s">
        <v>823</v>
      </c>
      <c r="L14" s="5" t="s">
        <v>949</v>
      </c>
      <c r="M14" s="5" t="s">
        <v>951</v>
      </c>
      <c r="N14" s="5">
        <v>180</v>
      </c>
      <c r="O14" s="6">
        <v>478.61146200000002</v>
      </c>
      <c r="P14" s="6">
        <v>0.37454300000000001</v>
      </c>
      <c r="Q14" s="6">
        <v>0.80982600000000005</v>
      </c>
      <c r="R14" s="6">
        <v>4.3400000000000001E-2</v>
      </c>
      <c r="S14" s="6">
        <v>284.43994300000003</v>
      </c>
      <c r="T14" s="6">
        <v>0.90874299999999997</v>
      </c>
      <c r="U14" s="6">
        <v>6.2868999999999994E-2</v>
      </c>
      <c r="V14" s="6">
        <v>2.6998999999999999E-2</v>
      </c>
      <c r="W14" s="6">
        <v>1.8330280000000001</v>
      </c>
      <c r="X14" s="6">
        <v>7.3681999999999997E-2</v>
      </c>
      <c r="Y14" s="6">
        <v>84.933414999999997</v>
      </c>
      <c r="Z14" s="6">
        <v>0.453009</v>
      </c>
      <c r="AA14" s="6">
        <v>0.20180600000000001</v>
      </c>
      <c r="AB14" s="6">
        <v>6.3743999999999995E-2</v>
      </c>
      <c r="AC14" s="6">
        <v>0.139874</v>
      </c>
      <c r="AD14" s="6">
        <v>7.6684000000000002E-2</v>
      </c>
      <c r="AE14" s="6">
        <v>5.6203999999999997E-2</v>
      </c>
      <c r="AF14" s="6">
        <v>3.2856000000000003E-2</v>
      </c>
      <c r="AG14" s="6">
        <v>0.54132800000000003</v>
      </c>
      <c r="AH14" s="6">
        <v>0.151476</v>
      </c>
      <c r="AI14" s="147">
        <f t="shared" si="1"/>
        <v>393.67804699999999</v>
      </c>
      <c r="AJ14" s="147">
        <f t="shared" si="2"/>
        <v>0.58779215112997207</v>
      </c>
      <c r="AK14" s="147">
        <f t="shared" si="3"/>
        <v>0.60802</v>
      </c>
      <c r="AL14" s="147">
        <f t="shared" si="4"/>
        <v>7.7115870843815285E-2</v>
      </c>
      <c r="AM14" s="147">
        <f t="shared" si="5"/>
        <v>284.30006900000001</v>
      </c>
      <c r="AN14" s="147">
        <f t="shared" si="6"/>
        <v>0.91197273857555627</v>
      </c>
      <c r="AO14" s="147">
        <f t="shared" si="7"/>
        <v>6.6649999999999973E-3</v>
      </c>
      <c r="AP14" s="147">
        <f t="shared" si="8"/>
        <v>4.2526024232227497E-2</v>
      </c>
      <c r="AQ14" s="147">
        <f t="shared" si="9"/>
        <v>1.2917000000000001</v>
      </c>
      <c r="AR14" s="147">
        <f t="shared" si="10"/>
        <v>0.16844588359470231</v>
      </c>
      <c r="AS14" s="4">
        <v>304.12046242532102</v>
      </c>
      <c r="AT14" s="4">
        <v>0.91447361557367601</v>
      </c>
      <c r="AU14" s="133">
        <f t="shared" si="11"/>
        <v>0.61245436003709275</v>
      </c>
      <c r="AV14" s="133">
        <f t="shared" si="12"/>
        <v>7.7117922988143559E-2</v>
      </c>
      <c r="AW14" s="133">
        <f t="shared" si="13"/>
        <v>288.44693543372364</v>
      </c>
      <c r="AX14" s="133">
        <f t="shared" si="14"/>
        <v>0.91202089680632226</v>
      </c>
      <c r="AY14" s="133">
        <f t="shared" si="15"/>
        <v>6.8108258428039685E-3</v>
      </c>
      <c r="AZ14" s="133">
        <f t="shared" si="16"/>
        <v>4.2528034797954521E-2</v>
      </c>
      <c r="BA14" s="133">
        <f t="shared" si="17"/>
        <v>1.3293820687471647</v>
      </c>
      <c r="BB14" s="133">
        <f t="shared" si="18"/>
        <v>0.1684503659857044</v>
      </c>
      <c r="BC14" s="6"/>
      <c r="BD14" s="8"/>
      <c r="BE14" s="797">
        <v>2.3210000000000002</v>
      </c>
      <c r="BF14" s="147">
        <f t="shared" si="249"/>
        <v>0.11605000000000001</v>
      </c>
      <c r="BG14" s="147">
        <f t="shared" si="250"/>
        <v>1.6587972694882434</v>
      </c>
      <c r="BH14" s="147">
        <f t="shared" si="251"/>
        <v>8.2939863474412179E-2</v>
      </c>
      <c r="BI14" s="157">
        <f t="shared" si="19"/>
        <v>4.2628772145032203E-7</v>
      </c>
      <c r="BJ14" s="157">
        <f t="shared" si="252"/>
        <v>2.1314386072516104E-8</v>
      </c>
      <c r="BK14" s="133">
        <f t="shared" si="20"/>
        <v>180.02978999478898</v>
      </c>
      <c r="BL14" s="133">
        <f t="shared" si="253"/>
        <v>9.0014894997394492</v>
      </c>
      <c r="BM14" s="133"/>
      <c r="BN14" s="133"/>
      <c r="BO14" s="143">
        <f t="shared" si="254"/>
        <v>393.59829577561084</v>
      </c>
      <c r="BP14" s="133">
        <f t="shared" si="255"/>
        <v>0.58787792449361398</v>
      </c>
      <c r="BQ14" s="143">
        <f t="shared" si="271"/>
        <v>0.61245436003709275</v>
      </c>
      <c r="BR14" s="133">
        <f t="shared" si="272"/>
        <v>7.7117922988143559E-2</v>
      </c>
      <c r="BS14" s="143">
        <f t="shared" si="256"/>
        <v>288.44693543372364</v>
      </c>
      <c r="BT14" s="133">
        <f t="shared" si="257"/>
        <v>0.91202089680632226</v>
      </c>
      <c r="BU14" s="147">
        <f t="shared" si="258"/>
        <v>1.2665824306283677</v>
      </c>
      <c r="BV14" s="147">
        <f t="shared" si="21"/>
        <v>0.16847962870058619</v>
      </c>
      <c r="BX14" s="147">
        <f t="shared" si="22"/>
        <v>1.0065953393905007</v>
      </c>
      <c r="BY14" s="147">
        <f t="shared" si="23"/>
        <v>0.16853094589700202</v>
      </c>
      <c r="BZ14" s="143">
        <f t="shared" si="24"/>
        <v>288.20881725701526</v>
      </c>
      <c r="CA14" s="147">
        <f t="shared" si="25"/>
        <v>0.13846211592083874</v>
      </c>
      <c r="CB14" s="143">
        <f t="shared" si="26"/>
        <v>96.149372985717889</v>
      </c>
      <c r="CC14" s="143">
        <f t="shared" si="27"/>
        <v>49.804364213446632</v>
      </c>
      <c r="CD14" s="3">
        <v>1.5903158759700325E-12</v>
      </c>
      <c r="CE14" s="3">
        <v>4.0102150310807229E-15</v>
      </c>
      <c r="CF14" s="157">
        <f t="shared" si="28"/>
        <v>1.6008045489101564E-12</v>
      </c>
      <c r="CG14" s="157">
        <f t="shared" si="29"/>
        <v>2.6804783562497241E-13</v>
      </c>
      <c r="CH14" s="157">
        <f t="shared" si="30"/>
        <v>2.8630423317626386E-10</v>
      </c>
      <c r="CI14" s="158">
        <f t="shared" si="31"/>
        <v>1.4333405332846651E-11</v>
      </c>
      <c r="CJ14" s="157">
        <f t="shared" si="32"/>
        <v>4.5834305767837722E-10</v>
      </c>
      <c r="CK14" s="477">
        <f t="shared" si="33"/>
        <v>1.1765684179039602E-12</v>
      </c>
      <c r="CL14" s="157">
        <f t="shared" si="34"/>
        <v>9.7399589207405488E-13</v>
      </c>
      <c r="CM14" s="157">
        <f t="shared" si="35"/>
        <v>1.2266644792943017E-13</v>
      </c>
      <c r="CN14" s="157">
        <f t="shared" si="36"/>
        <v>6.2594561852670254E-10</v>
      </c>
      <c r="CO14" s="157">
        <f t="shared" si="37"/>
        <v>1.8345162368589467E-12</v>
      </c>
      <c r="CP14" s="157">
        <f t="shared" si="38"/>
        <v>2.0448997713049449E-14</v>
      </c>
      <c r="CQ14" s="157">
        <f t="shared" si="39"/>
        <v>5.2492658278617269E-17</v>
      </c>
      <c r="CR14" s="157">
        <f t="shared" si="40"/>
        <v>2.7926594081256253E-14</v>
      </c>
      <c r="CS14" s="157">
        <f t="shared" si="41"/>
        <v>8.1847032344474488E-17</v>
      </c>
      <c r="CT14" s="66">
        <v>4.8310147194830849E-3</v>
      </c>
      <c r="CU14" s="66">
        <v>9.242109821544593E-6</v>
      </c>
      <c r="CV14" s="3">
        <v>1.1611559367069784E+19</v>
      </c>
      <c r="CW14" s="60">
        <v>1.040942599512031E+18</v>
      </c>
      <c r="CX14" s="3">
        <v>8.6527210079182822E+17</v>
      </c>
      <c r="CY14" s="3">
        <v>8.9278178143800032E+16</v>
      </c>
      <c r="CZ14" s="6">
        <v>0.49865169925804054</v>
      </c>
      <c r="DA14" s="6">
        <v>2.7936431740382541E-2</v>
      </c>
      <c r="DB14" s="4">
        <v>24.337069265073254</v>
      </c>
      <c r="DC14" s="4">
        <v>0.74264427477540718</v>
      </c>
      <c r="DD14" s="157">
        <f t="shared" si="42"/>
        <v>7.4130908239549255E-10</v>
      </c>
      <c r="DE14" s="157">
        <f t="shared" si="43"/>
        <v>9.3617964330729941E-11</v>
      </c>
      <c r="DF14" s="147">
        <f t="shared" si="44"/>
        <v>28.139732908955033</v>
      </c>
      <c r="DG14" s="147">
        <f t="shared" si="45"/>
        <v>3.5564766777488099</v>
      </c>
      <c r="DH14" s="159">
        <f t="shared" si="46"/>
        <v>2.8139732908955034E-3</v>
      </c>
      <c r="DI14" s="167">
        <f t="shared" si="47"/>
        <v>3.5564766777488097E-4</v>
      </c>
      <c r="DJ14" s="157">
        <f t="shared" si="48"/>
        <v>1.5807728175750129E-8</v>
      </c>
      <c r="DK14" s="157">
        <f t="shared" si="49"/>
        <v>5.0609439904691021E-10</v>
      </c>
      <c r="DL14" s="147">
        <f t="shared" si="50"/>
        <v>544.10814273288281</v>
      </c>
      <c r="DM14" s="133">
        <f t="shared" si="51"/>
        <v>17.631124699270035</v>
      </c>
      <c r="DN14" s="159">
        <f t="shared" si="52"/>
        <v>5.4410814273288283E-2</v>
      </c>
      <c r="DO14" s="167">
        <f t="shared" si="53"/>
        <v>1.7631124699270036E-3</v>
      </c>
      <c r="DP14" s="157">
        <f t="shared" si="54"/>
        <v>4.2628772145032198E-7</v>
      </c>
      <c r="DQ14" s="157">
        <f t="shared" si="55"/>
        <v>3.2275075419666448E-8</v>
      </c>
      <c r="DR14" s="143">
        <f t="shared" si="56"/>
        <v>16587.972694882428</v>
      </c>
      <c r="DS14" s="143">
        <f t="shared" si="57"/>
        <v>1258.6445631810689</v>
      </c>
      <c r="DT14" s="147">
        <f t="shared" si="58"/>
        <v>1.6587972694882429</v>
      </c>
      <c r="DU14" s="147">
        <f t="shared" si="59"/>
        <v>0.12586445631810689</v>
      </c>
      <c r="DV14" s="133">
        <f t="shared" si="60"/>
        <v>4.6895358659614285E-2</v>
      </c>
      <c r="DW14" s="133">
        <f t="shared" si="61"/>
        <v>6.9472915310323635E-3</v>
      </c>
      <c r="DX14" s="133">
        <f t="shared" si="62"/>
        <v>1.7389876487021502E-3</v>
      </c>
      <c r="DY14" s="133">
        <f t="shared" si="63"/>
        <v>5.9519117985277308E-3</v>
      </c>
      <c r="DZ14" s="133">
        <f t="shared" si="64"/>
        <v>5.1717169251719097E-2</v>
      </c>
      <c r="EA14" s="133">
        <f t="shared" si="65"/>
        <v>7.5863422685045539E-3</v>
      </c>
      <c r="EB14" s="133">
        <f t="shared" si="66"/>
        <v>1.6963937321669482E-3</v>
      </c>
      <c r="EC14" s="133">
        <f t="shared" si="67"/>
        <v>5.9717105298695379E-3</v>
      </c>
      <c r="ED14" s="157">
        <f t="shared" si="68"/>
        <v>1.7666418457332212E-6</v>
      </c>
      <c r="EE14" s="157">
        <f t="shared" si="69"/>
        <v>5.6796647792849962E-8</v>
      </c>
      <c r="EF14" s="147">
        <f t="shared" si="70"/>
        <v>156.99026614798643</v>
      </c>
      <c r="EG14" s="147">
        <f t="shared" si="71"/>
        <v>83.687444685417077</v>
      </c>
      <c r="EH14" s="157">
        <f t="shared" si="72"/>
        <v>3.7671997746221139E-5</v>
      </c>
      <c r="EI14" s="157">
        <f t="shared" si="73"/>
        <v>4.75877798149949E-6</v>
      </c>
      <c r="EJ14" s="143">
        <f t="shared" si="74"/>
        <v>1017.1141406627765</v>
      </c>
      <c r="EK14" s="143">
        <f t="shared" si="75"/>
        <v>415.72973831813374</v>
      </c>
      <c r="EL14" s="143">
        <f t="shared" si="76"/>
        <v>415.73241545184567</v>
      </c>
      <c r="EM14" s="133">
        <f t="shared" si="77"/>
        <v>1017.1141406627765</v>
      </c>
      <c r="EN14" s="133">
        <f t="shared" si="78"/>
        <v>415.72973831813374</v>
      </c>
      <c r="EO14" s="133">
        <f t="shared" si="79"/>
        <v>415.73241545184567</v>
      </c>
      <c r="EP14" s="501">
        <f t="shared" si="259"/>
        <v>0.46093793235200253</v>
      </c>
      <c r="EQ14" s="143">
        <f t="shared" ref="EQ14:ER15" si="280">EM14</f>
        <v>1017.1141406627765</v>
      </c>
      <c r="ER14" s="143">
        <f t="shared" si="280"/>
        <v>415.72973831813374</v>
      </c>
      <c r="ES14" s="147">
        <f t="shared" si="81"/>
        <v>0.60844148196427905</v>
      </c>
      <c r="ET14" s="147">
        <f t="shared" si="82"/>
        <v>0.10187340894138204</v>
      </c>
      <c r="EU14" s="143">
        <f t="shared" si="83"/>
        <v>391.01939018904744</v>
      </c>
      <c r="EV14" s="143">
        <f t="shared" si="84"/>
        <v>65.46969498551924</v>
      </c>
      <c r="EW14" s="157">
        <f t="shared" si="85"/>
        <v>1.556039156191497E-3</v>
      </c>
      <c r="EX14" s="157">
        <f t="shared" si="86"/>
        <v>1.9594431430058589E-4</v>
      </c>
      <c r="EY14" s="157">
        <f t="shared" si="87"/>
        <v>2.5574179314139041E-3</v>
      </c>
      <c r="EZ14" s="157">
        <f t="shared" si="88"/>
        <v>4.2819710766572552E-4</v>
      </c>
      <c r="FA14" s="66">
        <v>7.0599540000000003</v>
      </c>
      <c r="FB14" s="66">
        <v>3.4978000000000002E-2</v>
      </c>
      <c r="FC14" s="66">
        <v>2.0129899999999998</v>
      </c>
      <c r="FD14" s="66">
        <v>1.0336E-2</v>
      </c>
      <c r="FE14" s="66">
        <v>3.4354000000000003E-2</v>
      </c>
      <c r="FF14" s="66">
        <v>1.477E-3</v>
      </c>
      <c r="FI14" s="66">
        <v>1.7472000000000001E-2</v>
      </c>
      <c r="FJ14" s="66">
        <v>2.2820000000000002E-3</v>
      </c>
      <c r="FK14" s="66">
        <v>7.1939999999999999E-3</v>
      </c>
      <c r="FL14" s="66">
        <v>1.083E-3</v>
      </c>
      <c r="FM14" s="66">
        <v>5.6010000000000001E-3</v>
      </c>
      <c r="FN14" s="66">
        <v>5.8500000000000002E-4</v>
      </c>
      <c r="FQ14" s="159">
        <f t="shared" si="89"/>
        <v>7.0424820000000006</v>
      </c>
      <c r="FR14" s="159">
        <f t="shared" si="90"/>
        <v>3.505236094758811E-2</v>
      </c>
      <c r="FS14" s="159">
        <f t="shared" si="91"/>
        <v>2.0057959999999997</v>
      </c>
      <c r="FT14" s="159">
        <f t="shared" si="92"/>
        <v>1.461731138068831E-2</v>
      </c>
      <c r="FU14" s="159">
        <f t="shared" si="93"/>
        <v>2.8753000000000001E-2</v>
      </c>
      <c r="FV14" s="159">
        <f t="shared" si="94"/>
        <v>1.5886327454764364E-3</v>
      </c>
      <c r="FW14" s="159">
        <f t="shared" si="95"/>
        <v>0</v>
      </c>
      <c r="FX14" s="159">
        <f t="shared" si="96"/>
        <v>0</v>
      </c>
      <c r="FY14" s="159">
        <f t="shared" si="97"/>
        <v>2.8403030639003079E-2</v>
      </c>
      <c r="FZ14" s="159">
        <f t="shared" si="98"/>
        <v>5.0796884869294774E-3</v>
      </c>
      <c r="GA14" s="159">
        <f t="shared" si="99"/>
        <v>7.0413572399866959</v>
      </c>
      <c r="GB14" s="159">
        <f t="shared" si="100"/>
        <v>3.5052938130792861E-2</v>
      </c>
      <c r="GC14" s="159">
        <f t="shared" si="101"/>
        <v>2.0000529072047932</v>
      </c>
      <c r="GD14" s="159">
        <f t="shared" si="102"/>
        <v>1.4653352965773296E-2</v>
      </c>
      <c r="GE14" s="159">
        <f t="shared" si="103"/>
        <v>-8.6686049510237406E-3</v>
      </c>
      <c r="GF14" s="159">
        <f t="shared" si="104"/>
        <v>1.5503209262108767E-3</v>
      </c>
      <c r="GG14" s="3">
        <v>1.7782159136499011E-12</v>
      </c>
      <c r="GH14" s="3">
        <v>7.5535622364420377E-15</v>
      </c>
      <c r="GI14" s="6">
        <v>1</v>
      </c>
      <c r="GJ14" s="6">
        <v>5.0000000000000001E-3</v>
      </c>
      <c r="GK14" s="157">
        <f t="shared" si="105"/>
        <v>1.2521053497838289E-11</v>
      </c>
      <c r="GL14" s="157">
        <f t="shared" si="106"/>
        <v>1.0311911308259318E-13</v>
      </c>
      <c r="GM14" s="157">
        <f t="shared" si="107"/>
        <v>3.5565259077333124E-12</v>
      </c>
      <c r="GN14" s="157">
        <f t="shared" si="108"/>
        <v>3.4977383402185937E-14</v>
      </c>
      <c r="GO14" s="157">
        <f t="shared" si="109"/>
        <v>5.0506721078160996E-14</v>
      </c>
      <c r="GP14" s="157">
        <f t="shared" si="110"/>
        <v>9.0388588529371411E-15</v>
      </c>
      <c r="GQ14" s="157">
        <f t="shared" si="111"/>
        <v>-1.5414651273054739E-14</v>
      </c>
      <c r="GR14" s="157">
        <f t="shared" si="112"/>
        <v>-2.7586597219164163E-15</v>
      </c>
      <c r="GS14" s="157">
        <f t="shared" si="113"/>
        <v>5.5862740812348523E-16</v>
      </c>
      <c r="GT14" s="157">
        <f t="shared" si="114"/>
        <v>4.6006642350117127E-18</v>
      </c>
      <c r="GU14" s="157">
        <f t="shared" si="115"/>
        <v>1.5867457559414584E-16</v>
      </c>
      <c r="GV14" s="157">
        <f t="shared" si="116"/>
        <v>1.5605176569412943E-18</v>
      </c>
      <c r="GW14" s="157">
        <f t="shared" si="117"/>
        <v>2.2533598066312862E-18</v>
      </c>
      <c r="GX14" s="157">
        <f t="shared" si="118"/>
        <v>4.0326912542211907E-19</v>
      </c>
      <c r="GY14" s="147">
        <f t="shared" si="119"/>
        <v>3.5205854878246501</v>
      </c>
      <c r="GZ14" s="147">
        <f t="shared" si="120"/>
        <v>2.9091059161040399E-2</v>
      </c>
      <c r="HA14" s="4">
        <v>26.169770272470501</v>
      </c>
      <c r="HB14" s="4">
        <v>0.31897682079735301</v>
      </c>
      <c r="HC14" s="228">
        <f t="shared" si="121"/>
        <v>957.96512070615086</v>
      </c>
      <c r="HD14" s="228">
        <f t="shared" si="122"/>
        <v>14.30486779915636</v>
      </c>
      <c r="HE14" s="239">
        <f t="shared" si="123"/>
        <v>7.321570229201859E-12</v>
      </c>
      <c r="HF14" s="229">
        <f t="shared" si="124"/>
        <v>2.5864755246401561E-13</v>
      </c>
      <c r="HG14" s="362">
        <f t="shared" si="125"/>
        <v>567.98325009140308</v>
      </c>
      <c r="HH14" s="362">
        <f t="shared" si="126"/>
        <v>20.265001749191516</v>
      </c>
      <c r="HI14" s="4">
        <v>7.5091582159801398</v>
      </c>
      <c r="HJ14" s="4">
        <v>0.114829942558394</v>
      </c>
      <c r="HK14" s="228">
        <f t="shared" si="127"/>
        <v>967.73385786934875</v>
      </c>
      <c r="HL14" s="228">
        <f t="shared" si="128"/>
        <v>17.769337429264386</v>
      </c>
      <c r="HM14" s="239">
        <f t="shared" si="129"/>
        <v>7.2476630339442312E-12</v>
      </c>
      <c r="HN14" s="229">
        <f t="shared" si="130"/>
        <v>2.5603664871462284E-13</v>
      </c>
      <c r="HO14" s="362">
        <f t="shared" si="131"/>
        <v>562.24977384881527</v>
      </c>
      <c r="HP14" s="362">
        <f t="shared" si="132"/>
        <v>20.940739464298716</v>
      </c>
      <c r="HQ14" s="6">
        <v>1.11613116912226</v>
      </c>
      <c r="HR14" s="6">
        <v>3.5153924948669403E-2</v>
      </c>
      <c r="HS14" s="6">
        <f t="shared" si="133"/>
        <v>660.58429708065341</v>
      </c>
      <c r="HT14" s="6">
        <f t="shared" si="134"/>
        <v>63.169367552848804</v>
      </c>
      <c r="HU14" s="6">
        <v>1.11613116912226</v>
      </c>
      <c r="HV14" s="6">
        <v>3.5153924948669403E-2</v>
      </c>
      <c r="HW14" s="6">
        <f t="shared" si="135"/>
        <v>816.17981961736177</v>
      </c>
      <c r="HX14" s="6">
        <f t="shared" si="136"/>
        <v>78.768511302949193</v>
      </c>
      <c r="HY14" s="3">
        <v>0.33826000000000001</v>
      </c>
      <c r="HZ14" s="3">
        <v>3.5019999999999999E-3</v>
      </c>
      <c r="IA14" s="3">
        <v>4.1859999999999996E-3</v>
      </c>
      <c r="IB14" s="3">
        <v>4.2700000000000002E-4</v>
      </c>
      <c r="IC14" s="3">
        <v>5.9900000000000003E-4</v>
      </c>
      <c r="ID14" s="3">
        <v>1.6100000000000001E-4</v>
      </c>
      <c r="IE14" s="3">
        <v>0.184559</v>
      </c>
      <c r="IF14" s="3">
        <v>2.8019999999999998E-3</v>
      </c>
      <c r="IG14" s="3">
        <v>5.4180000000000001E-3</v>
      </c>
      <c r="IH14" s="3">
        <v>4.3600000000000003E-4</v>
      </c>
      <c r="II14" s="3">
        <v>3.2000000000000002E-3</v>
      </c>
      <c r="IJ14" s="3">
        <v>3.8400000000000001E-4</v>
      </c>
      <c r="IK14" s="3">
        <v>4.0210000000000003E-3</v>
      </c>
      <c r="IL14" s="3">
        <v>3.68E-4</v>
      </c>
      <c r="IM14" s="3">
        <v>2.748E-3</v>
      </c>
      <c r="IN14" s="3">
        <v>5.8799999999999998E-4</v>
      </c>
      <c r="IO14" s="3">
        <v>8.1300000000000003E-4</v>
      </c>
      <c r="IP14" s="3">
        <v>1.3200000000000001E-4</v>
      </c>
      <c r="IQ14" s="3">
        <v>2.33E-4</v>
      </c>
      <c r="IR14" s="3">
        <v>1.3899999999999999E-4</v>
      </c>
      <c r="IS14" s="3">
        <v>7.7200000000000001E-4</v>
      </c>
      <c r="IT14" s="3">
        <v>2.6899999999999998E-4</v>
      </c>
      <c r="IU14" s="3">
        <v>4.6099999999999998E-4</v>
      </c>
      <c r="IV14" s="3">
        <v>2.5000000000000001E-4</v>
      </c>
      <c r="IW14" s="3">
        <v>4.3399999999999998E-4</v>
      </c>
      <c r="IX14" s="3">
        <v>1.1900000000000001E-4</v>
      </c>
      <c r="IY14" s="3">
        <v>3.5100000000000002E-4</v>
      </c>
      <c r="IZ14" s="3">
        <v>2.1699999999999999E-4</v>
      </c>
      <c r="JA14" s="157">
        <f t="shared" si="137"/>
        <v>0.33551200000000003</v>
      </c>
      <c r="JB14" s="157">
        <f t="shared" si="138"/>
        <v>3.5510206983344942E-3</v>
      </c>
      <c r="JC14" s="157">
        <f t="shared" si="139"/>
        <v>3.3729999999999997E-3</v>
      </c>
      <c r="JD14" s="157">
        <f t="shared" si="140"/>
        <v>4.4693735578937686E-4</v>
      </c>
      <c r="JE14" s="157">
        <f t="shared" si="141"/>
        <v>3.6600000000000001E-4</v>
      </c>
      <c r="JF14" s="157">
        <f t="shared" si="142"/>
        <v>2.1270166901084722E-4</v>
      </c>
      <c r="JG14" s="157">
        <f t="shared" si="143"/>
        <v>0.18378700000000001</v>
      </c>
      <c r="JH14" s="157">
        <f t="shared" si="144"/>
        <v>2.8148827684292641E-3</v>
      </c>
      <c r="JI14" s="157">
        <f t="shared" si="145"/>
        <v>4.9570000000000005E-3</v>
      </c>
      <c r="JJ14" s="157">
        <f t="shared" si="146"/>
        <v>5.0258929554856219E-4</v>
      </c>
      <c r="JK14" s="157">
        <f t="shared" si="147"/>
        <v>2.7660000000000002E-3</v>
      </c>
      <c r="JL14" s="157">
        <f t="shared" si="148"/>
        <v>4.020161688290659E-4</v>
      </c>
      <c r="JM14" s="157">
        <f t="shared" si="149"/>
        <v>3.6700000000000001E-3</v>
      </c>
      <c r="JN14" s="157">
        <f t="shared" si="150"/>
        <v>4.2721540234406344E-4</v>
      </c>
      <c r="JO14" s="157">
        <f t="shared" si="151"/>
        <v>0.33533939498011001</v>
      </c>
      <c r="JP14" s="157">
        <f t="shared" si="152"/>
        <v>3.5524371985936796E-3</v>
      </c>
      <c r="JQ14" s="157">
        <f t="shared" si="153"/>
        <v>9.9665918105199978E-4</v>
      </c>
      <c r="JR14" s="157">
        <f t="shared" si="154"/>
        <v>1.4515359797551987E-3</v>
      </c>
      <c r="JS14" s="157">
        <f t="shared" si="155"/>
        <v>0.18187964200795601</v>
      </c>
      <c r="JT14" s="157">
        <f t="shared" si="156"/>
        <v>3.025270217397011E-3</v>
      </c>
      <c r="JU14" s="157">
        <f t="shared" si="157"/>
        <v>2.5395627477100002E-3</v>
      </c>
      <c r="JV14" s="157">
        <f t="shared" si="158"/>
        <v>1.4920913059995699E-3</v>
      </c>
      <c r="JW14" s="157">
        <f t="shared" si="159"/>
        <v>1.8239247027480002E-3</v>
      </c>
      <c r="JX14" s="157">
        <f t="shared" si="160"/>
        <v>6.7923578173053191E-4</v>
      </c>
      <c r="JY14" s="157">
        <f t="shared" si="161"/>
        <v>2.8736961691180002E-3</v>
      </c>
      <c r="JZ14" s="157">
        <f t="shared" si="162"/>
        <v>6.2981937569163947E-4</v>
      </c>
      <c r="KA14" s="3">
        <v>1.7696448643015688E-12</v>
      </c>
      <c r="KB14" s="3">
        <v>3.8892524257744769E-14</v>
      </c>
      <c r="KC14" s="5">
        <v>1</v>
      </c>
      <c r="KD14" s="5">
        <v>0</v>
      </c>
      <c r="KE14" s="157">
        <f t="shared" si="163"/>
        <v>5.9343163812454697E-13</v>
      </c>
      <c r="KF14" s="157">
        <f t="shared" si="164"/>
        <v>1.4478245887684867E-14</v>
      </c>
      <c r="KG14" s="157">
        <f t="shared" si="165"/>
        <v>2.6475981271162457E-17</v>
      </c>
      <c r="KH14" s="157">
        <f t="shared" si="166"/>
        <v>6.459476415537786E-19</v>
      </c>
      <c r="KI14" s="6">
        <v>1.2430056234832578</v>
      </c>
      <c r="KJ14" s="6">
        <v>0.11113867994607306</v>
      </c>
      <c r="KK14" s="157">
        <f t="shared" si="167"/>
        <v>3.1679612376722019E-13</v>
      </c>
      <c r="KL14" s="157">
        <f t="shared" si="260"/>
        <v>4.0900301250726568E-14</v>
      </c>
      <c r="KM14" s="494">
        <f t="shared" si="168"/>
        <v>39.031896785065236</v>
      </c>
      <c r="KN14" s="494">
        <f t="shared" ref="KN14:KN30" si="281">KM14*SQRT(I_moleerr/I_mole)^2+(MVerr/MV)^2+(Sample_Masserr/Sample_Mass)</f>
        <v>5.0442546408477424</v>
      </c>
      <c r="KO14" s="4">
        <v>20.162258156415799</v>
      </c>
      <c r="KP14" s="4">
        <v>0.66285498057307002</v>
      </c>
      <c r="KQ14" s="229">
        <f t="shared" si="170"/>
        <v>15572.528425208273</v>
      </c>
      <c r="KR14" s="229">
        <f t="shared" si="171"/>
        <v>638.78894690394588</v>
      </c>
      <c r="KS14" s="364">
        <f t="shared" si="172"/>
        <v>34.940256834086057</v>
      </c>
      <c r="KT14" s="364">
        <f t="shared" si="173"/>
        <v>1.8264971286060125</v>
      </c>
      <c r="KU14" s="147">
        <f t="shared" si="174"/>
        <v>0.1812165297364112</v>
      </c>
      <c r="KV14" s="147">
        <f t="shared" si="175"/>
        <v>3.0354523634402047E-3</v>
      </c>
      <c r="KW14" s="157">
        <f t="shared" si="176"/>
        <v>3.2068890117459257E-13</v>
      </c>
      <c r="KX14" s="157">
        <f t="shared" si="177"/>
        <v>8.8616434311335603E-15</v>
      </c>
      <c r="KY14" s="157">
        <f t="shared" si="178"/>
        <v>1.4307550854890919E-17</v>
      </c>
      <c r="KZ14" s="157">
        <f t="shared" si="179"/>
        <v>3.9536265088187127E-19</v>
      </c>
      <c r="LA14" s="6">
        <v>1.2485542932379501</v>
      </c>
      <c r="LB14" s="6">
        <v>5.9627651953476503E-2</v>
      </c>
      <c r="LC14" s="157">
        <f t="shared" si="180"/>
        <v>1.2019432449610205E-10</v>
      </c>
      <c r="LD14" s="157">
        <f t="shared" si="181"/>
        <v>1.3720244660798776E-11</v>
      </c>
      <c r="LE14" s="159">
        <f t="shared" si="182"/>
        <v>16.025170873860393</v>
      </c>
      <c r="LF14" s="159">
        <f t="shared" si="183"/>
        <v>1.8342815908095729</v>
      </c>
      <c r="LG14" s="471"/>
      <c r="LH14" s="471"/>
      <c r="LM14" s="157">
        <f t="shared" si="184"/>
        <v>3.2276989830907639E-15</v>
      </c>
      <c r="LN14" s="157">
        <f t="shared" si="185"/>
        <v>1.2040974870097752E-15</v>
      </c>
      <c r="LO14" s="157">
        <f t="shared" si="186"/>
        <v>1.4400394642815778E-19</v>
      </c>
      <c r="LP14" s="157">
        <f t="shared" si="187"/>
        <v>5.3720867690024225E-20</v>
      </c>
      <c r="LQ14" s="157">
        <f t="shared" si="188"/>
        <v>3.6656226396212404E-14</v>
      </c>
      <c r="LR14" s="157">
        <f t="shared" si="189"/>
        <v>1.4063954024863989E-14</v>
      </c>
      <c r="LS14" s="147">
        <f t="shared" si="190"/>
        <v>8.4711083629161816</v>
      </c>
      <c r="LT14" s="147">
        <f t="shared" si="191"/>
        <v>3.2503999054797803</v>
      </c>
      <c r="LW14" s="214" t="str">
        <f t="shared" si="192"/>
        <v>44z1</v>
      </c>
      <c r="LX14" s="214" t="str">
        <f t="shared" si="193"/>
        <v>MN2022a</v>
      </c>
      <c r="LY14" s="212">
        <f t="shared" si="194"/>
        <v>28.139732908955033</v>
      </c>
      <c r="LZ14" s="212">
        <f t="shared" si="195"/>
        <v>3.5564766777488099</v>
      </c>
      <c r="MA14" s="212">
        <f t="shared" si="196"/>
        <v>544.10814273288281</v>
      </c>
      <c r="MB14" s="212">
        <f t="shared" si="197"/>
        <v>17.631124699270035</v>
      </c>
      <c r="MC14" s="212">
        <f t="shared" si="198"/>
        <v>16587.972694882428</v>
      </c>
      <c r="MD14" s="212">
        <f t="shared" si="199"/>
        <v>1258.6445631810689</v>
      </c>
      <c r="ME14" s="212">
        <f t="shared" si="200"/>
        <v>660.58429708065341</v>
      </c>
      <c r="MF14" s="212">
        <f t="shared" si="201"/>
        <v>63.169367552848804</v>
      </c>
      <c r="MG14" s="212">
        <f t="shared" si="202"/>
        <v>816.17981961736177</v>
      </c>
      <c r="MH14" s="212">
        <f t="shared" si="203"/>
        <v>78.768511302949193</v>
      </c>
      <c r="MI14" s="212">
        <f t="shared" si="204"/>
        <v>567.98325009140308</v>
      </c>
      <c r="MJ14" s="212">
        <f t="shared" si="205"/>
        <v>20.265001749191516</v>
      </c>
      <c r="MK14" s="212">
        <f t="shared" si="206"/>
        <v>562.24977384881527</v>
      </c>
      <c r="ML14" s="212">
        <f t="shared" si="207"/>
        <v>20.940739464298716</v>
      </c>
      <c r="MM14" s="212">
        <f t="shared" si="261"/>
        <v>39.031896785065236</v>
      </c>
      <c r="MN14" s="212">
        <f t="shared" si="208"/>
        <v>5.0442546408477424</v>
      </c>
      <c r="MO14" s="212">
        <f t="shared" si="209"/>
        <v>34.940256834086057</v>
      </c>
      <c r="MP14" s="212">
        <f t="shared" si="210"/>
        <v>1.8264971286060125</v>
      </c>
      <c r="MQ14" s="211"/>
      <c r="MR14" s="211"/>
      <c r="MS14" s="211"/>
      <c r="MT14" s="211"/>
      <c r="MU14" s="506">
        <f t="shared" si="273"/>
        <v>5.1717169251719097E-2</v>
      </c>
      <c r="MV14" s="506">
        <f t="shared" si="274"/>
        <v>7.5863422685045539E-3</v>
      </c>
      <c r="MW14" s="109">
        <f t="shared" si="211"/>
        <v>1.0438793421443818E-3</v>
      </c>
      <c r="MX14" s="109">
        <f t="shared" si="212"/>
        <v>5.0312196968703475E-5</v>
      </c>
      <c r="MY14" s="109">
        <f t="shared" si="213"/>
        <v>1.033341958502611E-3</v>
      </c>
      <c r="MZ14" s="109">
        <f t="shared" si="214"/>
        <v>5.1013583337213312E-5</v>
      </c>
      <c r="NA14" s="513">
        <f t="shared" si="215"/>
        <v>7.173554982842269E-5</v>
      </c>
      <c r="NB14" s="513">
        <f t="shared" si="216"/>
        <v>9.5576604623852508E-6</v>
      </c>
      <c r="NC14" s="506">
        <f t="shared" si="275"/>
        <v>4.6895358659614285E-2</v>
      </c>
      <c r="ND14" s="506">
        <f t="shared" si="276"/>
        <v>6.9472915310323635E-3</v>
      </c>
      <c r="NE14" s="109">
        <f t="shared" si="217"/>
        <v>4.6316397573394042E-4</v>
      </c>
      <c r="NF14" s="109">
        <f t="shared" si="218"/>
        <v>2.2081716156928655E-5</v>
      </c>
      <c r="NG14" s="513">
        <f t="shared" si="219"/>
        <v>4.5848859199530771E-4</v>
      </c>
      <c r="NH14" s="513">
        <f t="shared" si="220"/>
        <v>2.1858813465764885E-5</v>
      </c>
      <c r="NI14" s="109">
        <f t="shared" si="221"/>
        <v>2.0040589965562837E-5</v>
      </c>
      <c r="NJ14" s="109">
        <f t="shared" si="221"/>
        <v>2.6701008748781212E-6</v>
      </c>
      <c r="NK14" s="621">
        <f t="shared" si="222"/>
        <v>1.5541791736991808E-9</v>
      </c>
      <c r="NL14" s="621">
        <f t="shared" si="223"/>
        <v>2.6035661239391964E-10</v>
      </c>
      <c r="NM14" s="621">
        <f t="shared" si="224"/>
        <v>9.456270796835484E-10</v>
      </c>
      <c r="NN14" s="621">
        <f t="shared" si="225"/>
        <v>1.191874576412148E-10</v>
      </c>
      <c r="NO14" s="621">
        <f t="shared" si="226"/>
        <v>6.0771419274437133E-7</v>
      </c>
      <c r="NP14" s="621">
        <f t="shared" si="227"/>
        <v>3.52209777510651E-9</v>
      </c>
      <c r="NQ14" s="621">
        <f t="shared" si="228"/>
        <v>1.4845424691626342E-7</v>
      </c>
      <c r="NR14" s="621">
        <f t="shared" si="229"/>
        <v>7.6902232457471633E-8</v>
      </c>
      <c r="NS14" s="621">
        <f t="shared" si="230"/>
        <v>5.970038728926908E-7</v>
      </c>
      <c r="NT14" s="621">
        <f t="shared" si="231"/>
        <v>2.2343092438455828E-9</v>
      </c>
      <c r="NU14" s="621">
        <f t="shared" si="232"/>
        <v>4.9035651532195136E-11</v>
      </c>
      <c r="NV14" s="621">
        <f t="shared" si="233"/>
        <v>8.779015427265031E-12</v>
      </c>
      <c r="NW14" s="621">
        <f t="shared" si="234"/>
        <v>6.2882526246055741E-13</v>
      </c>
      <c r="NX14" s="621">
        <f t="shared" si="235"/>
        <v>3.6571786316785632E-13</v>
      </c>
      <c r="NY14" s="621">
        <f t="shared" si="236"/>
        <v>8.5166306721775509E-12</v>
      </c>
      <c r="NZ14" s="621">
        <f t="shared" si="237"/>
        <v>8.845786142467347E-13</v>
      </c>
      <c r="OA14" s="622">
        <f t="shared" si="262"/>
        <v>391.01939018904744</v>
      </c>
      <c r="OB14" s="622">
        <f t="shared" si="238"/>
        <v>65.46969498551924</v>
      </c>
      <c r="OC14" s="622">
        <f t="shared" si="239"/>
        <v>384.12808702855767</v>
      </c>
      <c r="OD14" s="622">
        <f t="shared" si="263"/>
        <v>64.365321685529423</v>
      </c>
      <c r="OE14" s="621">
        <f t="shared" si="264"/>
        <v>3.1550835554875499E-2</v>
      </c>
      <c r="OF14" s="621">
        <f t="shared" si="265"/>
        <v>7.7325936549368871E-3</v>
      </c>
      <c r="OG14" s="621">
        <f t="shared" si="266"/>
        <v>4.0460281098984131E-4</v>
      </c>
      <c r="OH14" s="621">
        <f t="shared" si="267"/>
        <v>2.4487959367386374E-4</v>
      </c>
      <c r="OI14" s="621">
        <f t="shared" si="268"/>
        <v>5.4798255029416499E-3</v>
      </c>
      <c r="OJ14" s="621">
        <f t="shared" si="269"/>
        <v>1.0801091944588127E-3</v>
      </c>
      <c r="OK14" s="621">
        <f t="shared" si="240"/>
        <v>1.556039156191497E-3</v>
      </c>
      <c r="OL14" s="621">
        <f t="shared" si="241"/>
        <v>1.9594431430058589E-4</v>
      </c>
      <c r="OM14" s="621">
        <f t="shared" si="242"/>
        <v>2.5574179314139041E-3</v>
      </c>
      <c r="ON14" s="621">
        <f t="shared" si="243"/>
        <v>4.2819710766572552E-4</v>
      </c>
      <c r="OO14" s="621">
        <f t="shared" si="244"/>
        <v>0.60844148196427905</v>
      </c>
      <c r="OP14" s="621">
        <f t="shared" si="245"/>
        <v>0.10187340894138204</v>
      </c>
      <c r="OQ14" s="621">
        <f t="shared" si="246"/>
        <v>4.8310147194830849E-3</v>
      </c>
      <c r="OR14" s="621">
        <f t="shared" si="247"/>
        <v>9.242109821544593E-6</v>
      </c>
    </row>
    <row r="15" spans="2:408" s="657" customFormat="1">
      <c r="B15" s="630" t="s">
        <v>955</v>
      </c>
      <c r="C15" s="631">
        <v>1.24E-3</v>
      </c>
      <c r="D15" s="632">
        <f t="shared" ref="D15:D17" si="282">C15*0.5%</f>
        <v>6.1999999999999999E-6</v>
      </c>
      <c r="E15" s="633">
        <v>45110</v>
      </c>
      <c r="F15" s="631" t="s">
        <v>210</v>
      </c>
      <c r="G15" s="631" t="s">
        <v>893</v>
      </c>
      <c r="H15" s="631">
        <v>2</v>
      </c>
      <c r="I15" s="631"/>
      <c r="J15" s="634">
        <v>44644</v>
      </c>
      <c r="K15" s="633" t="s">
        <v>823</v>
      </c>
      <c r="L15" s="631" t="s">
        <v>949</v>
      </c>
      <c r="M15" s="631" t="s">
        <v>951</v>
      </c>
      <c r="N15" s="631">
        <v>180</v>
      </c>
      <c r="O15" s="635">
        <v>497.14694400000002</v>
      </c>
      <c r="P15" s="635">
        <v>0.65161400000000003</v>
      </c>
      <c r="Q15" s="635">
        <v>1.100085</v>
      </c>
      <c r="R15" s="635">
        <v>9.7777000000000003E-2</v>
      </c>
      <c r="S15" s="635">
        <v>307.12229300000001</v>
      </c>
      <c r="T15" s="635">
        <v>0.92280600000000002</v>
      </c>
      <c r="U15" s="635">
        <v>5.2893999999999997E-2</v>
      </c>
      <c r="V15" s="635">
        <v>4.4595000000000003E-2</v>
      </c>
      <c r="W15" s="635">
        <v>2.121489</v>
      </c>
      <c r="X15" s="635">
        <v>0.137017</v>
      </c>
      <c r="Y15" s="635">
        <v>90.529656000000003</v>
      </c>
      <c r="Z15" s="635">
        <v>0.42074400000000001</v>
      </c>
      <c r="AA15" s="635">
        <v>0.22012399999999999</v>
      </c>
      <c r="AB15" s="635">
        <v>3.9662999999999997E-2</v>
      </c>
      <c r="AC15" s="635">
        <v>0.28015099999999998</v>
      </c>
      <c r="AD15" s="635">
        <v>4.8180000000000001E-2</v>
      </c>
      <c r="AE15" s="635">
        <v>4.8708000000000001E-2</v>
      </c>
      <c r="AF15" s="635">
        <v>3.5672000000000002E-2</v>
      </c>
      <c r="AG15" s="635">
        <v>0.42505599999999999</v>
      </c>
      <c r="AH15" s="635">
        <v>5.4821000000000002E-2</v>
      </c>
      <c r="AI15" s="637">
        <f t="shared" si="1"/>
        <v>406.61728800000003</v>
      </c>
      <c r="AJ15" s="637">
        <f t="shared" si="2"/>
        <v>0.77564574293423416</v>
      </c>
      <c r="AK15" s="637">
        <f t="shared" si="3"/>
        <v>0.87996099999999999</v>
      </c>
      <c r="AL15" s="637">
        <f t="shared" si="4"/>
        <v>0.10551537943826009</v>
      </c>
      <c r="AM15" s="637">
        <f t="shared" si="5"/>
        <v>306.84214200000002</v>
      </c>
      <c r="AN15" s="637">
        <f t="shared" si="6"/>
        <v>0.9240628907363394</v>
      </c>
      <c r="AO15" s="637">
        <f t="shared" si="7"/>
        <v>4.1859999999999953E-3</v>
      </c>
      <c r="AP15" s="637">
        <f t="shared" si="8"/>
        <v>5.7106966378892864E-2</v>
      </c>
      <c r="AQ15" s="637">
        <f t="shared" si="9"/>
        <v>1.6964329999999999</v>
      </c>
      <c r="AR15" s="637">
        <f t="shared" si="10"/>
        <v>0.14757709961237211</v>
      </c>
      <c r="AS15" s="638">
        <v>304.12046242532102</v>
      </c>
      <c r="AT15" s="638">
        <v>0.91447361557367601</v>
      </c>
      <c r="AU15" s="639">
        <f t="shared" si="11"/>
        <v>0.88637865713726549</v>
      </c>
      <c r="AV15" s="639">
        <f t="shared" si="12"/>
        <v>0.10551818753718646</v>
      </c>
      <c r="AW15" s="639">
        <f t="shared" si="13"/>
        <v>311.31781231407109</v>
      </c>
      <c r="AX15" s="639">
        <f t="shared" si="14"/>
        <v>0.92411494722570997</v>
      </c>
      <c r="AY15" s="639">
        <f t="shared" si="15"/>
        <v>4.2775869434324675E-3</v>
      </c>
      <c r="AZ15" s="639">
        <f t="shared" si="16"/>
        <v>5.7109666308855792E-2</v>
      </c>
      <c r="BA15" s="639">
        <f t="shared" si="17"/>
        <v>1.7459221266787632</v>
      </c>
      <c r="BB15" s="639">
        <f t="shared" si="18"/>
        <v>0.14758102959851255</v>
      </c>
      <c r="BC15" s="635"/>
      <c r="BD15" s="640"/>
      <c r="BE15" s="799">
        <v>2.3210000000000002</v>
      </c>
      <c r="BF15" s="637">
        <f t="shared" si="249"/>
        <v>0.11605000000000001</v>
      </c>
      <c r="BG15" s="637">
        <f t="shared" si="250"/>
        <v>1.6587972694882434</v>
      </c>
      <c r="BH15" s="637">
        <f t="shared" si="251"/>
        <v>8.2939863474412179E-2</v>
      </c>
      <c r="BI15" s="641">
        <f t="shared" si="19"/>
        <v>5.1320075203728088E-7</v>
      </c>
      <c r="BJ15" s="641">
        <f t="shared" si="252"/>
        <v>2.5660037601864046E-8</v>
      </c>
      <c r="BK15" s="639">
        <f t="shared" si="20"/>
        <v>216.73489280926051</v>
      </c>
      <c r="BL15" s="639">
        <f t="shared" si="253"/>
        <v>10.836744640463026</v>
      </c>
      <c r="BM15" s="639"/>
      <c r="BN15" s="639"/>
      <c r="BO15" s="642">
        <f t="shared" si="254"/>
        <v>406.5018675086269</v>
      </c>
      <c r="BP15" s="639">
        <f t="shared" si="255"/>
        <v>0.77576743280430605</v>
      </c>
      <c r="BQ15" s="642">
        <f t="shared" si="271"/>
        <v>0.88637865713726549</v>
      </c>
      <c r="BR15" s="639">
        <f t="shared" si="272"/>
        <v>0.10551818753718646</v>
      </c>
      <c r="BS15" s="642">
        <f t="shared" si="256"/>
        <v>311.31781231407109</v>
      </c>
      <c r="BT15" s="639">
        <f t="shared" si="257"/>
        <v>0.92411494722570997</v>
      </c>
      <c r="BU15" s="637">
        <f t="shared" si="258"/>
        <v>1.670318678846425</v>
      </c>
      <c r="BV15" s="637">
        <f t="shared" si="21"/>
        <v>0.14762943473666551</v>
      </c>
      <c r="BW15" s="631"/>
      <c r="BX15" s="637">
        <f t="shared" si="22"/>
        <v>1.3897687224393223</v>
      </c>
      <c r="BY15" s="637">
        <f t="shared" si="23"/>
        <v>0.14767560146808845</v>
      </c>
      <c r="BZ15" s="642">
        <f t="shared" si="24"/>
        <v>311.00379150602032</v>
      </c>
      <c r="CA15" s="637">
        <f t="shared" si="25"/>
        <v>0.12293561827727938</v>
      </c>
      <c r="CB15" s="642">
        <f t="shared" si="26"/>
        <v>-4.1747899721927979</v>
      </c>
      <c r="CC15" s="642">
        <f t="shared" si="27"/>
        <v>43.645035206496878</v>
      </c>
      <c r="CD15" s="643">
        <v>1.5903158759700325E-12</v>
      </c>
      <c r="CE15" s="643">
        <v>4.0102150310807229E-15</v>
      </c>
      <c r="CF15" s="641">
        <f t="shared" si="28"/>
        <v>2.2101712632218439E-12</v>
      </c>
      <c r="CG15" s="641">
        <f t="shared" si="29"/>
        <v>2.34916974158575E-13</v>
      </c>
      <c r="CH15" s="641">
        <f t="shared" si="30"/>
        <v>3.4467694091123024E-10</v>
      </c>
      <c r="CI15" s="644">
        <f t="shared" si="31"/>
        <v>1.7255750109446451E-11</v>
      </c>
      <c r="CJ15" s="641">
        <f t="shared" si="32"/>
        <v>4.9459426711889802E-10</v>
      </c>
      <c r="CK15" s="645">
        <f t="shared" si="33"/>
        <v>1.2624226158499103E-12</v>
      </c>
      <c r="CL15" s="641">
        <f t="shared" si="34"/>
        <v>1.4096220505663915E-12</v>
      </c>
      <c r="CM15" s="641">
        <f t="shared" si="35"/>
        <v>1.6784489186584805E-13</v>
      </c>
      <c r="CN15" s="641">
        <f t="shared" si="36"/>
        <v>6.4646637351043613E-10</v>
      </c>
      <c r="CO15" s="641">
        <f t="shared" si="37"/>
        <v>2.0443763476529955E-12</v>
      </c>
      <c r="CP15" s="641">
        <f t="shared" si="38"/>
        <v>2.2066347177660872E-14</v>
      </c>
      <c r="CQ15" s="641">
        <f t="shared" si="39"/>
        <v>5.6323047591588084E-17</v>
      </c>
      <c r="CR15" s="641">
        <f t="shared" si="40"/>
        <v>2.8842128558549179E-14</v>
      </c>
      <c r="CS15" s="641">
        <f t="shared" si="41"/>
        <v>9.1209951281104444E-17</v>
      </c>
      <c r="CT15" s="632">
        <v>4.8310147194830849E-3</v>
      </c>
      <c r="CU15" s="632">
        <v>9.242109821544593E-6</v>
      </c>
      <c r="CV15" s="643">
        <v>1.1611559367069784E+19</v>
      </c>
      <c r="CW15" s="646">
        <v>1.040942599512031E+18</v>
      </c>
      <c r="CX15" s="643">
        <v>8.6527210079182822E+17</v>
      </c>
      <c r="CY15" s="643">
        <v>8.9278178143800032E+16</v>
      </c>
      <c r="CZ15" s="635">
        <v>0.49865169925804054</v>
      </c>
      <c r="DA15" s="635">
        <v>2.7936431740382541E-2</v>
      </c>
      <c r="DB15" s="638">
        <v>24.337069265073254</v>
      </c>
      <c r="DC15" s="638">
        <v>0.74264427477540718</v>
      </c>
      <c r="DD15" s="641">
        <f t="shared" si="42"/>
        <v>1.0728645134268941E-9</v>
      </c>
      <c r="DE15" s="641">
        <f t="shared" si="43"/>
        <v>1.2813935545784186E-10</v>
      </c>
      <c r="DF15" s="637">
        <f t="shared" si="44"/>
        <v>33.828369842998981</v>
      </c>
      <c r="DG15" s="637">
        <f t="shared" si="45"/>
        <v>4.0438864087343065</v>
      </c>
      <c r="DH15" s="647">
        <f t="shared" si="46"/>
        <v>3.3828369842998983E-3</v>
      </c>
      <c r="DI15" s="648">
        <f t="shared" si="47"/>
        <v>4.0438864087343065E-4</v>
      </c>
      <c r="DJ15" s="641">
        <f t="shared" si="48"/>
        <v>1.7057990954422024E-8</v>
      </c>
      <c r="DK15" s="641">
        <f t="shared" si="49"/>
        <v>5.4610248955546718E-10</v>
      </c>
      <c r="DL15" s="637">
        <f t="shared" si="50"/>
        <v>487.70722040897101</v>
      </c>
      <c r="DM15" s="639">
        <f t="shared" si="51"/>
        <v>15.802964266918821</v>
      </c>
      <c r="DN15" s="647">
        <f t="shared" si="52"/>
        <v>4.8770722040897101E-2</v>
      </c>
      <c r="DO15" s="648">
        <f t="shared" si="53"/>
        <v>1.580296426691882E-3</v>
      </c>
      <c r="DP15" s="641">
        <f t="shared" si="54"/>
        <v>5.1320075203728077E-7</v>
      </c>
      <c r="DQ15" s="641">
        <f t="shared" si="55"/>
        <v>3.8855430602316874E-8</v>
      </c>
      <c r="DR15" s="642">
        <f t="shared" si="56"/>
        <v>16587.972694882428</v>
      </c>
      <c r="DS15" s="642">
        <f t="shared" si="57"/>
        <v>1258.6445631810686</v>
      </c>
      <c r="DT15" s="637">
        <f t="shared" si="58"/>
        <v>1.6587972694882429</v>
      </c>
      <c r="DU15" s="637">
        <f t="shared" si="59"/>
        <v>0.12586445631810686</v>
      </c>
      <c r="DV15" s="639">
        <f t="shared" si="60"/>
        <v>6.2895127350783966E-2</v>
      </c>
      <c r="DW15" s="639">
        <f t="shared" si="61"/>
        <v>8.5369101209706345E-3</v>
      </c>
      <c r="DX15" s="639">
        <f t="shared" si="62"/>
        <v>2.0905357390219826E-3</v>
      </c>
      <c r="DY15" s="639">
        <f t="shared" si="63"/>
        <v>5.9819862543613826E-3</v>
      </c>
      <c r="DZ15" s="639">
        <f t="shared" si="64"/>
        <v>6.9362044331908637E-2</v>
      </c>
      <c r="EA15" s="639">
        <f t="shared" si="65"/>
        <v>9.3415532395012251E-3</v>
      </c>
      <c r="EB15" s="639">
        <f t="shared" si="66"/>
        <v>2.0393311747755292E-3</v>
      </c>
      <c r="EC15" s="639">
        <f t="shared" si="67"/>
        <v>6.0010938511439842E-3</v>
      </c>
      <c r="ED15" s="641">
        <f t="shared" si="68"/>
        <v>1.6908279899792243E-6</v>
      </c>
      <c r="EE15" s="641">
        <f t="shared" si="69"/>
        <v>5.4394406529243345E-8</v>
      </c>
      <c r="EF15" s="637">
        <f t="shared" si="70"/>
        <v>-4.7099396387499954</v>
      </c>
      <c r="EG15" s="637">
        <f t="shared" si="71"/>
        <v>-49.242910277222826</v>
      </c>
      <c r="EH15" s="641">
        <f t="shared" si="72"/>
        <v>2.6883290664934931E-5</v>
      </c>
      <c r="EI15" s="641">
        <f t="shared" si="73"/>
        <v>3.2119757809464481E-6</v>
      </c>
      <c r="EJ15" s="642" t="str">
        <f t="shared" si="74"/>
        <v/>
      </c>
      <c r="EK15" s="642" t="str">
        <f t="shared" si="75"/>
        <v/>
      </c>
      <c r="EL15" s="642" t="str">
        <f t="shared" si="76"/>
        <v/>
      </c>
      <c r="EM15" s="639" t="str">
        <f t="shared" si="77"/>
        <v/>
      </c>
      <c r="EN15" s="639" t="str">
        <f t="shared" si="78"/>
        <v/>
      </c>
      <c r="EO15" s="639" t="str">
        <f t="shared" si="79"/>
        <v/>
      </c>
      <c r="EP15" s="649">
        <f t="shared" si="259"/>
        <v>0.66709549667839951</v>
      </c>
      <c r="EQ15" s="642" t="str">
        <f t="shared" si="280"/>
        <v/>
      </c>
      <c r="ER15" s="642" t="str">
        <f t="shared" si="280"/>
        <v/>
      </c>
      <c r="ES15" s="637">
        <f t="shared" si="81"/>
        <v>0.63778860671255688</v>
      </c>
      <c r="ET15" s="637">
        <f t="shared" si="82"/>
        <v>6.7781785181662044E-2</v>
      </c>
      <c r="EU15" s="642">
        <f t="shared" si="83"/>
        <v>292.49605416010138</v>
      </c>
      <c r="EV15" s="642">
        <f t="shared" si="84"/>
        <v>31.085385503756825</v>
      </c>
      <c r="EW15" s="641">
        <f t="shared" si="85"/>
        <v>2.1805032842031275E-3</v>
      </c>
      <c r="EX15" s="641">
        <f t="shared" si="86"/>
        <v>2.5960949712397485E-4</v>
      </c>
      <c r="EY15" s="641">
        <f t="shared" si="87"/>
        <v>3.418849539257844E-3</v>
      </c>
      <c r="EZ15" s="641">
        <f t="shared" si="88"/>
        <v>3.63342528542282E-4</v>
      </c>
      <c r="FA15" s="632">
        <v>7.117521</v>
      </c>
      <c r="FB15" s="632">
        <v>4.7427999999999998E-2</v>
      </c>
      <c r="FC15" s="632">
        <v>2.0468479999999998</v>
      </c>
      <c r="FD15" s="632">
        <v>2.0579E-2</v>
      </c>
      <c r="FE15" s="632">
        <v>3.9528000000000001E-2</v>
      </c>
      <c r="FF15" s="632">
        <v>9.77E-4</v>
      </c>
      <c r="FG15" s="631"/>
      <c r="FH15" s="631"/>
      <c r="FI15" s="632">
        <v>2.9626E-2</v>
      </c>
      <c r="FJ15" s="632">
        <v>1.7290000000000001E-3</v>
      </c>
      <c r="FK15" s="632">
        <v>8.8030000000000001E-3</v>
      </c>
      <c r="FL15" s="632">
        <v>1.5690000000000001E-3</v>
      </c>
      <c r="FM15" s="632">
        <v>6.79E-3</v>
      </c>
      <c r="FN15" s="632">
        <v>5.2099999999999998E-4</v>
      </c>
      <c r="FO15" s="631"/>
      <c r="FP15" s="631"/>
      <c r="FQ15" s="647">
        <f t="shared" si="89"/>
        <v>7.0878949999999996</v>
      </c>
      <c r="FR15" s="647">
        <f t="shared" si="90"/>
        <v>4.7459505106985683E-2</v>
      </c>
      <c r="FS15" s="647">
        <f t="shared" si="91"/>
        <v>2.0380449999999999</v>
      </c>
      <c r="FT15" s="647">
        <f t="shared" si="92"/>
        <v>2.9103100900075923E-2</v>
      </c>
      <c r="FU15" s="647">
        <f t="shared" si="93"/>
        <v>3.2738000000000003E-2</v>
      </c>
      <c r="FV15" s="647">
        <f t="shared" si="94"/>
        <v>1.1072352956801911E-3</v>
      </c>
      <c r="FW15" s="647">
        <f t="shared" si="95"/>
        <v>0</v>
      </c>
      <c r="FX15" s="647">
        <f t="shared" si="96"/>
        <v>0</v>
      </c>
      <c r="FY15" s="647">
        <f t="shared" si="97"/>
        <v>3.2252268844227341E-2</v>
      </c>
      <c r="FZ15" s="647">
        <f t="shared" si="98"/>
        <v>4.756826993834503E-3</v>
      </c>
      <c r="GA15" s="647">
        <f t="shared" si="99"/>
        <v>7.0866178101537685</v>
      </c>
      <c r="GB15" s="647">
        <f t="shared" si="100"/>
        <v>4.7459878933562037E-2</v>
      </c>
      <c r="GC15" s="647">
        <f t="shared" si="101"/>
        <v>2.0315235912396972</v>
      </c>
      <c r="GD15" s="647">
        <f t="shared" si="102"/>
        <v>2.9118990362876337E-2</v>
      </c>
      <c r="GE15" s="647">
        <f t="shared" si="103"/>
        <v>-9.8433924512581848E-3</v>
      </c>
      <c r="GF15" s="647">
        <f t="shared" si="104"/>
        <v>1.4517835985182904E-3</v>
      </c>
      <c r="GG15" s="643">
        <v>1.7782159136499011E-12</v>
      </c>
      <c r="GH15" s="643">
        <v>7.5535622364420377E-15</v>
      </c>
      <c r="GI15" s="635">
        <v>1</v>
      </c>
      <c r="GJ15" s="635">
        <v>5.0000000000000001E-3</v>
      </c>
      <c r="GK15" s="641">
        <f t="shared" si="105"/>
        <v>1.2601536563970246E-11</v>
      </c>
      <c r="GL15" s="641">
        <f t="shared" si="106"/>
        <v>1.1814261151209852E-13</v>
      </c>
      <c r="GM15" s="641">
        <f t="shared" si="107"/>
        <v>3.6124875788976265E-12</v>
      </c>
      <c r="GN15" s="641">
        <f t="shared" si="108"/>
        <v>5.6946300391707958E-14</v>
      </c>
      <c r="GO15" s="641">
        <f t="shared" si="109"/>
        <v>5.7351497710119957E-14</v>
      </c>
      <c r="GP15" s="641">
        <f t="shared" si="110"/>
        <v>8.4670302747547351E-15</v>
      </c>
      <c r="GQ15" s="641">
        <f t="shared" si="111"/>
        <v>-1.7503677101128612E-14</v>
      </c>
      <c r="GR15" s="641">
        <f t="shared" si="112"/>
        <v>-2.5841376398551461E-15</v>
      </c>
      <c r="GS15" s="641">
        <f t="shared" si="113"/>
        <v>5.6221816401626119E-16</v>
      </c>
      <c r="GT15" s="641">
        <f t="shared" si="114"/>
        <v>5.2709383436171323E-18</v>
      </c>
      <c r="GU15" s="641">
        <f t="shared" si="115"/>
        <v>1.6117130826302046E-16</v>
      </c>
      <c r="GV15" s="641">
        <f t="shared" si="116"/>
        <v>2.5406619512539924E-18</v>
      </c>
      <c r="GW15" s="641">
        <f t="shared" si="117"/>
        <v>2.5587398475164702E-18</v>
      </c>
      <c r="GX15" s="641">
        <f t="shared" si="118"/>
        <v>3.7775696571717551E-19</v>
      </c>
      <c r="GY15" s="637">
        <f t="shared" si="119"/>
        <v>3.4883266139327969</v>
      </c>
      <c r="GZ15" s="637">
        <f t="shared" si="120"/>
        <v>3.2952444979647486E-2</v>
      </c>
      <c r="HA15" s="638">
        <v>26.169770272470501</v>
      </c>
      <c r="HB15" s="638">
        <v>0.31897682079735301</v>
      </c>
      <c r="HC15" s="650">
        <f t="shared" si="121"/>
        <v>1027.1301664584078</v>
      </c>
      <c r="HD15" s="650">
        <f t="shared" si="122"/>
        <v>16.010584278229796</v>
      </c>
      <c r="HE15" s="651">
        <f t="shared" si="123"/>
        <v>7.3686319577575565E-12</v>
      </c>
      <c r="HF15" s="652">
        <f t="shared" si="124"/>
        <v>2.6237939571580603E-13</v>
      </c>
      <c r="HG15" s="653">
        <f t="shared" si="125"/>
        <v>474.82513544569332</v>
      </c>
      <c r="HH15" s="653">
        <f t="shared" si="126"/>
        <v>17.073262915223424</v>
      </c>
      <c r="HI15" s="638">
        <v>7.5091582159801398</v>
      </c>
      <c r="HJ15" s="638">
        <v>0.114829942558394</v>
      </c>
      <c r="HK15" s="650">
        <f t="shared" si="127"/>
        <v>1028.0967126939979</v>
      </c>
      <c r="HL15" s="650">
        <f t="shared" si="128"/>
        <v>22.731289545030481</v>
      </c>
      <c r="HM15" s="651">
        <f t="shared" si="129"/>
        <v>7.3617044738036805E-12</v>
      </c>
      <c r="HN15" s="652">
        <f t="shared" si="130"/>
        <v>2.6213272454752556E-13</v>
      </c>
      <c r="HO15" s="653">
        <f t="shared" si="131"/>
        <v>474.3787373183946</v>
      </c>
      <c r="HP15" s="653">
        <f t="shared" si="132"/>
        <v>18.608598441605153</v>
      </c>
      <c r="HQ15" s="635">
        <v>1.11613116912226</v>
      </c>
      <c r="HR15" s="635">
        <v>3.5153924948669403E-2</v>
      </c>
      <c r="HS15" s="635">
        <f t="shared" si="133"/>
        <v>552.23816597433643</v>
      </c>
      <c r="HT15" s="635">
        <f t="shared" si="134"/>
        <v>52.866523639556419</v>
      </c>
      <c r="HU15" s="635">
        <v>1.11613116912226</v>
      </c>
      <c r="HV15" s="635">
        <v>3.5153924948669403E-2</v>
      </c>
      <c r="HW15" s="635">
        <f t="shared" si="135"/>
        <v>688.62340237943511</v>
      </c>
      <c r="HX15" s="635">
        <f t="shared" si="136"/>
        <v>66.997489894333413</v>
      </c>
      <c r="HY15" s="643">
        <v>0.35031699999999999</v>
      </c>
      <c r="HZ15" s="643">
        <v>7.2909999999999997E-3</v>
      </c>
      <c r="IA15" s="643">
        <v>4.2069999999999998E-3</v>
      </c>
      <c r="IB15" s="643">
        <v>6.7699999999999998E-4</v>
      </c>
      <c r="IC15" s="643">
        <v>6.8800000000000003E-4</v>
      </c>
      <c r="ID15" s="643">
        <v>1.73E-4</v>
      </c>
      <c r="IE15" s="643">
        <v>0.17575299999999999</v>
      </c>
      <c r="IF15" s="643">
        <v>3.2950000000000002E-3</v>
      </c>
      <c r="IG15" s="643">
        <v>5.0610000000000004E-3</v>
      </c>
      <c r="IH15" s="643">
        <v>5.6700000000000001E-4</v>
      </c>
      <c r="II15" s="643">
        <v>4.2339999999999999E-3</v>
      </c>
      <c r="IJ15" s="643">
        <v>4.28E-4</v>
      </c>
      <c r="IK15" s="643">
        <v>5.9810000000000002E-3</v>
      </c>
      <c r="IL15" s="643">
        <v>3.6200000000000002E-4</v>
      </c>
      <c r="IM15" s="643">
        <v>3.1870000000000002E-3</v>
      </c>
      <c r="IN15" s="643">
        <v>5.9500000000000004E-4</v>
      </c>
      <c r="IO15" s="643">
        <v>5.8100000000000003E-4</v>
      </c>
      <c r="IP15" s="643">
        <v>1.37E-4</v>
      </c>
      <c r="IQ15" s="643">
        <v>3.9399999999999998E-4</v>
      </c>
      <c r="IR15" s="643">
        <v>8.2999999999999998E-5</v>
      </c>
      <c r="IS15" s="643">
        <v>1.629E-3</v>
      </c>
      <c r="IT15" s="643">
        <v>4.5899999999999999E-4</v>
      </c>
      <c r="IU15" s="643">
        <v>4.7399999999999997E-4</v>
      </c>
      <c r="IV15" s="643">
        <v>2.4399999999999999E-4</v>
      </c>
      <c r="IW15" s="643">
        <v>3.9500000000000001E-4</v>
      </c>
      <c r="IX15" s="643">
        <v>7.3999999999999996E-5</v>
      </c>
      <c r="IY15" s="643">
        <v>4.5300000000000001E-4</v>
      </c>
      <c r="IZ15" s="643">
        <v>1.6000000000000001E-4</v>
      </c>
      <c r="JA15" s="641">
        <f t="shared" si="137"/>
        <v>0.34712999999999999</v>
      </c>
      <c r="JB15" s="641">
        <f t="shared" si="138"/>
        <v>7.3152379318789078E-3</v>
      </c>
      <c r="JC15" s="641">
        <f t="shared" si="139"/>
        <v>3.6259999999999999E-3</v>
      </c>
      <c r="JD15" s="641">
        <f t="shared" si="140"/>
        <v>6.9072280981592033E-4</v>
      </c>
      <c r="JE15" s="641">
        <f t="shared" si="141"/>
        <v>2.9400000000000004E-4</v>
      </c>
      <c r="JF15" s="641">
        <f t="shared" si="142"/>
        <v>1.918801709400948E-4</v>
      </c>
      <c r="JG15" s="641">
        <f t="shared" si="143"/>
        <v>0.174124</v>
      </c>
      <c r="JH15" s="641">
        <f t="shared" si="144"/>
        <v>3.3268161957042352E-3</v>
      </c>
      <c r="JI15" s="641">
        <f t="shared" si="145"/>
        <v>4.5870000000000008E-3</v>
      </c>
      <c r="JJ15" s="641">
        <f t="shared" si="146"/>
        <v>6.1727222519727877E-4</v>
      </c>
      <c r="JK15" s="641">
        <f t="shared" si="147"/>
        <v>3.839E-3</v>
      </c>
      <c r="JL15" s="641">
        <f t="shared" si="148"/>
        <v>4.3435008921375852E-4</v>
      </c>
      <c r="JM15" s="641">
        <f t="shared" si="149"/>
        <v>5.5279999999999999E-3</v>
      </c>
      <c r="JN15" s="641">
        <f t="shared" si="150"/>
        <v>3.9578276870020507E-4</v>
      </c>
      <c r="JO15" s="641">
        <f t="shared" si="151"/>
        <v>0.34699135006598997</v>
      </c>
      <c r="JP15" s="641">
        <f t="shared" si="152"/>
        <v>7.3157975990102604E-3</v>
      </c>
      <c r="JQ15" s="641">
        <f t="shared" si="153"/>
        <v>1.7171360634679995E-3</v>
      </c>
      <c r="JR15" s="641">
        <f t="shared" si="154"/>
        <v>1.4244939163382336E-3</v>
      </c>
      <c r="JS15" s="641">
        <f t="shared" si="155"/>
        <v>0.17259185997360399</v>
      </c>
      <c r="JT15" s="641">
        <f t="shared" si="156"/>
        <v>3.4738479443455345E-3</v>
      </c>
      <c r="JU15" s="641">
        <f t="shared" si="157"/>
        <v>2.6451241743900003E-3</v>
      </c>
      <c r="JV15" s="641">
        <f t="shared" si="158"/>
        <v>1.4097012540969049E-3</v>
      </c>
      <c r="JW15" s="641">
        <f t="shared" si="159"/>
        <v>3.0822509907319998E-3</v>
      </c>
      <c r="JX15" s="641">
        <f t="shared" si="160"/>
        <v>6.5771746862079998E-4</v>
      </c>
      <c r="JY15" s="641">
        <f t="shared" si="161"/>
        <v>4.8883461030619999E-3</v>
      </c>
      <c r="JZ15" s="641">
        <f t="shared" si="162"/>
        <v>5.7526276001844119E-4</v>
      </c>
      <c r="KA15" s="643">
        <v>1.7696448643015688E-12</v>
      </c>
      <c r="KB15" s="643">
        <v>3.8892524257744769E-14</v>
      </c>
      <c r="KC15" s="631">
        <v>1</v>
      </c>
      <c r="KD15" s="631">
        <v>0</v>
      </c>
      <c r="KE15" s="641">
        <f t="shared" si="163"/>
        <v>6.1405146060134699E-13</v>
      </c>
      <c r="KF15" s="641">
        <f t="shared" si="164"/>
        <v>1.8701158511547474E-14</v>
      </c>
      <c r="KG15" s="641">
        <f t="shared" si="165"/>
        <v>2.7395935649455773E-17</v>
      </c>
      <c r="KH15" s="641">
        <f t="shared" si="166"/>
        <v>8.3435309272580778E-19</v>
      </c>
      <c r="KI15" s="635">
        <v>1.2430056234832578</v>
      </c>
      <c r="KJ15" s="635">
        <v>0.11113867994607306</v>
      </c>
      <c r="KK15" s="641">
        <f t="shared" si="167"/>
        <v>3.2780376039081301E-13</v>
      </c>
      <c r="KL15" s="641">
        <f t="shared" si="260"/>
        <v>4.2741220276169049E-14</v>
      </c>
      <c r="KM15" s="573">
        <f t="shared" si="168"/>
        <v>33.548203476222525</v>
      </c>
      <c r="KN15" s="573">
        <f t="shared" si="281"/>
        <v>4.3792364423689634</v>
      </c>
      <c r="KO15" s="638">
        <v>20.162258156415799</v>
      </c>
      <c r="KP15" s="638">
        <v>0.66285498057307002</v>
      </c>
      <c r="KQ15" s="652">
        <f t="shared" si="170"/>
        <v>16239.904855154449</v>
      </c>
      <c r="KR15" s="652">
        <f t="shared" si="171"/>
        <v>728.96683800199753</v>
      </c>
      <c r="KS15" s="654">
        <f t="shared" si="172"/>
        <v>30.031408727999761</v>
      </c>
      <c r="KT15" s="654">
        <f t="shared" si="173"/>
        <v>1.6625587866993099</v>
      </c>
      <c r="KU15" s="637">
        <f t="shared" si="174"/>
        <v>0.17147126631485471</v>
      </c>
      <c r="KV15" s="637">
        <f t="shared" si="175"/>
        <v>3.4823671948896393E-3</v>
      </c>
      <c r="KW15" s="641">
        <f t="shared" si="176"/>
        <v>3.034432458093692E-13</v>
      </c>
      <c r="KX15" s="641">
        <f t="shared" si="177"/>
        <v>9.0803062419499751E-15</v>
      </c>
      <c r="KY15" s="641">
        <f t="shared" si="178"/>
        <v>1.3538135105670707E-17</v>
      </c>
      <c r="KZ15" s="641">
        <f t="shared" si="179"/>
        <v>4.0511830276394523E-19</v>
      </c>
      <c r="LA15" s="635">
        <v>1.2485542932379501</v>
      </c>
      <c r="LB15" s="635">
        <v>5.9627651953476503E-2</v>
      </c>
      <c r="LC15" s="641">
        <f t="shared" si="180"/>
        <v>1.1373064617881881E-10</v>
      </c>
      <c r="LD15" s="641">
        <f t="shared" si="181"/>
        <v>1.304793897749473E-11</v>
      </c>
      <c r="LE15" s="647">
        <f t="shared" si="182"/>
        <v>12.595393909515039</v>
      </c>
      <c r="LF15" s="647">
        <f t="shared" si="183"/>
        <v>1.4500276741635767</v>
      </c>
      <c r="LG15" s="655"/>
      <c r="LH15" s="655"/>
      <c r="LI15" s="656"/>
      <c r="LJ15" s="656"/>
      <c r="LK15" s="656"/>
      <c r="LL15" s="656"/>
      <c r="LM15" s="641">
        <f t="shared" si="184"/>
        <v>5.4544896362373055E-15</v>
      </c>
      <c r="LN15" s="641">
        <f t="shared" si="185"/>
        <v>1.1700832904170951E-15</v>
      </c>
      <c r="LO15" s="641">
        <f t="shared" si="186"/>
        <v>2.4335231924803411E-19</v>
      </c>
      <c r="LP15" s="641">
        <f t="shared" si="187"/>
        <v>5.2203322662069813E-20</v>
      </c>
      <c r="LQ15" s="641">
        <f t="shared" si="188"/>
        <v>6.1945369760054379E-14</v>
      </c>
      <c r="LR15" s="641">
        <f t="shared" si="189"/>
        <v>1.4402044692956023E-14</v>
      </c>
      <c r="LS15" s="637">
        <f t="shared" si="190"/>
        <v>11.89095874478444</v>
      </c>
      <c r="LT15" s="637">
        <f t="shared" si="191"/>
        <v>2.765238429805192</v>
      </c>
      <c r="LW15" s="658" t="str">
        <f t="shared" si="192"/>
        <v>44z1</v>
      </c>
      <c r="LX15" s="658" t="str">
        <f t="shared" si="193"/>
        <v>MN2022a</v>
      </c>
      <c r="LY15" s="659">
        <f t="shared" si="194"/>
        <v>33.828369842998981</v>
      </c>
      <c r="LZ15" s="659">
        <f t="shared" si="195"/>
        <v>4.0438864087343065</v>
      </c>
      <c r="MA15" s="659">
        <f t="shared" si="196"/>
        <v>487.70722040897101</v>
      </c>
      <c r="MB15" s="659">
        <f t="shared" si="197"/>
        <v>15.802964266918821</v>
      </c>
      <c r="MC15" s="659">
        <f t="shared" si="198"/>
        <v>16587.972694882428</v>
      </c>
      <c r="MD15" s="659">
        <f t="shared" si="199"/>
        <v>1258.6445631810686</v>
      </c>
      <c r="ME15" s="659">
        <f t="shared" si="200"/>
        <v>552.23816597433643</v>
      </c>
      <c r="MF15" s="659">
        <f t="shared" si="201"/>
        <v>52.866523639556419</v>
      </c>
      <c r="MG15" s="659">
        <f t="shared" si="202"/>
        <v>688.62340237943511</v>
      </c>
      <c r="MH15" s="659">
        <f t="shared" si="203"/>
        <v>66.997489894333413</v>
      </c>
      <c r="MI15" s="659">
        <f t="shared" si="204"/>
        <v>474.82513544569332</v>
      </c>
      <c r="MJ15" s="659">
        <f t="shared" si="205"/>
        <v>17.073262915223424</v>
      </c>
      <c r="MK15" s="659">
        <f t="shared" si="206"/>
        <v>474.3787373183946</v>
      </c>
      <c r="ML15" s="659">
        <f t="shared" si="207"/>
        <v>18.608598441605153</v>
      </c>
      <c r="MM15" s="659">
        <f t="shared" si="261"/>
        <v>33.548203476222525</v>
      </c>
      <c r="MN15" s="659">
        <f t="shared" si="208"/>
        <v>4.3792364423689634</v>
      </c>
      <c r="MO15" s="659">
        <f t="shared" si="209"/>
        <v>30.031408727999761</v>
      </c>
      <c r="MP15" s="659">
        <f t="shared" si="210"/>
        <v>1.6625587866993099</v>
      </c>
      <c r="MQ15" s="660"/>
      <c r="MR15" s="660"/>
      <c r="MS15" s="660"/>
      <c r="MT15" s="660"/>
      <c r="MU15" s="661">
        <f t="shared" si="273"/>
        <v>6.9362044331908637E-2</v>
      </c>
      <c r="MV15" s="661">
        <f t="shared" si="274"/>
        <v>9.3415532395012251E-3</v>
      </c>
      <c r="MW15" s="662">
        <f t="shared" si="211"/>
        <v>9.7358643787870251E-4</v>
      </c>
      <c r="MX15" s="662">
        <f t="shared" si="212"/>
        <v>4.712428174360996E-5</v>
      </c>
      <c r="MY15" s="662">
        <f t="shared" si="213"/>
        <v>9.7267113847648249E-4</v>
      </c>
      <c r="MZ15" s="662">
        <f t="shared" si="214"/>
        <v>4.9488867387959382E-5</v>
      </c>
      <c r="NA15" s="663">
        <f t="shared" si="215"/>
        <v>6.8787588274970367E-5</v>
      </c>
      <c r="NB15" s="663">
        <f t="shared" si="216"/>
        <v>9.2517340364502532E-6</v>
      </c>
      <c r="NC15" s="661">
        <f t="shared" si="275"/>
        <v>6.2895127350783966E-2</v>
      </c>
      <c r="ND15" s="661">
        <f t="shared" si="276"/>
        <v>8.5369101209706345E-3</v>
      </c>
      <c r="NE15" s="662">
        <f t="shared" si="217"/>
        <v>4.319753702206854E-4</v>
      </c>
      <c r="NF15" s="662">
        <f t="shared" si="218"/>
        <v>2.0684486499161449E-5</v>
      </c>
      <c r="NG15" s="663">
        <f t="shared" si="219"/>
        <v>4.3156925651289965E-4</v>
      </c>
      <c r="NH15" s="663">
        <f t="shared" si="220"/>
        <v>2.0665040359207851E-5</v>
      </c>
      <c r="NI15" s="662">
        <f t="shared" si="221"/>
        <v>1.9217024956745213E-5</v>
      </c>
      <c r="NJ15" s="662">
        <f t="shared" si="221"/>
        <v>2.5846349367699249E-6</v>
      </c>
      <c r="NK15" s="664">
        <f t="shared" si="222"/>
        <v>1.782396180017616E-9</v>
      </c>
      <c r="NL15" s="664">
        <f t="shared" si="223"/>
        <v>1.896586735256505E-10</v>
      </c>
      <c r="NM15" s="664">
        <f t="shared" si="224"/>
        <v>1.1367919762632189E-9</v>
      </c>
      <c r="NN15" s="664">
        <f t="shared" si="225"/>
        <v>1.3547807107303983E-10</v>
      </c>
      <c r="NO15" s="664">
        <f t="shared" si="226"/>
        <v>5.2134384960519045E-7</v>
      </c>
      <c r="NP15" s="664">
        <f t="shared" si="227"/>
        <v>3.0843420598680872E-9</v>
      </c>
      <c r="NQ15" s="664">
        <f t="shared" si="228"/>
        <v>-5.3542215900150787E-9</v>
      </c>
      <c r="NR15" s="664">
        <f t="shared" si="229"/>
        <v>-5.597532447867835E-8</v>
      </c>
      <c r="NS15" s="664">
        <f t="shared" si="230"/>
        <v>5.0846836630718931E-7</v>
      </c>
      <c r="NT15" s="664">
        <f t="shared" si="231"/>
        <v>2.2514810247832357E-9</v>
      </c>
      <c r="NU15" s="664">
        <f t="shared" si="232"/>
        <v>4.6251207830741904E-11</v>
      </c>
      <c r="NV15" s="664">
        <f t="shared" si="233"/>
        <v>6.8321651358923708E-12</v>
      </c>
      <c r="NW15" s="664">
        <f t="shared" si="234"/>
        <v>4.1957708879408166E-13</v>
      </c>
      <c r="NX15" s="664">
        <f t="shared" si="235"/>
        <v>2.7400176250023724E-13</v>
      </c>
      <c r="NY15" s="664">
        <f t="shared" si="236"/>
        <v>6.5462588649607236E-12</v>
      </c>
      <c r="NZ15" s="664">
        <f t="shared" si="237"/>
        <v>8.932004480340915E-13</v>
      </c>
      <c r="OA15" s="665">
        <f t="shared" si="262"/>
        <v>292.49605416010138</v>
      </c>
      <c r="OB15" s="665">
        <f t="shared" si="238"/>
        <v>31.085385503756825</v>
      </c>
      <c r="OC15" s="665">
        <f t="shared" si="239"/>
        <v>285.27236088565002</v>
      </c>
      <c r="OD15" s="665">
        <f t="shared" si="263"/>
        <v>30.38112630780568</v>
      </c>
      <c r="OE15" s="664">
        <f t="shared" si="264"/>
        <v>2.5948893040314298E-2</v>
      </c>
      <c r="OF15" s="664">
        <f t="shared" si="265"/>
        <v>4.7204990267183068E-3</v>
      </c>
      <c r="OG15" s="664">
        <f t="shared" si="266"/>
        <v>2.3540057676174712E-4</v>
      </c>
      <c r="OH15" s="664">
        <f t="shared" si="267"/>
        <v>1.5575393515130992E-4</v>
      </c>
      <c r="OI15" s="664">
        <f t="shared" si="268"/>
        <v>3.6727294068235857E-3</v>
      </c>
      <c r="OJ15" s="664">
        <f t="shared" si="269"/>
        <v>6.3549296594392747E-4</v>
      </c>
      <c r="OK15" s="664">
        <f t="shared" si="240"/>
        <v>2.1805032842031275E-3</v>
      </c>
      <c r="OL15" s="664">
        <f t="shared" si="241"/>
        <v>2.5960949712397485E-4</v>
      </c>
      <c r="OM15" s="664">
        <f t="shared" si="242"/>
        <v>3.418849539257844E-3</v>
      </c>
      <c r="ON15" s="664">
        <f t="shared" si="243"/>
        <v>3.63342528542282E-4</v>
      </c>
      <c r="OO15" s="664">
        <f t="shared" si="244"/>
        <v>0.63778860671255688</v>
      </c>
      <c r="OP15" s="664">
        <f t="shared" si="245"/>
        <v>6.7781785181662044E-2</v>
      </c>
      <c r="OQ15" s="664">
        <f t="shared" si="246"/>
        <v>4.8310147194830849E-3</v>
      </c>
      <c r="OR15" s="664">
        <f t="shared" si="247"/>
        <v>9.242109821544593E-6</v>
      </c>
    </row>
    <row r="16" spans="2:408" s="692" customFormat="1">
      <c r="B16" s="666" t="s">
        <v>960</v>
      </c>
      <c r="C16" s="667">
        <v>1.58E-3</v>
      </c>
      <c r="D16" s="668">
        <f>C16*0.5%</f>
        <v>7.9000000000000006E-6</v>
      </c>
      <c r="E16" s="669">
        <v>45111</v>
      </c>
      <c r="F16" s="667" t="s">
        <v>210</v>
      </c>
      <c r="G16" s="667" t="s">
        <v>893</v>
      </c>
      <c r="H16" s="667">
        <v>2</v>
      </c>
      <c r="I16" s="667"/>
      <c r="J16" s="670">
        <v>44644</v>
      </c>
      <c r="K16" s="669" t="s">
        <v>823</v>
      </c>
      <c r="L16" s="667" t="s">
        <v>949</v>
      </c>
      <c r="M16" s="667" t="s">
        <v>951</v>
      </c>
      <c r="N16" s="667">
        <v>180</v>
      </c>
      <c r="O16" s="671">
        <v>1911.5623700000001</v>
      </c>
      <c r="P16" s="671">
        <v>1.469484</v>
      </c>
      <c r="Q16" s="671">
        <v>47.337764</v>
      </c>
      <c r="R16" s="671">
        <v>0.11369799999999999</v>
      </c>
      <c r="S16" s="671">
        <v>97.080939000000001</v>
      </c>
      <c r="T16" s="671">
        <v>0.18204300000000001</v>
      </c>
      <c r="U16" s="671">
        <v>0.16281300000000001</v>
      </c>
      <c r="V16" s="671">
        <v>3.7255000000000003E-2</v>
      </c>
      <c r="W16" s="671">
        <v>5.0471579999999996</v>
      </c>
      <c r="X16" s="671">
        <v>0.112141</v>
      </c>
      <c r="Y16" s="671">
        <v>84.933414999999997</v>
      </c>
      <c r="Z16" s="671">
        <v>0.453009</v>
      </c>
      <c r="AA16" s="671">
        <v>0.20180600000000001</v>
      </c>
      <c r="AB16" s="671">
        <v>6.3743999999999995E-2</v>
      </c>
      <c r="AC16" s="671">
        <v>0.139874</v>
      </c>
      <c r="AD16" s="671">
        <v>7.6684000000000002E-2</v>
      </c>
      <c r="AE16" s="671">
        <v>5.6203999999999997E-2</v>
      </c>
      <c r="AF16" s="671">
        <v>3.2856000000000003E-2</v>
      </c>
      <c r="AG16" s="671">
        <v>0.54132800000000003</v>
      </c>
      <c r="AH16" s="671">
        <v>0.151476</v>
      </c>
      <c r="AI16" s="672">
        <f t="shared" si="1"/>
        <v>1826.6289550000001</v>
      </c>
      <c r="AJ16" s="672">
        <f t="shared" si="2"/>
        <v>1.5377257168744367</v>
      </c>
      <c r="AK16" s="672">
        <f t="shared" si="3"/>
        <v>47.135958000000002</v>
      </c>
      <c r="AL16" s="672">
        <f t="shared" si="4"/>
        <v>0.13034773776326153</v>
      </c>
      <c r="AM16" s="672">
        <f t="shared" si="5"/>
        <v>96.941064999999995</v>
      </c>
      <c r="AN16" s="672">
        <f t="shared" si="6"/>
        <v>0.19753503412053267</v>
      </c>
      <c r="AO16" s="672">
        <f t="shared" si="7"/>
        <v>0.10660900000000001</v>
      </c>
      <c r="AP16" s="672">
        <f t="shared" si="8"/>
        <v>4.9673451269264556E-2</v>
      </c>
      <c r="AQ16" s="672">
        <f t="shared" si="9"/>
        <v>4.5058299999999996</v>
      </c>
      <c r="AR16" s="672">
        <f t="shared" si="10"/>
        <v>0.1884690490690713</v>
      </c>
      <c r="AS16" s="673">
        <v>304.12046242532102</v>
      </c>
      <c r="AT16" s="673">
        <v>0.91447361557367601</v>
      </c>
      <c r="AU16" s="674">
        <f t="shared" si="11"/>
        <v>47.479725982081646</v>
      </c>
      <c r="AV16" s="674">
        <f t="shared" si="12"/>
        <v>0.13035580169426048</v>
      </c>
      <c r="AW16" s="674">
        <f t="shared" si="13"/>
        <v>98.355069751781897</v>
      </c>
      <c r="AX16" s="674">
        <f t="shared" si="14"/>
        <v>0.1975531189361924</v>
      </c>
      <c r="AY16" s="674">
        <f t="shared" si="15"/>
        <v>0.10894153522512959</v>
      </c>
      <c r="AZ16" s="674">
        <f t="shared" si="16"/>
        <v>4.9675799863594147E-2</v>
      </c>
      <c r="BA16" s="674">
        <f t="shared" si="17"/>
        <v>4.6372761529945317</v>
      </c>
      <c r="BB16" s="674">
        <f t="shared" si="18"/>
        <v>0.18847409034828613</v>
      </c>
      <c r="BC16" s="671"/>
      <c r="BD16" s="675"/>
      <c r="BE16" s="798">
        <v>0.76500000000000001</v>
      </c>
      <c r="BF16" s="672">
        <f t="shared" si="249"/>
        <v>3.8250000000000006E-2</v>
      </c>
      <c r="BG16" s="672">
        <f t="shared" si="250"/>
        <v>0.54673843651809828</v>
      </c>
      <c r="BH16" s="672">
        <f t="shared" si="251"/>
        <v>2.7336921825904914E-2</v>
      </c>
      <c r="BI16" s="676">
        <f t="shared" si="19"/>
        <v>2.1553062118228427E-7</v>
      </c>
      <c r="BJ16" s="676">
        <f t="shared" si="252"/>
        <v>1.0776531059114213E-8</v>
      </c>
      <c r="BK16" s="674">
        <f t="shared" si="20"/>
        <v>93.012864788959135</v>
      </c>
      <c r="BL16" s="674">
        <f t="shared" si="253"/>
        <v>4.6506432394479562</v>
      </c>
      <c r="BM16" s="674"/>
      <c r="BN16" s="674"/>
      <c r="BO16" s="677">
        <f t="shared" si="254"/>
        <v>1820.4463452778596</v>
      </c>
      <c r="BP16" s="674">
        <f t="shared" si="255"/>
        <v>1.5378194009734911</v>
      </c>
      <c r="BQ16" s="677">
        <f>AU16</f>
        <v>47.479725982081646</v>
      </c>
      <c r="BR16" s="674">
        <f>AV16</f>
        <v>0.13035580169426048</v>
      </c>
      <c r="BS16" s="677">
        <f t="shared" si="256"/>
        <v>98.355069751781897</v>
      </c>
      <c r="BT16" s="674">
        <f t="shared" si="257"/>
        <v>0.1975531189361924</v>
      </c>
      <c r="BU16" s="672">
        <f t="shared" si="258"/>
        <v>4.6048305546893387</v>
      </c>
      <c r="BV16" s="672">
        <f t="shared" si="21"/>
        <v>0.18848107205960332</v>
      </c>
      <c r="BW16" s="667"/>
      <c r="BX16" s="672">
        <f t="shared" si="22"/>
        <v>4.5166987420262545</v>
      </c>
      <c r="BY16" s="672">
        <f t="shared" si="23"/>
        <v>0.18848377188367382</v>
      </c>
      <c r="BZ16" s="677">
        <f t="shared" si="24"/>
        <v>97.489359130873723</v>
      </c>
      <c r="CA16" s="672">
        <f t="shared" si="25"/>
        <v>3.3552927128791758E-2</v>
      </c>
      <c r="CB16" s="677">
        <f t="shared" si="26"/>
        <v>485.76186700910125</v>
      </c>
      <c r="CC16" s="677">
        <f t="shared" si="27"/>
        <v>55.718180509521453</v>
      </c>
      <c r="CD16" s="678">
        <v>1.5903158759700325E-12</v>
      </c>
      <c r="CE16" s="678">
        <v>4.0102150310807229E-15</v>
      </c>
      <c r="CF16" s="676">
        <f t="shared" si="28"/>
        <v>7.182977716418227E-12</v>
      </c>
      <c r="CG16" s="676">
        <f t="shared" si="29"/>
        <v>3.0029549173506398E-13</v>
      </c>
      <c r="CH16" s="676">
        <f t="shared" si="30"/>
        <v>1.4791983554333574E-10</v>
      </c>
      <c r="CI16" s="679">
        <f t="shared" si="31"/>
        <v>7.405391586736843E-12</v>
      </c>
      <c r="CJ16" s="676">
        <f t="shared" si="32"/>
        <v>1.5503887556397254E-10</v>
      </c>
      <c r="CK16" s="680">
        <f t="shared" si="33"/>
        <v>3.9457792740438481E-13</v>
      </c>
      <c r="CL16" s="676">
        <f t="shared" si="34"/>
        <v>7.5507762016011289E-11</v>
      </c>
      <c r="CM16" s="676">
        <f t="shared" si="35"/>
        <v>2.8147788622752497E-13</v>
      </c>
      <c r="CN16" s="676">
        <f t="shared" si="36"/>
        <v>2.8950847242470036E-9</v>
      </c>
      <c r="CO16" s="676">
        <f t="shared" si="37"/>
        <v>7.6991309547065485E-12</v>
      </c>
      <c r="CP16" s="676">
        <f t="shared" si="38"/>
        <v>6.9170669408635802E-15</v>
      </c>
      <c r="CQ16" s="676">
        <f t="shared" si="39"/>
        <v>1.7604113795263142E-17</v>
      </c>
      <c r="CR16" s="676">
        <f t="shared" si="40"/>
        <v>1.2916434516338538E-13</v>
      </c>
      <c r="CS16" s="676">
        <f t="shared" si="41"/>
        <v>3.4349710853492061E-16</v>
      </c>
      <c r="CT16" s="668">
        <v>4.9366330874291847E-3</v>
      </c>
      <c r="CU16" s="668">
        <v>8.3332078986564283E-6</v>
      </c>
      <c r="CV16" s="678">
        <v>1.1611559367069784E+19</v>
      </c>
      <c r="CW16" s="681">
        <v>1.040942599512031E+18</v>
      </c>
      <c r="CX16" s="678">
        <v>8.6527210079182822E+17</v>
      </c>
      <c r="CY16" s="678">
        <v>8.9278178143800032E+16</v>
      </c>
      <c r="CZ16" s="671">
        <v>0.49865169925804054</v>
      </c>
      <c r="DA16" s="671">
        <v>2.7936431740382541E-2</v>
      </c>
      <c r="DB16" s="673">
        <v>24.337069265073254</v>
      </c>
      <c r="DC16" s="673">
        <v>0.74264427477540718</v>
      </c>
      <c r="DD16" s="676">
        <f t="shared" si="42"/>
        <v>5.6239481132975857E-8</v>
      </c>
      <c r="DE16" s="676">
        <f t="shared" si="43"/>
        <v>5.6333736982325002E-10</v>
      </c>
      <c r="DF16" s="672">
        <f t="shared" si="44"/>
        <v>1391.6886741654619</v>
      </c>
      <c r="DG16" s="672">
        <f t="shared" si="45"/>
        <v>15.580417801733562</v>
      </c>
      <c r="DH16" s="682">
        <f t="shared" si="46"/>
        <v>0.13916886741654619</v>
      </c>
      <c r="DI16" s="683">
        <f t="shared" si="47"/>
        <v>1.5580417801733563E-3</v>
      </c>
      <c r="DJ16" s="676">
        <f t="shared" si="48"/>
        <v>5.2327130854886894E-9</v>
      </c>
      <c r="DK16" s="676">
        <f t="shared" si="49"/>
        <v>1.6745318740791333E-10</v>
      </c>
      <c r="DL16" s="672">
        <f t="shared" si="50"/>
        <v>117.41479558217121</v>
      </c>
      <c r="DM16" s="674">
        <f t="shared" si="51"/>
        <v>3.803003289173684</v>
      </c>
      <c r="DN16" s="682">
        <f t="shared" si="52"/>
        <v>1.1741479558217121E-2</v>
      </c>
      <c r="DO16" s="683">
        <f t="shared" si="53"/>
        <v>3.8030032891736841E-4</v>
      </c>
      <c r="DP16" s="676">
        <f t="shared" si="54"/>
        <v>2.1553062118228424E-7</v>
      </c>
      <c r="DQ16" s="676">
        <f t="shared" si="55"/>
        <v>1.6317090460296972E-8</v>
      </c>
      <c r="DR16" s="677">
        <f t="shared" si="56"/>
        <v>5467.3843651809821</v>
      </c>
      <c r="DS16" s="677">
        <f t="shared" si="57"/>
        <v>414.81918199115</v>
      </c>
      <c r="DT16" s="672">
        <f t="shared" si="58"/>
        <v>0.54673843651809817</v>
      </c>
      <c r="DU16" s="672">
        <f t="shared" si="59"/>
        <v>4.1481918199115002E-2</v>
      </c>
      <c r="DV16" s="674">
        <f t="shared" si="60"/>
        <v>10.747671468733621</v>
      </c>
      <c r="DW16" s="674">
        <f t="shared" si="61"/>
        <v>0.10868092064949442</v>
      </c>
      <c r="DX16" s="674">
        <f t="shared" si="62"/>
        <v>0.2609349930161966</v>
      </c>
      <c r="DY16" s="674">
        <f t="shared" si="63"/>
        <v>8.3452123677581515E-3</v>
      </c>
      <c r="DZ16" s="674">
        <f t="shared" si="64"/>
        <v>11.852753882209901</v>
      </c>
      <c r="EA16" s="674">
        <f t="shared" si="65"/>
        <v>0.13374460172768149</v>
      </c>
      <c r="EB16" s="674">
        <f t="shared" si="66"/>
        <v>0.25454377837937026</v>
      </c>
      <c r="EC16" s="674">
        <f t="shared" si="67"/>
        <v>8.6062014980408559E-3</v>
      </c>
      <c r="ED16" s="676">
        <f t="shared" si="68"/>
        <v>2.4684010579823824E-5</v>
      </c>
      <c r="EE16" s="676">
        <f t="shared" si="69"/>
        <v>7.9264128456118472E-7</v>
      </c>
      <c r="EF16" s="672">
        <f t="shared" si="70"/>
        <v>10.230932402441049</v>
      </c>
      <c r="EG16" s="672">
        <f t="shared" si="71"/>
        <v>1.173851327559577</v>
      </c>
      <c r="EH16" s="676">
        <f t="shared" si="72"/>
        <v>2.2966845099082938E-6</v>
      </c>
      <c r="EI16" s="676">
        <f t="shared" si="73"/>
        <v>2.3802315583454573E-8</v>
      </c>
      <c r="EJ16" s="677">
        <f t="shared" si="74"/>
        <v>88.791708689224095</v>
      </c>
      <c r="EK16" s="677">
        <f t="shared" si="75"/>
        <v>9.9742640848936066</v>
      </c>
      <c r="EL16" s="677">
        <f t="shared" si="76"/>
        <v>9.9753435145392046</v>
      </c>
      <c r="EM16" s="674">
        <f t="shared" si="77"/>
        <v>88.791708689224095</v>
      </c>
      <c r="EN16" s="674">
        <f t="shared" si="78"/>
        <v>9.9742640848936066</v>
      </c>
      <c r="EO16" s="674">
        <f t="shared" si="79"/>
        <v>9.9753435145392046</v>
      </c>
      <c r="EP16" s="684">
        <f t="shared" si="259"/>
        <v>35.73361241398446</v>
      </c>
      <c r="EQ16" s="677">
        <f>EM16</f>
        <v>88.791708689224095</v>
      </c>
      <c r="ER16" s="677">
        <f>EN16</f>
        <v>9.9742640848936066</v>
      </c>
      <c r="ES16" s="672">
        <f t="shared" si="81"/>
        <v>10.51204180174779</v>
      </c>
      <c r="ET16" s="672">
        <f t="shared" si="82"/>
        <v>0.43876187406442829</v>
      </c>
      <c r="EU16" s="677">
        <f t="shared" si="83"/>
        <v>403.04798908531626</v>
      </c>
      <c r="EV16" s="677">
        <f t="shared" si="84"/>
        <v>16.822810864352714</v>
      </c>
      <c r="EW16" s="676">
        <f t="shared" si="85"/>
        <v>2.6081365213120131E-2</v>
      </c>
      <c r="EX16" s="676">
        <f t="shared" si="86"/>
        <v>7.4919351946848867E-5</v>
      </c>
      <c r="EY16" s="676">
        <f t="shared" si="87"/>
        <v>2.4810941304270404E-3</v>
      </c>
      <c r="EZ16" s="676">
        <f t="shared" si="88"/>
        <v>1.0355833157126745E-4</v>
      </c>
      <c r="FA16" s="668">
        <v>5.4031190000000002</v>
      </c>
      <c r="FB16" s="668">
        <v>1.8967000000000001E-2</v>
      </c>
      <c r="FC16" s="668">
        <v>1.555498</v>
      </c>
      <c r="FD16" s="668">
        <v>7.6179999999999998E-3</v>
      </c>
      <c r="FE16" s="668">
        <v>0.12325700000000001</v>
      </c>
      <c r="FF16" s="668">
        <v>2.6440000000000001E-3</v>
      </c>
      <c r="FG16" s="667"/>
      <c r="FH16" s="667"/>
      <c r="FI16" s="668">
        <v>1.7472000000000001E-2</v>
      </c>
      <c r="FJ16" s="668">
        <v>2.2820000000000002E-3</v>
      </c>
      <c r="FK16" s="668">
        <v>7.1939999999999999E-3</v>
      </c>
      <c r="FL16" s="668">
        <v>1.083E-3</v>
      </c>
      <c r="FM16" s="668">
        <v>5.6010000000000001E-3</v>
      </c>
      <c r="FN16" s="668">
        <v>5.8500000000000002E-4</v>
      </c>
      <c r="FO16" s="667"/>
      <c r="FP16" s="667"/>
      <c r="FQ16" s="682">
        <f t="shared" si="89"/>
        <v>5.3856470000000005</v>
      </c>
      <c r="FR16" s="682">
        <f t="shared" si="90"/>
        <v>1.9103785305535654E-2</v>
      </c>
      <c r="FS16" s="682">
        <f t="shared" si="91"/>
        <v>1.5483040000000001</v>
      </c>
      <c r="FT16" s="682">
        <f t="shared" si="92"/>
        <v>1.0773478918158238E-2</v>
      </c>
      <c r="FU16" s="682">
        <f t="shared" si="93"/>
        <v>0.11765600000000001</v>
      </c>
      <c r="FV16" s="682">
        <f t="shared" si="94"/>
        <v>2.7079440540749731E-3</v>
      </c>
      <c r="FW16" s="682">
        <f t="shared" si="95"/>
        <v>0</v>
      </c>
      <c r="FX16" s="682">
        <f t="shared" si="96"/>
        <v>0</v>
      </c>
      <c r="FY16" s="682">
        <f t="shared" si="97"/>
        <v>0.11386390610323981</v>
      </c>
      <c r="FZ16" s="682">
        <f t="shared" si="98"/>
        <v>1.0707287367251137E-2</v>
      </c>
      <c r="GA16" s="682">
        <f t="shared" si="99"/>
        <v>5.3811379893183124</v>
      </c>
      <c r="GB16" s="682">
        <f t="shared" si="100"/>
        <v>1.9108490162116309E-2</v>
      </c>
      <c r="GC16" s="682">
        <f t="shared" si="101"/>
        <v>1.5252807181859251</v>
      </c>
      <c r="GD16" s="682">
        <f t="shared" si="102"/>
        <v>1.0988863975847654E-2</v>
      </c>
      <c r="GE16" s="682">
        <f t="shared" si="103"/>
        <v>-3.4751264142708793E-2</v>
      </c>
      <c r="GF16" s="682">
        <f t="shared" si="104"/>
        <v>3.2678641044850474E-3</v>
      </c>
      <c r="GG16" s="678">
        <v>1.7782159136499011E-12</v>
      </c>
      <c r="GH16" s="678">
        <v>7.5535622364420377E-15</v>
      </c>
      <c r="GI16" s="671">
        <v>1</v>
      </c>
      <c r="GJ16" s="671">
        <v>5.0000000000000001E-3</v>
      </c>
      <c r="GK16" s="676">
        <f t="shared" si="105"/>
        <v>9.5688252061518547E-12</v>
      </c>
      <c r="GL16" s="676">
        <f t="shared" si="106"/>
        <v>7.1384826394981705E-14</v>
      </c>
      <c r="GM16" s="676">
        <f t="shared" si="107"/>
        <v>2.7122784458615622E-12</v>
      </c>
      <c r="GN16" s="676">
        <f t="shared" si="108"/>
        <v>2.6428881234588809E-14</v>
      </c>
      <c r="GO16" s="676">
        <f t="shared" si="109"/>
        <v>2.0247460982311912E-13</v>
      </c>
      <c r="GP16" s="676">
        <f t="shared" si="110"/>
        <v>1.9086153017643391E-14</v>
      </c>
      <c r="GQ16" s="676">
        <f t="shared" si="111"/>
        <v>-6.179525091801596E-14</v>
      </c>
      <c r="GR16" s="676">
        <f t="shared" si="112"/>
        <v>-5.8250939009847637E-15</v>
      </c>
      <c r="GS16" s="676">
        <f t="shared" si="113"/>
        <v>4.2691359993167899E-16</v>
      </c>
      <c r="GT16" s="676">
        <f t="shared" si="114"/>
        <v>3.1848374959644241E-18</v>
      </c>
      <c r="GU16" s="676">
        <f t="shared" si="115"/>
        <v>1.2100843420103783E-16</v>
      </c>
      <c r="GV16" s="676">
        <f t="shared" si="116"/>
        <v>1.1791258181577366E-18</v>
      </c>
      <c r="GW16" s="676">
        <f t="shared" si="117"/>
        <v>9.0334145218555792E-18</v>
      </c>
      <c r="GX16" s="676">
        <f t="shared" si="118"/>
        <v>8.515296411230049E-19</v>
      </c>
      <c r="GY16" s="672">
        <f t="shared" si="119"/>
        <v>3.5279656558684529</v>
      </c>
      <c r="GZ16" s="672">
        <f t="shared" si="120"/>
        <v>2.6414085186458151E-2</v>
      </c>
      <c r="HA16" s="673">
        <v>26.169770272470501</v>
      </c>
      <c r="HB16" s="673">
        <v>0.31897682079735301</v>
      </c>
      <c r="HC16" s="685">
        <f t="shared" si="121"/>
        <v>424.0156622573499</v>
      </c>
      <c r="HD16" s="685">
        <f t="shared" si="122"/>
        <v>6.1547532201958113</v>
      </c>
      <c r="HE16" s="686">
        <f t="shared" si="123"/>
        <v>5.4755719973446967E-12</v>
      </c>
      <c r="HF16" s="687">
        <f t="shared" si="124"/>
        <v>1.9240808441005359E-13</v>
      </c>
      <c r="HG16" s="688">
        <f t="shared" si="125"/>
        <v>276.91145878217128</v>
      </c>
      <c r="HH16" s="688">
        <f t="shared" si="126"/>
        <v>9.8285021207410317</v>
      </c>
      <c r="HI16" s="673">
        <v>7.5091582159801398</v>
      </c>
      <c r="HJ16" s="673">
        <v>0.114829942558394</v>
      </c>
      <c r="HK16" s="685">
        <f t="shared" si="127"/>
        <v>429.23743615405687</v>
      </c>
      <c r="HL16" s="685">
        <f t="shared" si="128"/>
        <v>7.8595084851961037</v>
      </c>
      <c r="HM16" s="686">
        <f t="shared" si="129"/>
        <v>5.4089603821476198E-12</v>
      </c>
      <c r="HN16" s="687">
        <f t="shared" si="130"/>
        <v>1.9006739501984114E-13</v>
      </c>
      <c r="HO16" s="688">
        <f t="shared" si="131"/>
        <v>273.54276606020466</v>
      </c>
      <c r="HP16" s="688">
        <f t="shared" si="132"/>
        <v>10.177660737147781</v>
      </c>
      <c r="HQ16" s="671">
        <v>1.11613116912226</v>
      </c>
      <c r="HR16" s="671">
        <v>3.5153924948669403E-2</v>
      </c>
      <c r="HS16" s="671">
        <f t="shared" si="133"/>
        <v>329.09867500004083</v>
      </c>
      <c r="HT16" s="671">
        <f t="shared" si="134"/>
        <v>31.44960362120575</v>
      </c>
      <c r="HU16" s="671">
        <v>1.11613116912226</v>
      </c>
      <c r="HV16" s="671">
        <v>3.5153924948669403E-2</v>
      </c>
      <c r="HW16" s="671">
        <f t="shared" si="135"/>
        <v>405.76472228854522</v>
      </c>
      <c r="HX16" s="671">
        <f t="shared" si="136"/>
        <v>39.156127829683797</v>
      </c>
      <c r="HY16" s="678">
        <v>0.32916000000000001</v>
      </c>
      <c r="HZ16" s="678">
        <v>4.2129999999999997E-3</v>
      </c>
      <c r="IA16" s="678">
        <v>1.2068000000000001E-2</v>
      </c>
      <c r="IB16" s="678">
        <v>6.7699999999999998E-4</v>
      </c>
      <c r="IC16" s="678">
        <v>2.166E-3</v>
      </c>
      <c r="ID16" s="678">
        <v>3.8900000000000002E-4</v>
      </c>
      <c r="IE16" s="678">
        <v>0.84219699999999997</v>
      </c>
      <c r="IF16" s="678">
        <v>1.0822999999999999E-2</v>
      </c>
      <c r="IG16" s="678">
        <v>2.6785E-2</v>
      </c>
      <c r="IH16" s="678">
        <v>3.6200000000000002E-4</v>
      </c>
      <c r="II16" s="678">
        <v>3.0405000000000001E-2</v>
      </c>
      <c r="IJ16" s="678">
        <v>6.6299999999999996E-4</v>
      </c>
      <c r="IK16" s="678">
        <v>3.7846999999999999E-2</v>
      </c>
      <c r="IL16" s="678">
        <v>1.596E-3</v>
      </c>
      <c r="IM16" s="678">
        <v>2.748E-3</v>
      </c>
      <c r="IN16" s="678">
        <v>5.8799999999999998E-4</v>
      </c>
      <c r="IO16" s="678">
        <v>8.1300000000000003E-4</v>
      </c>
      <c r="IP16" s="678">
        <v>1.3200000000000001E-4</v>
      </c>
      <c r="IQ16" s="678">
        <v>2.33E-4</v>
      </c>
      <c r="IR16" s="678">
        <v>1.3899999999999999E-4</v>
      </c>
      <c r="IS16" s="678">
        <v>7.7200000000000001E-4</v>
      </c>
      <c r="IT16" s="678">
        <v>2.6899999999999998E-4</v>
      </c>
      <c r="IU16" s="678">
        <v>4.6099999999999998E-4</v>
      </c>
      <c r="IV16" s="678">
        <v>2.5000000000000001E-4</v>
      </c>
      <c r="IW16" s="678">
        <v>4.3399999999999998E-4</v>
      </c>
      <c r="IX16" s="678">
        <v>1.1900000000000001E-4</v>
      </c>
      <c r="IY16" s="678">
        <v>3.5100000000000002E-4</v>
      </c>
      <c r="IZ16" s="678">
        <v>2.1699999999999999E-4</v>
      </c>
      <c r="JA16" s="676">
        <f t="shared" si="137"/>
        <v>0.32641200000000004</v>
      </c>
      <c r="JB16" s="676">
        <f t="shared" si="138"/>
        <v>4.2538350931835616E-3</v>
      </c>
      <c r="JC16" s="676">
        <f t="shared" si="139"/>
        <v>1.1255000000000001E-2</v>
      </c>
      <c r="JD16" s="676">
        <f t="shared" si="140"/>
        <v>6.8974850489145678E-4</v>
      </c>
      <c r="JE16" s="676">
        <f t="shared" si="141"/>
        <v>1.933E-3</v>
      </c>
      <c r="JF16" s="676">
        <f t="shared" si="142"/>
        <v>4.1308836827003495E-4</v>
      </c>
      <c r="JG16" s="676">
        <f t="shared" si="143"/>
        <v>0.84142499999999998</v>
      </c>
      <c r="JH16" s="676">
        <f t="shared" si="144"/>
        <v>1.0826342410989963E-2</v>
      </c>
      <c r="JI16" s="676">
        <f t="shared" si="145"/>
        <v>2.6324E-2</v>
      </c>
      <c r="JJ16" s="676">
        <f t="shared" si="146"/>
        <v>4.3993635903389483E-4</v>
      </c>
      <c r="JK16" s="676">
        <f t="shared" si="147"/>
        <v>2.9971000000000001E-2</v>
      </c>
      <c r="JL16" s="676">
        <f t="shared" si="148"/>
        <v>6.7359483370940426E-4</v>
      </c>
      <c r="JM16" s="676">
        <f t="shared" si="149"/>
        <v>3.7496000000000002E-2</v>
      </c>
      <c r="JN16" s="676">
        <f t="shared" si="150"/>
        <v>1.6106846370410317E-3</v>
      </c>
      <c r="JO16" s="676">
        <f t="shared" si="151"/>
        <v>0.32550040026380506</v>
      </c>
      <c r="JP16" s="676">
        <f t="shared" si="152"/>
        <v>4.2582936306820056E-3</v>
      </c>
      <c r="JQ16" s="676">
        <f t="shared" si="153"/>
        <v>-1.2954557459739988E-3</v>
      </c>
      <c r="JR16" s="676">
        <f t="shared" si="154"/>
        <v>2.769344519223069E-3</v>
      </c>
      <c r="JS16" s="676">
        <f t="shared" si="155"/>
        <v>0.83135143989447802</v>
      </c>
      <c r="JT16" s="676">
        <f t="shared" si="156"/>
        <v>1.1038298472017007E-2</v>
      </c>
      <c r="JU16" s="676">
        <f t="shared" si="157"/>
        <v>1.3556496697604999E-2</v>
      </c>
      <c r="JV16" s="676">
        <f t="shared" si="158"/>
        <v>2.7636969487825451E-3</v>
      </c>
      <c r="JW16" s="676">
        <f t="shared" si="159"/>
        <v>2.4995503962874002E-2</v>
      </c>
      <c r="JX16" s="676">
        <f t="shared" si="160"/>
        <v>1.2586872477098232E-3</v>
      </c>
      <c r="JY16" s="676">
        <f t="shared" si="161"/>
        <v>3.3290384412308999E-2</v>
      </c>
      <c r="JZ16" s="676">
        <f t="shared" si="162"/>
        <v>1.844468268459691E-3</v>
      </c>
      <c r="KA16" s="678">
        <v>1.7696448643015688E-12</v>
      </c>
      <c r="KB16" s="678">
        <v>3.8892524257744769E-14</v>
      </c>
      <c r="KC16" s="667">
        <v>1</v>
      </c>
      <c r="KD16" s="667">
        <v>0</v>
      </c>
      <c r="KE16" s="676">
        <f t="shared" si="163"/>
        <v>5.7602011165494763E-13</v>
      </c>
      <c r="KF16" s="676">
        <f t="shared" si="164"/>
        <v>1.4732618227485485E-14</v>
      </c>
      <c r="KG16" s="676">
        <f t="shared" si="165"/>
        <v>2.5699165174588393E-17</v>
      </c>
      <c r="KH16" s="676">
        <f t="shared" si="166"/>
        <v>6.572964757981444E-19</v>
      </c>
      <c r="KI16" s="671">
        <v>1.2430056234832578</v>
      </c>
      <c r="KJ16" s="671">
        <v>0.11113867994607306</v>
      </c>
      <c r="KK16" s="676">
        <f t="shared" si="167"/>
        <v>3.07501196196672E-13</v>
      </c>
      <c r="KL16" s="676">
        <f t="shared" si="260"/>
        <v>3.977037849344588E-14</v>
      </c>
      <c r="KM16" s="682">
        <f t="shared" si="168"/>
        <v>24.69828199540542</v>
      </c>
      <c r="KN16" s="682">
        <f>KM16*SQRT(I_moleerr/I_mole)^2+(MVerr/MV)^2+(Sample_Masserr/Sample_Mass)</f>
        <v>3.1993291123557177</v>
      </c>
      <c r="KO16" s="673">
        <v>20.162258156415799</v>
      </c>
      <c r="KP16" s="673">
        <v>0.66285498057307002</v>
      </c>
      <c r="KQ16" s="687">
        <f t="shared" si="170"/>
        <v>5426.7789789842664</v>
      </c>
      <c r="KR16" s="687">
        <f t="shared" si="171"/>
        <v>226.46458574319576</v>
      </c>
      <c r="KS16" s="689">
        <f t="shared" si="172"/>
        <v>21.636185301975907</v>
      </c>
      <c r="KT16" s="689">
        <f t="shared" si="173"/>
        <v>1.142945541473618</v>
      </c>
      <c r="KU16" s="672">
        <f t="shared" si="174"/>
        <v>0.8222639894168039</v>
      </c>
      <c r="KV16" s="672">
        <f t="shared" si="175"/>
        <v>1.1053976199838111E-2</v>
      </c>
      <c r="KW16" s="676">
        <f t="shared" si="176"/>
        <v>1.4551152459715664E-12</v>
      </c>
      <c r="KX16" s="676">
        <f t="shared" si="177"/>
        <v>3.7488292750631498E-14</v>
      </c>
      <c r="KY16" s="676">
        <f t="shared" si="178"/>
        <v>6.4920037161282167E-17</v>
      </c>
      <c r="KZ16" s="676">
        <f t="shared" si="179"/>
        <v>1.672541996820169E-18</v>
      </c>
      <c r="LA16" s="671">
        <v>1.2485542932379501</v>
      </c>
      <c r="LB16" s="671">
        <v>5.9627651953476503E-2</v>
      </c>
      <c r="LC16" s="676">
        <f t="shared" si="180"/>
        <v>5.4537775836000285E-10</v>
      </c>
      <c r="LD16" s="676">
        <f t="shared" si="181"/>
        <v>6.2016161848879663E-11</v>
      </c>
      <c r="LE16" s="682">
        <f t="shared" si="182"/>
        <v>47.40195659639501</v>
      </c>
      <c r="LF16" s="682">
        <f t="shared" si="183"/>
        <v>5.3951857330516644</v>
      </c>
      <c r="LG16" s="690"/>
      <c r="LH16" s="690"/>
      <c r="LI16" s="691"/>
      <c r="LJ16" s="691"/>
      <c r="LK16" s="691"/>
      <c r="LL16" s="691"/>
      <c r="LM16" s="676">
        <f t="shared" si="184"/>
        <v>4.4233165218529487E-14</v>
      </c>
      <c r="LN16" s="676">
        <f t="shared" si="185"/>
        <v>2.4303280855256501E-15</v>
      </c>
      <c r="LO16" s="676">
        <f t="shared" si="186"/>
        <v>1.9734648081641919E-18</v>
      </c>
      <c r="LP16" s="676">
        <f t="shared" si="187"/>
        <v>1.0842920522757468E-19</v>
      </c>
      <c r="LQ16" s="676">
        <f t="shared" si="188"/>
        <v>5.0234576612186206E-13</v>
      </c>
      <c r="LR16" s="676">
        <f t="shared" si="189"/>
        <v>5.2818971703056232E-14</v>
      </c>
      <c r="LS16" s="672">
        <f t="shared" si="190"/>
        <v>75.678996932342883</v>
      </c>
      <c r="LT16" s="672">
        <f t="shared" si="191"/>
        <v>7.9662338670029964</v>
      </c>
      <c r="LW16" s="693" t="str">
        <f t="shared" si="192"/>
        <v>44z2</v>
      </c>
      <c r="LX16" s="693" t="str">
        <f t="shared" si="193"/>
        <v>MN2022a</v>
      </c>
      <c r="LY16" s="694">
        <f t="shared" si="194"/>
        <v>1391.6886741654619</v>
      </c>
      <c r="LZ16" s="694">
        <f t="shared" si="195"/>
        <v>15.580417801733562</v>
      </c>
      <c r="MA16" s="694">
        <f t="shared" si="196"/>
        <v>117.41479558217121</v>
      </c>
      <c r="MB16" s="694">
        <f t="shared" si="197"/>
        <v>3.803003289173684</v>
      </c>
      <c r="MC16" s="694">
        <f t="shared" si="198"/>
        <v>5467.3843651809821</v>
      </c>
      <c r="MD16" s="694">
        <f t="shared" si="199"/>
        <v>414.81918199115</v>
      </c>
      <c r="ME16" s="694">
        <f t="shared" si="200"/>
        <v>329.09867500004083</v>
      </c>
      <c r="MF16" s="694">
        <f t="shared" si="201"/>
        <v>31.44960362120575</v>
      </c>
      <c r="MG16" s="694">
        <f t="shared" si="202"/>
        <v>405.76472228854522</v>
      </c>
      <c r="MH16" s="694">
        <f t="shared" si="203"/>
        <v>39.156127829683797</v>
      </c>
      <c r="MI16" s="694">
        <f t="shared" si="204"/>
        <v>276.91145878217128</v>
      </c>
      <c r="MJ16" s="694">
        <f t="shared" si="205"/>
        <v>9.8285021207410317</v>
      </c>
      <c r="MK16" s="694">
        <f t="shared" si="206"/>
        <v>273.54276606020466</v>
      </c>
      <c r="ML16" s="694">
        <f t="shared" si="207"/>
        <v>10.177660737147781</v>
      </c>
      <c r="MM16" s="694">
        <f t="shared" si="261"/>
        <v>24.69828199540542</v>
      </c>
      <c r="MN16" s="694">
        <f t="shared" si="208"/>
        <v>3.1993291123557177</v>
      </c>
      <c r="MO16" s="694">
        <f t="shared" si="209"/>
        <v>21.636185301975907</v>
      </c>
      <c r="MP16" s="694">
        <f t="shared" si="210"/>
        <v>1.142945541473618</v>
      </c>
      <c r="MQ16" s="695"/>
      <c r="MR16" s="695"/>
      <c r="MS16" s="695"/>
      <c r="MT16" s="695"/>
      <c r="MU16" s="696">
        <f>DZ16</f>
        <v>11.852753882209901</v>
      </c>
      <c r="MV16" s="696">
        <f>EA16</f>
        <v>0.13374460172768149</v>
      </c>
      <c r="MW16" s="697">
        <f t="shared" si="211"/>
        <v>2.358403448297778E-3</v>
      </c>
      <c r="MX16" s="697">
        <f t="shared" si="212"/>
        <v>1.1332251117244088E-4</v>
      </c>
      <c r="MY16" s="697">
        <f t="shared" si="213"/>
        <v>2.3297129182392466E-3</v>
      </c>
      <c r="MZ16" s="697">
        <f t="shared" si="214"/>
        <v>1.1492421038012623E-4</v>
      </c>
      <c r="NA16" s="698">
        <f t="shared" si="215"/>
        <v>2.1035067917075793E-4</v>
      </c>
      <c r="NB16" s="698">
        <f t="shared" si="216"/>
        <v>2.8086962784367752E-5</v>
      </c>
      <c r="NC16" s="696">
        <f>DV16</f>
        <v>10.747671468733621</v>
      </c>
      <c r="ND16" s="696">
        <f>DW16</f>
        <v>0.10868092064949442</v>
      </c>
      <c r="NE16" s="697">
        <f t="shared" si="217"/>
        <v>1.0464116621508451E-3</v>
      </c>
      <c r="NF16" s="697">
        <f t="shared" si="218"/>
        <v>4.9733210458407686E-5</v>
      </c>
      <c r="NG16" s="698">
        <f t="shared" si="219"/>
        <v>1.0336818193123749E-3</v>
      </c>
      <c r="NH16" s="698">
        <f t="shared" si="220"/>
        <v>4.9128194310473332E-5</v>
      </c>
      <c r="NI16" s="697">
        <f t="shared" si="221"/>
        <v>5.8765169017615229E-5</v>
      </c>
      <c r="NJ16" s="697">
        <f t="shared" si="221"/>
        <v>7.8465880011491315E-6</v>
      </c>
      <c r="NK16" s="699">
        <f t="shared" si="222"/>
        <v>4.5461884281128021E-9</v>
      </c>
      <c r="NL16" s="699">
        <f t="shared" si="223"/>
        <v>1.9141490472266559E-10</v>
      </c>
      <c r="NM16" s="699">
        <f t="shared" si="224"/>
        <v>4.7789722794943853E-8</v>
      </c>
      <c r="NN16" s="699">
        <f t="shared" si="225"/>
        <v>2.9805043611890575E-10</v>
      </c>
      <c r="NO16" s="699">
        <f t="shared" si="226"/>
        <v>1.8323321039537997E-6</v>
      </c>
      <c r="NP16" s="699">
        <f t="shared" si="227"/>
        <v>1.0376939001051184E-8</v>
      </c>
      <c r="NQ16" s="699">
        <f t="shared" si="228"/>
        <v>4.8893342344646662E-7</v>
      </c>
      <c r="NR16" s="699">
        <f t="shared" si="229"/>
        <v>5.6148761761938385E-8</v>
      </c>
      <c r="NS16" s="699">
        <f t="shared" si="230"/>
        <v>1.3026387027229058E-6</v>
      </c>
      <c r="NT16" s="699">
        <f t="shared" si="231"/>
        <v>5.333229664792241E-9</v>
      </c>
      <c r="NU16" s="699">
        <f t="shared" si="232"/>
        <v>1.2814848722982224E-10</v>
      </c>
      <c r="NV16" s="699">
        <f t="shared" si="233"/>
        <v>1.209682496576324E-11</v>
      </c>
      <c r="NW16" s="699">
        <f t="shared" si="234"/>
        <v>2.1650148877816028E-12</v>
      </c>
      <c r="NX16" s="699">
        <f t="shared" si="235"/>
        <v>4.6523691694569238E-13</v>
      </c>
      <c r="NY16" s="699">
        <f t="shared" si="236"/>
        <v>2.948362747333829E-11</v>
      </c>
      <c r="NZ16" s="699">
        <f t="shared" si="237"/>
        <v>8.2728639927280337E-13</v>
      </c>
      <c r="OA16" s="700">
        <f t="shared" si="262"/>
        <v>403.04798908531626</v>
      </c>
      <c r="OB16" s="700">
        <f t="shared" si="238"/>
        <v>16.822810864352714</v>
      </c>
      <c r="OC16" s="700">
        <f t="shared" si="239"/>
        <v>286.53425244488881</v>
      </c>
      <c r="OD16" s="700">
        <f t="shared" si="263"/>
        <v>12.121278059439021</v>
      </c>
      <c r="OE16" s="699">
        <f t="shared" si="264"/>
        <v>2.8188116101254251E-2</v>
      </c>
      <c r="OF16" s="699">
        <f t="shared" si="265"/>
        <v>2.9067359903326507E-3</v>
      </c>
      <c r="OG16" s="699">
        <f t="shared" si="266"/>
        <v>4.7622638656892103E-4</v>
      </c>
      <c r="OH16" s="699">
        <f t="shared" si="267"/>
        <v>1.0428148488993428E-4</v>
      </c>
      <c r="OI16" s="699">
        <f t="shared" si="268"/>
        <v>6.4853509570823994E-3</v>
      </c>
      <c r="OJ16" s="699">
        <f t="shared" si="269"/>
        <v>3.2814240939037427E-4</v>
      </c>
      <c r="OK16" s="699">
        <f t="shared" si="240"/>
        <v>2.6081365213120131E-2</v>
      </c>
      <c r="OL16" s="699">
        <f t="shared" si="241"/>
        <v>7.4919351946848867E-5</v>
      </c>
      <c r="OM16" s="699">
        <f t="shared" si="242"/>
        <v>2.4810941304270404E-3</v>
      </c>
      <c r="ON16" s="699">
        <f t="shared" si="243"/>
        <v>1.0355833157126745E-4</v>
      </c>
      <c r="OO16" s="699">
        <f t="shared" si="244"/>
        <v>10.51204180174779</v>
      </c>
      <c r="OP16" s="699">
        <f t="shared" si="245"/>
        <v>0.43876187406442829</v>
      </c>
      <c r="OQ16" s="699">
        <f t="shared" si="246"/>
        <v>4.9366330874291847E-3</v>
      </c>
      <c r="OR16" s="699">
        <f t="shared" si="247"/>
        <v>8.3332078986564283E-6</v>
      </c>
    </row>
    <row r="17" spans="2:408" s="484" customFormat="1">
      <c r="B17" s="245" t="s">
        <v>958</v>
      </c>
      <c r="C17" s="5">
        <v>1.14E-3</v>
      </c>
      <c r="D17" s="66">
        <f t="shared" si="282"/>
        <v>5.6999999999999996E-6</v>
      </c>
      <c r="E17" s="67">
        <v>45110</v>
      </c>
      <c r="F17" s="5" t="s">
        <v>210</v>
      </c>
      <c r="G17" s="5" t="s">
        <v>893</v>
      </c>
      <c r="H17" s="5">
        <v>2</v>
      </c>
      <c r="I17" s="5"/>
      <c r="J17" s="327">
        <v>44644</v>
      </c>
      <c r="K17" s="67" t="s">
        <v>823</v>
      </c>
      <c r="L17" s="5" t="s">
        <v>949</v>
      </c>
      <c r="M17" s="5" t="s">
        <v>951</v>
      </c>
      <c r="N17" s="5">
        <v>180</v>
      </c>
      <c r="O17" s="6">
        <v>778.26133700000003</v>
      </c>
      <c r="P17" s="6">
        <v>0.49683899999999998</v>
      </c>
      <c r="Q17" s="6">
        <v>1.5392170000000001</v>
      </c>
      <c r="R17" s="6">
        <v>9.8496E-2</v>
      </c>
      <c r="S17" s="6">
        <v>165.11645200000001</v>
      </c>
      <c r="T17" s="6">
        <v>0.41614600000000002</v>
      </c>
      <c r="U17" s="6">
        <v>4.7602999999999999E-2</v>
      </c>
      <c r="V17" s="6">
        <v>1.9800000000000002E-2</v>
      </c>
      <c r="W17" s="6">
        <v>2.5486759999999999</v>
      </c>
      <c r="X17" s="6">
        <v>8.5667999999999994E-2</v>
      </c>
      <c r="Y17" s="6">
        <v>90.529656000000003</v>
      </c>
      <c r="Z17" s="6">
        <v>0.42074400000000001</v>
      </c>
      <c r="AA17" s="6">
        <v>0.22012399999999999</v>
      </c>
      <c r="AB17" s="6">
        <v>3.9662999999999997E-2</v>
      </c>
      <c r="AC17" s="6">
        <v>0.28015099999999998</v>
      </c>
      <c r="AD17" s="6">
        <v>4.8180000000000001E-2</v>
      </c>
      <c r="AE17" s="6">
        <v>4.8708000000000001E-2</v>
      </c>
      <c r="AF17" s="6">
        <v>3.5672000000000002E-2</v>
      </c>
      <c r="AG17" s="6">
        <v>0.42505599999999999</v>
      </c>
      <c r="AH17" s="6">
        <v>5.4821000000000002E-2</v>
      </c>
      <c r="AI17" s="147">
        <f t="shared" si="1"/>
        <v>687.73168099999998</v>
      </c>
      <c r="AJ17" s="147">
        <f t="shared" si="2"/>
        <v>0.65105645335638906</v>
      </c>
      <c r="AK17" s="147">
        <f t="shared" si="3"/>
        <v>1.3190930000000001</v>
      </c>
      <c r="AL17" s="147">
        <f t="shared" si="4"/>
        <v>0.10618199275300874</v>
      </c>
      <c r="AM17" s="147">
        <f t="shared" si="5"/>
        <v>164.83630100000002</v>
      </c>
      <c r="AN17" s="147">
        <f t="shared" si="6"/>
        <v>0.41892577590308289</v>
      </c>
      <c r="AO17" s="147">
        <f t="shared" si="7"/>
        <v>-1.1050000000000018E-3</v>
      </c>
      <c r="AP17" s="147">
        <f t="shared" si="8"/>
        <v>4.079867135091534E-2</v>
      </c>
      <c r="AQ17" s="147">
        <f t="shared" si="9"/>
        <v>2.1236199999999998</v>
      </c>
      <c r="AR17" s="147">
        <f t="shared" si="10"/>
        <v>0.10170716919175363</v>
      </c>
      <c r="AS17" s="4">
        <v>304.12046242532102</v>
      </c>
      <c r="AT17" s="4">
        <v>0.91447361557367601</v>
      </c>
      <c r="AU17" s="133">
        <f t="shared" si="11"/>
        <v>1.3287132974974651</v>
      </c>
      <c r="AV17" s="133">
        <f t="shared" si="12"/>
        <v>0.10618482102071053</v>
      </c>
      <c r="AW17" s="133">
        <f t="shared" si="13"/>
        <v>167.24064133688566</v>
      </c>
      <c r="AX17" s="133">
        <f t="shared" si="14"/>
        <v>0.41895441058985866</v>
      </c>
      <c r="AY17" s="133">
        <f t="shared" si="15"/>
        <v>-1.1291766776141637E-3</v>
      </c>
      <c r="AZ17" s="133">
        <f t="shared" si="16"/>
        <v>4.0800600249559928E-2</v>
      </c>
      <c r="BA17" s="133">
        <f t="shared" si="17"/>
        <v>2.1855712230648399</v>
      </c>
      <c r="BB17" s="133">
        <f t="shared" si="18"/>
        <v>0.1017098859939168</v>
      </c>
      <c r="BC17" s="6"/>
      <c r="BD17" s="8"/>
      <c r="BE17" s="797">
        <v>3.1970000000000001</v>
      </c>
      <c r="BF17" s="147">
        <v>2.0400944831061141</v>
      </c>
      <c r="BG17" s="147">
        <f t="shared" si="250"/>
        <v>2.2848663811089676</v>
      </c>
      <c r="BH17" s="147">
        <f t="shared" si="251"/>
        <v>0.11424331905544838</v>
      </c>
      <c r="BI17" s="157">
        <f t="shared" si="19"/>
        <v>6.4988714432740097E-7</v>
      </c>
      <c r="BJ17" s="157">
        <f t="shared" si="252"/>
        <v>3.2494357216370051E-8</v>
      </c>
      <c r="BK17" s="133">
        <f t="shared" si="20"/>
        <v>271.87096061349382</v>
      </c>
      <c r="BL17" s="133">
        <f t="shared" si="253"/>
        <v>13.593548030674691</v>
      </c>
      <c r="BM17" s="133"/>
      <c r="BN17" s="133"/>
      <c r="BO17" s="143">
        <f t="shared" si="254"/>
        <v>687.55866155683498</v>
      </c>
      <c r="BP17" s="133">
        <f t="shared" si="255"/>
        <v>0.65120326298144937</v>
      </c>
      <c r="BQ17" s="143">
        <f t="shared" si="271"/>
        <v>1.3287132974974651</v>
      </c>
      <c r="BR17" s="133">
        <f t="shared" si="272"/>
        <v>0.10618482102071053</v>
      </c>
      <c r="BS17" s="143">
        <f t="shared" si="256"/>
        <v>167.24064133688566</v>
      </c>
      <c r="BT17" s="133">
        <f t="shared" si="257"/>
        <v>0.41895441058985866</v>
      </c>
      <c r="BU17" s="147">
        <f t="shared" si="258"/>
        <v>2.0907347077190668</v>
      </c>
      <c r="BV17" s="147">
        <f t="shared" si="21"/>
        <v>0.10182036054003578</v>
      </c>
      <c r="BW17" s="5"/>
      <c r="BX17" s="147">
        <f t="shared" si="22"/>
        <v>1.9402250253282285</v>
      </c>
      <c r="BY17" s="147">
        <f t="shared" si="23"/>
        <v>0.10182690579076971</v>
      </c>
      <c r="BZ17" s="143">
        <f t="shared" si="24"/>
        <v>166.84758208977769</v>
      </c>
      <c r="CA17" s="147">
        <f t="shared" si="25"/>
        <v>3.8439716446881808E-2</v>
      </c>
      <c r="CB17" s="143">
        <f t="shared" si="26"/>
        <v>114.22216657234344</v>
      </c>
      <c r="CC17" s="143">
        <f t="shared" si="27"/>
        <v>30.096896492850849</v>
      </c>
      <c r="CD17" s="3">
        <v>1.5903158759700325E-12</v>
      </c>
      <c r="CE17" s="3">
        <v>4.0102150310807229E-15</v>
      </c>
      <c r="CF17" s="157">
        <f t="shared" si="28"/>
        <v>3.0855706607338403E-12</v>
      </c>
      <c r="CG17" s="157">
        <f t="shared" si="29"/>
        <v>1.6212376048541552E-13</v>
      </c>
      <c r="CH17" s="157">
        <f t="shared" si="30"/>
        <v>4.3236070487886264E-10</v>
      </c>
      <c r="CI17" s="158">
        <f t="shared" si="31"/>
        <v>2.1645510317022473E-11</v>
      </c>
      <c r="CJ17" s="157">
        <f t="shared" si="32"/>
        <v>2.6534035866458673E-10</v>
      </c>
      <c r="CK17" s="477">
        <f t="shared" si="33"/>
        <v>6.7188148338824826E-13</v>
      </c>
      <c r="CL17" s="157">
        <f t="shared" si="34"/>
        <v>2.1130738516227117E-12</v>
      </c>
      <c r="CM17" s="157">
        <f t="shared" si="35"/>
        <v>1.6895145206494458E-13</v>
      </c>
      <c r="CN17" s="157">
        <f t="shared" si="36"/>
        <v>1.0934354551345412E-9</v>
      </c>
      <c r="CO17" s="157">
        <f t="shared" si="37"/>
        <v>2.9453316615217762E-12</v>
      </c>
      <c r="CP17" s="157">
        <f t="shared" si="38"/>
        <v>1.1838172950618313E-14</v>
      </c>
      <c r="CQ17" s="157">
        <f t="shared" si="39"/>
        <v>2.9976025702792812E-17</v>
      </c>
      <c r="CR17" s="157">
        <f t="shared" si="40"/>
        <v>4.8783675779165738E-14</v>
      </c>
      <c r="CS17" s="157">
        <f t="shared" si="41"/>
        <v>1.3140611774921017E-16</v>
      </c>
      <c r="CT17" s="66">
        <v>4.7854379032575738E-3</v>
      </c>
      <c r="CU17" s="66">
        <v>9.4540921527377091E-6</v>
      </c>
      <c r="CV17" s="3">
        <v>1.1611559367069784E+19</v>
      </c>
      <c r="CW17" s="60">
        <v>1.040942599512031E+18</v>
      </c>
      <c r="CX17" s="3">
        <v>8.6527210079182822E+17</v>
      </c>
      <c r="CY17" s="3">
        <v>8.9278178143800032E+16</v>
      </c>
      <c r="CZ17" s="6">
        <v>0.49865169925804054</v>
      </c>
      <c r="DA17" s="6">
        <v>2.7936431740382541E-2</v>
      </c>
      <c r="DB17" s="4">
        <v>24.337069265073254</v>
      </c>
      <c r="DC17" s="4">
        <v>0.74264427477540718</v>
      </c>
      <c r="DD17" s="157">
        <f t="shared" si="42"/>
        <v>1.6235794559655057E-9</v>
      </c>
      <c r="DE17" s="157">
        <f t="shared" si="43"/>
        <v>1.3069907767644318E-10</v>
      </c>
      <c r="DF17" s="147">
        <f t="shared" si="44"/>
        <v>55.683505827347481</v>
      </c>
      <c r="DG17" s="147">
        <f t="shared" si="45"/>
        <v>4.4911922879947479</v>
      </c>
      <c r="DH17" s="159">
        <f t="shared" si="46"/>
        <v>5.5683505827347482E-3</v>
      </c>
      <c r="DI17" s="167">
        <f t="shared" si="47"/>
        <v>4.491192287994748E-4</v>
      </c>
      <c r="DJ17" s="157">
        <f t="shared" si="48"/>
        <v>9.2384431171427643E-9</v>
      </c>
      <c r="DK17" s="157">
        <f t="shared" si="49"/>
        <v>2.9578402321578608E-10</v>
      </c>
      <c r="DL17" s="147">
        <f t="shared" si="50"/>
        <v>287.3074770456688</v>
      </c>
      <c r="DM17" s="133">
        <f t="shared" si="51"/>
        <v>9.3101192026457458</v>
      </c>
      <c r="DN17" s="159">
        <f t="shared" si="52"/>
        <v>2.8730747704566881E-2</v>
      </c>
      <c r="DO17" s="167">
        <f t="shared" si="53"/>
        <v>9.3101192026457454E-4</v>
      </c>
      <c r="DP17" s="157">
        <f t="shared" si="54"/>
        <v>6.4988714432740097E-7</v>
      </c>
      <c r="DQ17" s="157">
        <f t="shared" si="55"/>
        <v>4.9205267528766914E-8</v>
      </c>
      <c r="DR17" s="143">
        <f t="shared" si="56"/>
        <v>22848.663811089675</v>
      </c>
      <c r="DS17" s="143">
        <f t="shared" si="57"/>
        <v>1733.7232334500718</v>
      </c>
      <c r="DT17" s="147">
        <f t="shared" si="58"/>
        <v>2.2848663811089676</v>
      </c>
      <c r="DU17" s="147">
        <f t="shared" si="59"/>
        <v>0.17337232334500718</v>
      </c>
      <c r="DV17" s="133">
        <f t="shared" si="60"/>
        <v>0.17574167371911481</v>
      </c>
      <c r="DW17" s="133">
        <f t="shared" si="61"/>
        <v>1.517237159928886E-2</v>
      </c>
      <c r="DX17" s="133">
        <f t="shared" si="62"/>
        <v>2.4982483037817669E-3</v>
      </c>
      <c r="DY17" s="133">
        <f t="shared" si="63"/>
        <v>5.9336531780070549E-3</v>
      </c>
      <c r="DZ17" s="133">
        <f t="shared" si="64"/>
        <v>0.19381154434242706</v>
      </c>
      <c r="EA17" s="133">
        <f t="shared" si="65"/>
        <v>1.6682072359953604E-2</v>
      </c>
      <c r="EB17" s="133">
        <f t="shared" si="66"/>
        <v>2.437057426540685E-3</v>
      </c>
      <c r="EC17" s="133">
        <f t="shared" si="67"/>
        <v>5.9541152955038526E-3</v>
      </c>
      <c r="ED17" s="157">
        <f t="shared" si="68"/>
        <v>5.2805083238152136E-6</v>
      </c>
      <c r="EE17" s="157">
        <f t="shared" si="69"/>
        <v>1.6966149048403791E-7</v>
      </c>
      <c r="EF17" s="147">
        <f t="shared" si="70"/>
        <v>85.964494212161938</v>
      </c>
      <c r="EG17" s="147">
        <f t="shared" si="71"/>
        <v>23.67003400121499</v>
      </c>
      <c r="EH17" s="157">
        <f t="shared" si="72"/>
        <v>3.0046990062556068E-5</v>
      </c>
      <c r="EI17" s="157">
        <f t="shared" si="73"/>
        <v>2.4201536701868898E-6</v>
      </c>
      <c r="EJ17" s="143">
        <f t="shared" si="74"/>
        <v>620.92978126249159</v>
      </c>
      <c r="EK17" s="143">
        <f t="shared" si="75"/>
        <v>145.11519974087702</v>
      </c>
      <c r="EL17" s="143">
        <f t="shared" si="76"/>
        <v>145.11893494269452</v>
      </c>
      <c r="EM17" s="133">
        <f t="shared" si="77"/>
        <v>620.92978126249159</v>
      </c>
      <c r="EN17" s="133">
        <f t="shared" si="78"/>
        <v>145.11519974087702</v>
      </c>
      <c r="EO17" s="133">
        <f t="shared" si="79"/>
        <v>145.11893494269452</v>
      </c>
      <c r="EP17" s="501">
        <f t="shared" ref="EP17:EP30" si="283">CL17/$CL$17</f>
        <v>1</v>
      </c>
      <c r="EQ17" s="143">
        <f t="shared" ref="EQ17:EQ30" si="284">EM17</f>
        <v>620.92978126249159</v>
      </c>
      <c r="ER17" s="143">
        <f t="shared" ref="ER17:ER30" si="285">EN17</f>
        <v>145.11519974087702</v>
      </c>
      <c r="ES17" s="147">
        <f t="shared" si="81"/>
        <v>0.68482432715384978</v>
      </c>
      <c r="ET17" s="147">
        <f t="shared" si="82"/>
        <v>3.5946808160070239E-2</v>
      </c>
      <c r="EU17" s="143">
        <f t="shared" si="83"/>
        <v>354.37057690796479</v>
      </c>
      <c r="EV17" s="143">
        <f t="shared" si="84"/>
        <v>18.601107817862683</v>
      </c>
      <c r="EW17" s="157">
        <f t="shared" si="85"/>
        <v>1.9325089941982078E-3</v>
      </c>
      <c r="EX17" s="157">
        <f t="shared" si="86"/>
        <v>1.5444831696986912E-4</v>
      </c>
      <c r="EY17" s="157">
        <f t="shared" si="87"/>
        <v>2.821904709825033E-3</v>
      </c>
      <c r="EZ17" s="157">
        <f t="shared" si="88"/>
        <v>1.4812334087438222E-4</v>
      </c>
      <c r="FA17" s="66">
        <v>5.5249249999999996</v>
      </c>
      <c r="FB17" s="66">
        <v>3.0608E-2</v>
      </c>
      <c r="FC17" s="66">
        <v>1.5815889999999999</v>
      </c>
      <c r="FD17" s="66">
        <v>1.1403E-2</v>
      </c>
      <c r="FE17" s="66">
        <v>6.3532000000000005E-2</v>
      </c>
      <c r="FF17" s="66">
        <v>1.7650000000000001E-3</v>
      </c>
      <c r="FG17" s="117"/>
      <c r="FH17" s="117"/>
      <c r="FI17" s="66">
        <v>2.9626E-2</v>
      </c>
      <c r="FJ17" s="66">
        <v>1.7290000000000001E-3</v>
      </c>
      <c r="FK17" s="66">
        <v>8.8030000000000001E-3</v>
      </c>
      <c r="FL17" s="66">
        <v>1.5690000000000001E-3</v>
      </c>
      <c r="FM17" s="66">
        <v>6.79E-3</v>
      </c>
      <c r="FN17" s="66">
        <v>5.2099999999999998E-4</v>
      </c>
      <c r="FO17" s="117"/>
      <c r="FP17" s="117"/>
      <c r="FQ17" s="159">
        <f t="shared" si="89"/>
        <v>5.4952989999999993</v>
      </c>
      <c r="FR17" s="159">
        <f t="shared" si="90"/>
        <v>3.0656795413089084E-2</v>
      </c>
      <c r="FS17" s="159">
        <f t="shared" si="91"/>
        <v>1.572786</v>
      </c>
      <c r="FT17" s="159">
        <f t="shared" si="92"/>
        <v>1.6126277251740401E-2</v>
      </c>
      <c r="FU17" s="159">
        <f t="shared" si="93"/>
        <v>5.6742000000000008E-2</v>
      </c>
      <c r="FV17" s="159">
        <f t="shared" si="94"/>
        <v>1.8402896511147369E-3</v>
      </c>
      <c r="FW17" s="159">
        <f t="shared" si="95"/>
        <v>0</v>
      </c>
      <c r="FX17" s="159">
        <f t="shared" si="96"/>
        <v>0</v>
      </c>
      <c r="FY17" s="159">
        <f t="shared" si="97"/>
        <v>5.6334081988483713E-2</v>
      </c>
      <c r="FZ17" s="159">
        <f t="shared" si="98"/>
        <v>9.3149503434726364E-3</v>
      </c>
      <c r="GA17" s="159">
        <f t="shared" si="99"/>
        <v>5.4930681703532551</v>
      </c>
      <c r="GB17" s="159">
        <f t="shared" si="100"/>
        <v>3.0659014523907537E-2</v>
      </c>
      <c r="GC17" s="159">
        <f t="shared" si="101"/>
        <v>1.5613952486219287</v>
      </c>
      <c r="GD17" s="159">
        <f t="shared" si="102"/>
        <v>1.6235896219751439E-2</v>
      </c>
      <c r="GE17" s="159">
        <f t="shared" si="103"/>
        <v>-1.7193161822885231E-2</v>
      </c>
      <c r="GF17" s="159">
        <f t="shared" si="104"/>
        <v>2.8429228448278491E-3</v>
      </c>
      <c r="GG17" s="3">
        <v>1.7782159136499011E-12</v>
      </c>
      <c r="GH17" s="3">
        <v>7.5535622364420377E-15</v>
      </c>
      <c r="GI17" s="6">
        <v>1</v>
      </c>
      <c r="GJ17" s="6">
        <v>5.0000000000000001E-3</v>
      </c>
      <c r="GK17" s="157">
        <f t="shared" si="105"/>
        <v>9.7678612352859047E-12</v>
      </c>
      <c r="GL17" s="157">
        <f t="shared" si="106"/>
        <v>8.4137586043221602E-14</v>
      </c>
      <c r="GM17" s="157">
        <f t="shared" si="107"/>
        <v>2.7764978785968573E-12</v>
      </c>
      <c r="GN17" s="157">
        <f t="shared" si="108"/>
        <v>3.4137292799354511E-14</v>
      </c>
      <c r="GO17" s="157">
        <f t="shared" si="109"/>
        <v>1.0017416107278001E-13</v>
      </c>
      <c r="GP17" s="157">
        <f t="shared" si="110"/>
        <v>1.6577026372473922E-14</v>
      </c>
      <c r="GQ17" s="157">
        <f t="shared" si="111"/>
        <v>-3.0573153959412459E-14</v>
      </c>
      <c r="GR17" s="157">
        <f t="shared" si="112"/>
        <v>-5.0593084488790413E-15</v>
      </c>
      <c r="GS17" s="157">
        <f t="shared" si="113"/>
        <v>4.3579360200958245E-16</v>
      </c>
      <c r="GT17" s="157">
        <f t="shared" si="114"/>
        <v>3.7538024840925362E-18</v>
      </c>
      <c r="GU17" s="157">
        <f t="shared" si="115"/>
        <v>1.2387358730227423E-16</v>
      </c>
      <c r="GV17" s="157">
        <f t="shared" si="116"/>
        <v>1.5230369729964359E-18</v>
      </c>
      <c r="GW17" s="157">
        <f t="shared" si="117"/>
        <v>4.4692750470791384E-18</v>
      </c>
      <c r="GX17" s="157">
        <f t="shared" si="118"/>
        <v>7.3958483433565839E-19</v>
      </c>
      <c r="GY17" s="147">
        <f t="shared" si="119"/>
        <v>3.5180510349326228</v>
      </c>
      <c r="GZ17" s="147">
        <f t="shared" si="120"/>
        <v>3.0454663046007635E-2</v>
      </c>
      <c r="HA17" s="4">
        <v>26.169770272470501</v>
      </c>
      <c r="HB17" s="4">
        <v>0.31897682079735301</v>
      </c>
      <c r="HC17" s="228">
        <f t="shared" si="121"/>
        <v>710.89218642692106</v>
      </c>
      <c r="HD17" s="228">
        <f t="shared" si="122"/>
        <v>10.761826503440215</v>
      </c>
      <c r="HE17" s="239">
        <f t="shared" si="123"/>
        <v>5.7660647938662188E-12</v>
      </c>
      <c r="HF17" s="229">
        <f t="shared" si="124"/>
        <v>2.0420659819551529E-13</v>
      </c>
      <c r="HG17" s="362">
        <f t="shared" si="125"/>
        <v>404.15056253428622</v>
      </c>
      <c r="HH17" s="362">
        <f t="shared" si="126"/>
        <v>14.455034700368182</v>
      </c>
      <c r="HI17" s="4">
        <v>7.5091582159801398</v>
      </c>
      <c r="HJ17" s="4">
        <v>0.114829942558394</v>
      </c>
      <c r="HK17" s="228">
        <f t="shared" si="127"/>
        <v>717.62443964273007</v>
      </c>
      <c r="HL17" s="228">
        <f t="shared" si="128"/>
        <v>14.197830392700789</v>
      </c>
      <c r="HM17" s="239">
        <f t="shared" si="129"/>
        <v>5.7119715856271089E-12</v>
      </c>
      <c r="HN17" s="229">
        <f t="shared" si="130"/>
        <v>2.0229087396505904E-13</v>
      </c>
      <c r="HO17" s="362">
        <f t="shared" si="131"/>
        <v>400.35910313855123</v>
      </c>
      <c r="HP17" s="362">
        <f t="shared" si="132"/>
        <v>15.200428019446512</v>
      </c>
      <c r="HQ17" s="6">
        <v>1.11613116912226</v>
      </c>
      <c r="HR17" s="6">
        <v>3.5153924948669403E-2</v>
      </c>
      <c r="HS17" s="6">
        <f t="shared" si="133"/>
        <v>465.60670875243528</v>
      </c>
      <c r="HT17" s="6">
        <f t="shared" si="134"/>
        <v>44.539847462958917</v>
      </c>
      <c r="HU17" s="6">
        <v>1.11613116912226</v>
      </c>
      <c r="HV17" s="6">
        <v>3.5153924948669403E-2</v>
      </c>
      <c r="HW17" s="6">
        <f t="shared" si="135"/>
        <v>575.69120560549857</v>
      </c>
      <c r="HX17" s="6">
        <f t="shared" si="136"/>
        <v>55.721409350827287</v>
      </c>
      <c r="HY17" s="3">
        <v>0.31419200000000003</v>
      </c>
      <c r="HZ17" s="3">
        <v>3.2139999999999998E-3</v>
      </c>
      <c r="IA17" s="3">
        <v>7.1999999999999998E-3</v>
      </c>
      <c r="IB17" s="3">
        <v>8.2799999999999996E-4</v>
      </c>
      <c r="IC17" s="3">
        <v>1.2130000000000001E-3</v>
      </c>
      <c r="ID17" s="3">
        <v>2.4899999999999998E-4</v>
      </c>
      <c r="IE17" s="3">
        <v>0.13733600000000001</v>
      </c>
      <c r="IF17" s="3">
        <v>2.48E-3</v>
      </c>
      <c r="IG17" s="3">
        <v>8.5769999999999996E-3</v>
      </c>
      <c r="IH17" s="3">
        <v>2.9700000000000001E-4</v>
      </c>
      <c r="II17" s="3">
        <v>3.6189999999999998E-3</v>
      </c>
      <c r="IJ17" s="3">
        <v>4.3199999999999998E-4</v>
      </c>
      <c r="IK17" s="3">
        <v>3.692E-3</v>
      </c>
      <c r="IL17" s="3">
        <v>3.8900000000000002E-4</v>
      </c>
      <c r="IM17" s="3">
        <v>3.1870000000000002E-3</v>
      </c>
      <c r="IN17" s="3">
        <v>5.9500000000000004E-4</v>
      </c>
      <c r="IO17" s="3">
        <v>5.8100000000000003E-4</v>
      </c>
      <c r="IP17" s="3">
        <v>1.37E-4</v>
      </c>
      <c r="IQ17" s="3">
        <v>3.9399999999999998E-4</v>
      </c>
      <c r="IR17" s="3">
        <v>8.2999999999999998E-5</v>
      </c>
      <c r="IS17" s="3">
        <v>1.629E-3</v>
      </c>
      <c r="IT17" s="3">
        <v>4.5899999999999999E-4</v>
      </c>
      <c r="IU17" s="3">
        <v>4.7399999999999997E-4</v>
      </c>
      <c r="IV17" s="3">
        <v>2.4399999999999999E-4</v>
      </c>
      <c r="IW17" s="3">
        <v>3.9500000000000001E-4</v>
      </c>
      <c r="IX17" s="3">
        <v>7.3999999999999996E-5</v>
      </c>
      <c r="IY17" s="3">
        <v>4.5300000000000001E-4</v>
      </c>
      <c r="IZ17" s="3">
        <v>1.6000000000000001E-4</v>
      </c>
      <c r="JA17" s="157">
        <f t="shared" si="137"/>
        <v>0.31100500000000003</v>
      </c>
      <c r="JB17" s="157">
        <f t="shared" si="138"/>
        <v>3.2686114789004825E-3</v>
      </c>
      <c r="JC17" s="157">
        <f t="shared" si="139"/>
        <v>6.6189999999999999E-3</v>
      </c>
      <c r="JD17" s="157">
        <f t="shared" si="140"/>
        <v>8.3925740985707118E-4</v>
      </c>
      <c r="JE17" s="157">
        <f t="shared" si="141"/>
        <v>8.1900000000000007E-4</v>
      </c>
      <c r="JF17" s="157">
        <f t="shared" si="142"/>
        <v>2.6246904579397547E-4</v>
      </c>
      <c r="JG17" s="157">
        <f t="shared" si="143"/>
        <v>0.13570700000000002</v>
      </c>
      <c r="JH17" s="157">
        <f t="shared" si="144"/>
        <v>2.522118355668504E-3</v>
      </c>
      <c r="JI17" s="157">
        <f t="shared" si="145"/>
        <v>8.1029999999999991E-3</v>
      </c>
      <c r="JJ17" s="157">
        <f t="shared" si="146"/>
        <v>3.8437611788455327E-4</v>
      </c>
      <c r="JK17" s="157">
        <f t="shared" si="147"/>
        <v>3.2239999999999999E-3</v>
      </c>
      <c r="JL17" s="157">
        <f t="shared" si="148"/>
        <v>4.3829214001622248E-4</v>
      </c>
      <c r="JM17" s="157">
        <f t="shared" si="149"/>
        <v>3.2390000000000001E-3</v>
      </c>
      <c r="JN17" s="157">
        <f t="shared" si="150"/>
        <v>4.2061978079971466E-4</v>
      </c>
      <c r="JO17" s="157">
        <f t="shared" si="151"/>
        <v>0.31061876089811502</v>
      </c>
      <c r="JP17" s="157">
        <f t="shared" si="152"/>
        <v>3.270954369129895E-3</v>
      </c>
      <c r="JQ17" s="157">
        <f t="shared" si="153"/>
        <v>1.3014504625179996E-3</v>
      </c>
      <c r="JR17" s="157">
        <f t="shared" si="154"/>
        <v>1.8995926808173076E-3</v>
      </c>
      <c r="JS17" s="157">
        <f t="shared" si="155"/>
        <v>0.13143889564075403</v>
      </c>
      <c r="JT17" s="157">
        <f t="shared" si="156"/>
        <v>2.8691488085514838E-3</v>
      </c>
      <c r="JU17" s="157">
        <f t="shared" si="157"/>
        <v>2.6934887715149985E-3</v>
      </c>
      <c r="JV17" s="157">
        <f t="shared" si="158"/>
        <v>1.775713911264487E-3</v>
      </c>
      <c r="JW17" s="157">
        <f t="shared" si="159"/>
        <v>1.1159134741819997E-3</v>
      </c>
      <c r="JX17" s="157">
        <f t="shared" si="160"/>
        <v>8.0530777278815574E-4</v>
      </c>
      <c r="JY17" s="157">
        <f t="shared" si="161"/>
        <v>1.4571070013869999E-3</v>
      </c>
      <c r="JZ17" s="157">
        <f t="shared" si="162"/>
        <v>7.0924017064818881E-4</v>
      </c>
      <c r="KA17" s="3">
        <v>1.7696448643015688E-12</v>
      </c>
      <c r="KB17" s="3">
        <v>3.8892524257744769E-14</v>
      </c>
      <c r="KC17" s="5">
        <v>1</v>
      </c>
      <c r="KD17" s="5">
        <v>0</v>
      </c>
      <c r="KE17" s="157">
        <f t="shared" si="163"/>
        <v>5.4968489497906623E-13</v>
      </c>
      <c r="KF17" s="157">
        <f t="shared" si="164"/>
        <v>1.3395908289989686E-14</v>
      </c>
      <c r="KG17" s="157">
        <f t="shared" si="165"/>
        <v>2.4524218207341755E-17</v>
      </c>
      <c r="KH17" s="157">
        <f t="shared" si="166"/>
        <v>5.9765909720840482E-19</v>
      </c>
      <c r="KI17" s="6">
        <v>1.2430056234832578</v>
      </c>
      <c r="KJ17" s="6">
        <v>0.11113867994607306</v>
      </c>
      <c r="KK17" s="157">
        <f t="shared" si="167"/>
        <v>2.9344246722857117E-13</v>
      </c>
      <c r="KL17" s="157">
        <f t="shared" si="260"/>
        <v>3.7883687453767192E-14</v>
      </c>
      <c r="KM17" s="494">
        <f t="shared" si="168"/>
        <v>32.66593823018264</v>
      </c>
      <c r="KN17" s="494">
        <f t="shared" si="281"/>
        <v>4.2222021179622651</v>
      </c>
      <c r="KO17" s="4">
        <v>20.162258156415799</v>
      </c>
      <c r="KP17" s="4">
        <v>0.66285498057307002</v>
      </c>
      <c r="KQ17" s="229">
        <f t="shared" si="170"/>
        <v>9732.5956372061082</v>
      </c>
      <c r="KR17" s="229">
        <f t="shared" si="171"/>
        <v>399.05418912806476</v>
      </c>
      <c r="KS17" s="364">
        <f t="shared" si="172"/>
        <v>29.520128828463776</v>
      </c>
      <c r="KT17" s="364">
        <f t="shared" si="173"/>
        <v>1.5427524847527729</v>
      </c>
      <c r="KU17" s="147">
        <f t="shared" si="174"/>
        <v>0.13103319034075048</v>
      </c>
      <c r="KV17" s="147">
        <f t="shared" si="175"/>
        <v>2.8840957375237059E-3</v>
      </c>
      <c r="KW17" s="157">
        <f t="shared" si="176"/>
        <v>2.31882212339559E-13</v>
      </c>
      <c r="KX17" s="157">
        <f t="shared" si="177"/>
        <v>7.212517159293379E-15</v>
      </c>
      <c r="KY17" s="157">
        <f t="shared" si="178"/>
        <v>1.0345436132155441E-17</v>
      </c>
      <c r="KZ17" s="157">
        <f t="shared" si="179"/>
        <v>3.2178680237555916E-19</v>
      </c>
      <c r="LA17" s="6">
        <v>1.2485542932379501</v>
      </c>
      <c r="LB17" s="6">
        <v>5.9627651953476503E-2</v>
      </c>
      <c r="LC17" s="157">
        <f t="shared" si="180"/>
        <v>8.6909543089055119E-11</v>
      </c>
      <c r="LD17" s="157">
        <f t="shared" si="181"/>
        <v>9.9980820891565028E-12</v>
      </c>
      <c r="LE17" s="159">
        <f t="shared" si="182"/>
        <v>10.469321775254976</v>
      </c>
      <c r="LF17" s="159">
        <f t="shared" si="183"/>
        <v>1.2093917711034901</v>
      </c>
      <c r="LG17" s="471"/>
      <c r="LH17" s="471"/>
      <c r="LI17" s="134"/>
      <c r="LJ17" s="134"/>
      <c r="LK17" s="134"/>
      <c r="LL17" s="134"/>
      <c r="LM17" s="157">
        <f t="shared" si="184"/>
        <v>1.974770548591097E-15</v>
      </c>
      <c r="LN17" s="157">
        <f t="shared" si="185"/>
        <v>1.4257694800105449E-15</v>
      </c>
      <c r="LO17" s="157">
        <f t="shared" si="186"/>
        <v>8.8104483651355213E-20</v>
      </c>
      <c r="LP17" s="157">
        <f t="shared" si="187"/>
        <v>6.3610774391917183E-20</v>
      </c>
      <c r="LQ17" s="157">
        <f t="shared" si="188"/>
        <v>2.2427009671270901E-14</v>
      </c>
      <c r="LR17" s="157">
        <f t="shared" si="189"/>
        <v>1.6316473982789432E-14</v>
      </c>
      <c r="LS17" s="147">
        <f t="shared" si="190"/>
        <v>4.6826988303614661</v>
      </c>
      <c r="LT17" s="147">
        <f t="shared" si="191"/>
        <v>3.4069159951027626</v>
      </c>
      <c r="LU17" s="1"/>
      <c r="LV17" s="1"/>
      <c r="LW17" s="214" t="str">
        <f t="shared" si="192"/>
        <v>44z3</v>
      </c>
      <c r="LX17" s="214" t="str">
        <f t="shared" si="193"/>
        <v>MN2022a</v>
      </c>
      <c r="LY17" s="212">
        <f t="shared" si="194"/>
        <v>55.683505827347481</v>
      </c>
      <c r="LZ17" s="212">
        <f t="shared" si="195"/>
        <v>4.4911922879947479</v>
      </c>
      <c r="MA17" s="212">
        <f t="shared" si="196"/>
        <v>287.3074770456688</v>
      </c>
      <c r="MB17" s="212">
        <f t="shared" si="197"/>
        <v>9.3101192026457458</v>
      </c>
      <c r="MC17" s="212">
        <f t="shared" si="198"/>
        <v>22848.663811089675</v>
      </c>
      <c r="MD17" s="212">
        <f t="shared" si="199"/>
        <v>1733.7232334500718</v>
      </c>
      <c r="ME17" s="212">
        <f t="shared" si="200"/>
        <v>465.60670875243528</v>
      </c>
      <c r="MF17" s="212">
        <f t="shared" si="201"/>
        <v>44.539847462958917</v>
      </c>
      <c r="MG17" s="212">
        <f t="shared" si="202"/>
        <v>575.69120560549857</v>
      </c>
      <c r="MH17" s="212">
        <f t="shared" si="203"/>
        <v>55.721409350827287</v>
      </c>
      <c r="MI17" s="212">
        <f t="shared" si="204"/>
        <v>404.15056253428622</v>
      </c>
      <c r="MJ17" s="212">
        <f t="shared" si="205"/>
        <v>14.455034700368182</v>
      </c>
      <c r="MK17" s="212">
        <f t="shared" si="206"/>
        <v>400.35910313855123</v>
      </c>
      <c r="ML17" s="212">
        <f t="shared" si="207"/>
        <v>15.200428019446512</v>
      </c>
      <c r="MM17" s="212">
        <f t="shared" si="261"/>
        <v>32.66593823018264</v>
      </c>
      <c r="MN17" s="212">
        <f t="shared" si="208"/>
        <v>4.2222021179622651</v>
      </c>
      <c r="MO17" s="212">
        <f t="shared" si="209"/>
        <v>29.520128828463776</v>
      </c>
      <c r="MP17" s="212">
        <f t="shared" si="210"/>
        <v>1.5427524847527729</v>
      </c>
      <c r="MQ17" s="211"/>
      <c r="MR17" s="211"/>
      <c r="MS17" s="211"/>
      <c r="MT17" s="211"/>
      <c r="MU17" s="506">
        <f t="shared" si="273"/>
        <v>0.19381154434242706</v>
      </c>
      <c r="MV17" s="506">
        <f t="shared" si="274"/>
        <v>1.6682072359953604E-2</v>
      </c>
      <c r="MW17" s="109">
        <f t="shared" si="211"/>
        <v>1.4066830654394862E-3</v>
      </c>
      <c r="MX17" s="109">
        <f t="shared" si="212"/>
        <v>6.7890577526550782E-5</v>
      </c>
      <c r="MY17" s="109">
        <f t="shared" si="213"/>
        <v>1.3934865435991154E-3</v>
      </c>
      <c r="MZ17" s="109">
        <f t="shared" si="214"/>
        <v>6.9556589746492997E-5</v>
      </c>
      <c r="NA17" s="513">
        <f t="shared" si="215"/>
        <v>1.1369679120808348E-4</v>
      </c>
      <c r="NB17" s="513">
        <f t="shared" si="216"/>
        <v>1.5150563165397051E-5</v>
      </c>
      <c r="NC17" s="506">
        <f t="shared" si="275"/>
        <v>0.17574167371911481</v>
      </c>
      <c r="ND17" s="506">
        <f t="shared" si="276"/>
        <v>1.517237159928886E-2</v>
      </c>
      <c r="NE17" s="109">
        <f t="shared" si="217"/>
        <v>6.2413814976754742E-4</v>
      </c>
      <c r="NF17" s="109">
        <f t="shared" si="218"/>
        <v>2.9797649720542778E-5</v>
      </c>
      <c r="NG17" s="513">
        <f t="shared" si="219"/>
        <v>6.1828291988160107E-4</v>
      </c>
      <c r="NH17" s="513">
        <f t="shared" si="220"/>
        <v>2.951810890215239E-5</v>
      </c>
      <c r="NI17" s="109">
        <f t="shared" si="221"/>
        <v>3.1763202184290151E-5</v>
      </c>
      <c r="NJ17" s="109">
        <f t="shared" si="221"/>
        <v>4.2325768028724417E-6</v>
      </c>
      <c r="NK17" s="621">
        <f t="shared" si="222"/>
        <v>2.7066409304682809E-9</v>
      </c>
      <c r="NL17" s="621">
        <f t="shared" si="223"/>
        <v>1.4285629018581571E-10</v>
      </c>
      <c r="NM17" s="621">
        <f t="shared" si="224"/>
        <v>1.8535735540550103E-9</v>
      </c>
      <c r="NN17" s="621">
        <f t="shared" si="225"/>
        <v>1.4849252815903719E-10</v>
      </c>
      <c r="NO17" s="621">
        <f t="shared" si="226"/>
        <v>9.5915390801275541E-7</v>
      </c>
      <c r="NP17" s="621">
        <f t="shared" si="227"/>
        <v>5.4474324063249667E-9</v>
      </c>
      <c r="NQ17" s="621">
        <f t="shared" si="228"/>
        <v>1.5934151305937836E-7</v>
      </c>
      <c r="NR17" s="621">
        <f t="shared" si="229"/>
        <v>4.1995070364313075E-8</v>
      </c>
      <c r="NS17" s="621">
        <f t="shared" si="230"/>
        <v>9.3796009782971647E-7</v>
      </c>
      <c r="NT17" s="621">
        <f t="shared" si="231"/>
        <v>3.0900473087622085E-9</v>
      </c>
      <c r="NU17" s="621">
        <f t="shared" si="232"/>
        <v>8.7872071116473702E-11</v>
      </c>
      <c r="NV17" s="621">
        <f t="shared" si="233"/>
        <v>1.4547887272648668E-11</v>
      </c>
      <c r="NW17" s="621">
        <f t="shared" si="234"/>
        <v>1.2713501261956008E-12</v>
      </c>
      <c r="NX17" s="621">
        <f t="shared" si="235"/>
        <v>4.0844238777645613E-13</v>
      </c>
      <c r="NY17" s="621">
        <f t="shared" si="236"/>
        <v>1.2578449417048781E-11</v>
      </c>
      <c r="NZ17" s="621">
        <f t="shared" si="237"/>
        <v>6.6060386623489045E-13</v>
      </c>
      <c r="OA17" s="622">
        <f t="shared" si="262"/>
        <v>354.37057690796479</v>
      </c>
      <c r="OB17" s="622">
        <f t="shared" si="238"/>
        <v>18.601107817862683</v>
      </c>
      <c r="OC17" s="622">
        <f t="shared" si="239"/>
        <v>346.54027701688466</v>
      </c>
      <c r="OD17" s="622">
        <f t="shared" si="263"/>
        <v>18.325963315207446</v>
      </c>
      <c r="OE17" s="621">
        <f t="shared" si="264"/>
        <v>3.2465359600274274E-2</v>
      </c>
      <c r="OF17" s="621">
        <f t="shared" si="265"/>
        <v>5.6367411156715364E-3</v>
      </c>
      <c r="OG17" s="621">
        <f t="shared" si="266"/>
        <v>4.6971510401848621E-4</v>
      </c>
      <c r="OH17" s="621">
        <f t="shared" si="267"/>
        <v>1.5292669824696164E-4</v>
      </c>
      <c r="OI17" s="621">
        <f t="shared" si="268"/>
        <v>4.6472545639338128E-3</v>
      </c>
      <c r="OJ17" s="621">
        <f t="shared" si="269"/>
        <v>3.4602342151063086E-4</v>
      </c>
      <c r="OK17" s="621">
        <f t="shared" si="240"/>
        <v>1.9325089941982078E-3</v>
      </c>
      <c r="OL17" s="621">
        <f t="shared" si="241"/>
        <v>1.5444831696986912E-4</v>
      </c>
      <c r="OM17" s="621">
        <f t="shared" si="242"/>
        <v>2.821904709825033E-3</v>
      </c>
      <c r="ON17" s="621">
        <f t="shared" si="243"/>
        <v>1.4812334087438222E-4</v>
      </c>
      <c r="OO17" s="621">
        <f t="shared" si="244"/>
        <v>0.68482432715384978</v>
      </c>
      <c r="OP17" s="621">
        <f t="shared" si="245"/>
        <v>3.5946808160070239E-2</v>
      </c>
      <c r="OQ17" s="621">
        <f t="shared" si="246"/>
        <v>4.7854379032575738E-3</v>
      </c>
      <c r="OR17" s="621">
        <f t="shared" si="247"/>
        <v>9.4540921527377091E-6</v>
      </c>
    </row>
    <row r="18" spans="2:408" s="657" customFormat="1">
      <c r="B18" s="630" t="s">
        <v>958</v>
      </c>
      <c r="C18" s="631">
        <v>1.5299999999999999E-3</v>
      </c>
      <c r="D18" s="632">
        <f t="shared" ref="D18" si="286">C18*0.5%</f>
        <v>7.6499999999999996E-6</v>
      </c>
      <c r="E18" s="633">
        <v>45111</v>
      </c>
      <c r="F18" s="631" t="s">
        <v>210</v>
      </c>
      <c r="G18" s="631" t="s">
        <v>893</v>
      </c>
      <c r="H18" s="631">
        <v>2</v>
      </c>
      <c r="I18" s="631"/>
      <c r="J18" s="634">
        <v>44644</v>
      </c>
      <c r="K18" s="633" t="s">
        <v>823</v>
      </c>
      <c r="L18" s="631" t="s">
        <v>949</v>
      </c>
      <c r="M18" s="631" t="s">
        <v>951</v>
      </c>
      <c r="N18" s="631">
        <v>180</v>
      </c>
      <c r="O18" s="635">
        <v>793.12584200000003</v>
      </c>
      <c r="P18" s="635">
        <v>0.38568799999999998</v>
      </c>
      <c r="Q18" s="635">
        <v>1.677702</v>
      </c>
      <c r="R18" s="635">
        <v>8.4939000000000001E-2</v>
      </c>
      <c r="S18" s="635">
        <v>276.14104800000001</v>
      </c>
      <c r="T18" s="635">
        <v>0.88997999999999999</v>
      </c>
      <c r="U18" s="635">
        <v>4.6970999999999999E-2</v>
      </c>
      <c r="V18" s="635">
        <v>2.7372E-2</v>
      </c>
      <c r="W18" s="635">
        <v>2.7321970000000002</v>
      </c>
      <c r="X18" s="635">
        <v>6.2931000000000001E-2</v>
      </c>
      <c r="Y18" s="635">
        <v>74.435598999999996</v>
      </c>
      <c r="Z18" s="635">
        <v>0.766177</v>
      </c>
      <c r="AA18" s="635">
        <v>6.1488000000000001E-2</v>
      </c>
      <c r="AB18" s="635">
        <v>6.9242999999999999E-2</v>
      </c>
      <c r="AC18" s="635">
        <v>-8.6189999999999999E-3</v>
      </c>
      <c r="AD18" s="635">
        <v>7.0229E-2</v>
      </c>
      <c r="AE18" s="635">
        <v>6.0231E-2</v>
      </c>
      <c r="AF18" s="635">
        <v>2.2596000000000002E-2</v>
      </c>
      <c r="AG18" s="635">
        <v>0.54444800000000004</v>
      </c>
      <c r="AH18" s="635">
        <v>9.3480999999999995E-2</v>
      </c>
      <c r="AI18" s="637">
        <f t="shared" si="1"/>
        <v>718.69024300000001</v>
      </c>
      <c r="AJ18" s="637">
        <f t="shared" si="2"/>
        <v>0.85777761026562116</v>
      </c>
      <c r="AK18" s="637">
        <f t="shared" si="3"/>
        <v>1.616214</v>
      </c>
      <c r="AL18" s="637">
        <f t="shared" si="4"/>
        <v>0.10958661765927444</v>
      </c>
      <c r="AM18" s="637">
        <f t="shared" si="5"/>
        <v>276.14966700000002</v>
      </c>
      <c r="AN18" s="637">
        <f t="shared" si="6"/>
        <v>0.89274661177794457</v>
      </c>
      <c r="AO18" s="637">
        <f t="shared" si="7"/>
        <v>-1.3260000000000001E-2</v>
      </c>
      <c r="AP18" s="637">
        <f t="shared" si="8"/>
        <v>3.5493740293184091E-2</v>
      </c>
      <c r="AQ18" s="637">
        <f t="shared" si="9"/>
        <v>2.1877490000000002</v>
      </c>
      <c r="AR18" s="637">
        <f t="shared" si="10"/>
        <v>0.11268987586291858</v>
      </c>
      <c r="AS18" s="638">
        <v>304.12046242532102</v>
      </c>
      <c r="AT18" s="638">
        <v>0.91447361557367601</v>
      </c>
      <c r="AU18" s="639">
        <f t="shared" si="11"/>
        <v>1.6280012352438897</v>
      </c>
      <c r="AV18" s="639">
        <f t="shared" si="12"/>
        <v>0.10958953848024609</v>
      </c>
      <c r="AW18" s="639">
        <f t="shared" si="13"/>
        <v>280.17764978872827</v>
      </c>
      <c r="AX18" s="639">
        <f t="shared" si="14"/>
        <v>0.89279339344787745</v>
      </c>
      <c r="AY18" s="639">
        <f t="shared" si="15"/>
        <v>-1.3550120131369943E-2</v>
      </c>
      <c r="AZ18" s="639">
        <f t="shared" si="16"/>
        <v>3.5495418385182602E-2</v>
      </c>
      <c r="BA18" s="639">
        <f t="shared" si="17"/>
        <v>2.251571023859674</v>
      </c>
      <c r="BB18" s="639">
        <f t="shared" si="18"/>
        <v>0.11269288423988978</v>
      </c>
      <c r="BC18" s="635"/>
      <c r="BD18" s="640"/>
      <c r="BE18" s="799">
        <v>3.1970000000000001</v>
      </c>
      <c r="BF18" s="637">
        <v>2.0400944831061141</v>
      </c>
      <c r="BG18" s="637">
        <f t="shared" si="250"/>
        <v>2.2848663811089676</v>
      </c>
      <c r="BH18" s="637">
        <f t="shared" si="251"/>
        <v>0.11424331905544838</v>
      </c>
      <c r="BI18" s="641">
        <f t="shared" si="19"/>
        <v>8.7221695686045914E-7</v>
      </c>
      <c r="BJ18" s="641">
        <f t="shared" si="252"/>
        <v>4.3610847843022961E-8</v>
      </c>
      <c r="BK18" s="639">
        <f t="shared" si="20"/>
        <v>364.87944713916272</v>
      </c>
      <c r="BL18" s="639">
        <f t="shared" si="253"/>
        <v>18.243972356958135</v>
      </c>
      <c r="BM18" s="639"/>
      <c r="BN18" s="639"/>
      <c r="BO18" s="642">
        <f t="shared" si="254"/>
        <v>718.47825154351028</v>
      </c>
      <c r="BP18" s="639">
        <f t="shared" si="255"/>
        <v>0.85789630479555024</v>
      </c>
      <c r="BQ18" s="642">
        <f t="shared" si="271"/>
        <v>1.6280012352438897</v>
      </c>
      <c r="BR18" s="639">
        <f t="shared" si="272"/>
        <v>0.10958953848024609</v>
      </c>
      <c r="BS18" s="642">
        <f t="shared" si="256"/>
        <v>280.17764978872827</v>
      </c>
      <c r="BT18" s="639">
        <f t="shared" si="257"/>
        <v>0.89279339344787745</v>
      </c>
      <c r="BU18" s="637">
        <f t="shared" si="258"/>
        <v>2.1242904374745573</v>
      </c>
      <c r="BV18" s="637">
        <f t="shared" si="21"/>
        <v>0.11287243696971172</v>
      </c>
      <c r="BW18" s="631"/>
      <c r="BX18" s="637">
        <f t="shared" si="22"/>
        <v>1.8713667608792721</v>
      </c>
      <c r="BY18" s="637">
        <f t="shared" si="23"/>
        <v>0.11290545334368879</v>
      </c>
      <c r="BZ18" s="642">
        <f t="shared" si="24"/>
        <v>279.77828204397105</v>
      </c>
      <c r="CA18" s="637">
        <f t="shared" si="25"/>
        <v>9.0806648986466676E-2</v>
      </c>
      <c r="CB18" s="642">
        <f t="shared" si="26"/>
        <v>165.48937370368537</v>
      </c>
      <c r="CC18" s="642">
        <f t="shared" si="27"/>
        <v>33.374589429222446</v>
      </c>
      <c r="CD18" s="643">
        <v>1.5903158759700325E-12</v>
      </c>
      <c r="CE18" s="643">
        <v>4.0102150310807229E-15</v>
      </c>
      <c r="CF18" s="641">
        <f t="shared" si="28"/>
        <v>2.9760642695889219E-12</v>
      </c>
      <c r="CG18" s="641">
        <f t="shared" si="29"/>
        <v>1.7971209495107306E-13</v>
      </c>
      <c r="CH18" s="641">
        <f t="shared" si="30"/>
        <v>5.8027357760057872E-10</v>
      </c>
      <c r="CI18" s="644">
        <f t="shared" si="31"/>
        <v>2.9050553320214361E-11</v>
      </c>
      <c r="CJ18" s="641">
        <f t="shared" si="32"/>
        <v>4.4493584368614862E-10</v>
      </c>
      <c r="CK18" s="645">
        <f t="shared" si="33"/>
        <v>1.131226633870747E-12</v>
      </c>
      <c r="CL18" s="641">
        <f t="shared" si="34"/>
        <v>2.5890362105071816E-12</v>
      </c>
      <c r="CM18" s="641">
        <f t="shared" si="35"/>
        <v>1.7440422194927935E-13</v>
      </c>
      <c r="CN18" s="641">
        <f t="shared" si="36"/>
        <v>1.1426073699688348E-9</v>
      </c>
      <c r="CO18" s="641">
        <f t="shared" si="37"/>
        <v>3.1879461204679365E-12</v>
      </c>
      <c r="CP18" s="641">
        <f t="shared" si="38"/>
        <v>1.985083421155745E-14</v>
      </c>
      <c r="CQ18" s="641">
        <f t="shared" si="39"/>
        <v>5.0469732361721036E-17</v>
      </c>
      <c r="CR18" s="641">
        <f t="shared" si="40"/>
        <v>5.0977483140590443E-14</v>
      </c>
      <c r="CS18" s="641">
        <f t="shared" si="41"/>
        <v>1.4223037361040512E-16</v>
      </c>
      <c r="CT18" s="632">
        <v>4.7854379032575738E-3</v>
      </c>
      <c r="CU18" s="632">
        <v>9.4540921527377091E-6</v>
      </c>
      <c r="CV18" s="643">
        <v>1.1611559367069784E+19</v>
      </c>
      <c r="CW18" s="646">
        <v>1.040942599512031E+18</v>
      </c>
      <c r="CX18" s="643">
        <v>8.6527210079182822E+17</v>
      </c>
      <c r="CY18" s="643">
        <v>8.9278178143800032E+16</v>
      </c>
      <c r="CZ18" s="635">
        <v>0.49865169925804054</v>
      </c>
      <c r="DA18" s="635">
        <v>2.7936431740382541E-2</v>
      </c>
      <c r="DB18" s="638">
        <v>24.337069265073254</v>
      </c>
      <c r="DC18" s="638">
        <v>0.74264427477540718</v>
      </c>
      <c r="DD18" s="641">
        <f t="shared" si="42"/>
        <v>1.989284945673909E-9</v>
      </c>
      <c r="DE18" s="641">
        <f t="shared" si="43"/>
        <v>1.3528911727894061E-10</v>
      </c>
      <c r="DF18" s="637">
        <f t="shared" si="44"/>
        <v>50.835071628393599</v>
      </c>
      <c r="DG18" s="637">
        <f t="shared" si="45"/>
        <v>3.4665690966435565</v>
      </c>
      <c r="DH18" s="647">
        <f t="shared" si="46"/>
        <v>5.0835071628393602E-3</v>
      </c>
      <c r="DI18" s="648">
        <f t="shared" si="47"/>
        <v>3.4665690966435565E-4</v>
      </c>
      <c r="DJ18" s="641">
        <f t="shared" si="48"/>
        <v>1.5491478580039367E-8</v>
      </c>
      <c r="DK18" s="641">
        <f t="shared" si="49"/>
        <v>4.9599793104808894E-10</v>
      </c>
      <c r="DL18" s="637">
        <f t="shared" si="50"/>
        <v>358.9669216327685</v>
      </c>
      <c r="DM18" s="639">
        <f t="shared" si="51"/>
        <v>11.632513133324284</v>
      </c>
      <c r="DN18" s="647">
        <f t="shared" si="52"/>
        <v>3.5896692163276851E-2</v>
      </c>
      <c r="DO18" s="648">
        <f t="shared" si="53"/>
        <v>1.1632513133324285E-3</v>
      </c>
      <c r="DP18" s="641">
        <f t="shared" si="54"/>
        <v>8.7221695686045914E-7</v>
      </c>
      <c r="DQ18" s="641">
        <f t="shared" si="55"/>
        <v>6.6038648525450318E-8</v>
      </c>
      <c r="DR18" s="642">
        <f t="shared" si="56"/>
        <v>22848.663811089675</v>
      </c>
      <c r="DS18" s="642">
        <f t="shared" si="57"/>
        <v>1733.7232334500718</v>
      </c>
      <c r="DT18" s="637">
        <f t="shared" si="58"/>
        <v>2.2848663811089676</v>
      </c>
      <c r="DU18" s="637">
        <f t="shared" si="59"/>
        <v>0.17337232334500718</v>
      </c>
      <c r="DV18" s="639">
        <f t="shared" si="60"/>
        <v>0.12841156093628694</v>
      </c>
      <c r="DW18" s="639">
        <f t="shared" si="61"/>
        <v>9.7582496561797339E-3</v>
      </c>
      <c r="DX18" s="639">
        <f t="shared" si="62"/>
        <v>2.2807226229977582E-3</v>
      </c>
      <c r="DY18" s="639">
        <f t="shared" si="63"/>
        <v>5.8876522347269334E-3</v>
      </c>
      <c r="DZ18" s="639">
        <f t="shared" si="64"/>
        <v>0.14161491927214134</v>
      </c>
      <c r="EA18" s="639">
        <f t="shared" si="65"/>
        <v>1.0707189468942016E-2</v>
      </c>
      <c r="EB18" s="639">
        <f t="shared" si="66"/>
        <v>2.2248597138411494E-3</v>
      </c>
      <c r="EC18" s="639">
        <f t="shared" si="67"/>
        <v>5.909271395666966E-3</v>
      </c>
      <c r="ED18" s="641">
        <f t="shared" si="68"/>
        <v>3.2906789934354283E-6</v>
      </c>
      <c r="EE18" s="641">
        <f t="shared" si="69"/>
        <v>1.0575848879682058E-7</v>
      </c>
      <c r="EF18" s="637">
        <f t="shared" si="70"/>
        <v>101.6518723211494</v>
      </c>
      <c r="EG18" s="637">
        <f t="shared" si="71"/>
        <v>21.61220107338718</v>
      </c>
      <c r="EH18" s="641">
        <f t="shared" si="72"/>
        <v>2.5626033742149911E-5</v>
      </c>
      <c r="EI18" s="641">
        <f t="shared" si="73"/>
        <v>1.744264823675125E-6</v>
      </c>
      <c r="EJ18" s="642">
        <f t="shared" si="74"/>
        <v>714.31894248755646</v>
      </c>
      <c r="EK18" s="642">
        <f t="shared" si="75"/>
        <v>125.80744884797164</v>
      </c>
      <c r="EL18" s="642">
        <f t="shared" si="76"/>
        <v>125.81288005107349</v>
      </c>
      <c r="EM18" s="639">
        <f t="shared" si="77"/>
        <v>714.31894248755646</v>
      </c>
      <c r="EN18" s="639">
        <f t="shared" si="78"/>
        <v>125.80744884797164</v>
      </c>
      <c r="EO18" s="639">
        <f t="shared" si="79"/>
        <v>125.81288005107349</v>
      </c>
      <c r="EP18" s="649">
        <f t="shared" si="283"/>
        <v>1.2252464382723585</v>
      </c>
      <c r="EQ18" s="642">
        <f t="shared" si="284"/>
        <v>714.31894248755646</v>
      </c>
      <c r="ER18" s="642">
        <f t="shared" si="285"/>
        <v>125.80744884797164</v>
      </c>
      <c r="ES18" s="637">
        <f t="shared" si="81"/>
        <v>0.869953057453561</v>
      </c>
      <c r="ET18" s="637">
        <f t="shared" si="82"/>
        <v>5.2497287194666696E-2</v>
      </c>
      <c r="EU18" s="642">
        <f t="shared" si="83"/>
        <v>383.9323571216629</v>
      </c>
      <c r="EV18" s="642">
        <f t="shared" si="84"/>
        <v>23.168384825427424</v>
      </c>
      <c r="EW18" s="641">
        <f t="shared" si="85"/>
        <v>2.2659018999481848E-3</v>
      </c>
      <c r="EX18" s="641">
        <f t="shared" si="86"/>
        <v>1.525540647918371E-4</v>
      </c>
      <c r="EY18" s="641">
        <f t="shared" si="87"/>
        <v>2.6046254801157945E-3</v>
      </c>
      <c r="EZ18" s="641">
        <f t="shared" si="88"/>
        <v>1.571760346063093E-4</v>
      </c>
      <c r="FA18" s="632">
        <v>8.3954909999999998</v>
      </c>
      <c r="FB18" s="632">
        <v>5.9084999999999999E-2</v>
      </c>
      <c r="FC18" s="632">
        <v>2.4063330000000001</v>
      </c>
      <c r="FD18" s="632">
        <v>1.3183E-2</v>
      </c>
      <c r="FE18" s="632">
        <v>6.7372000000000001E-2</v>
      </c>
      <c r="FF18" s="632">
        <v>1.0549999999999999E-3</v>
      </c>
      <c r="FG18" s="631"/>
      <c r="FH18" s="631"/>
      <c r="FI18" s="632">
        <v>1.2565E-2</v>
      </c>
      <c r="FJ18" s="632">
        <v>1.0870000000000001E-3</v>
      </c>
      <c r="FK18" s="632">
        <v>5.7879999999999997E-3</v>
      </c>
      <c r="FL18" s="632">
        <v>6.4999999999999997E-4</v>
      </c>
      <c r="FM18" s="632">
        <v>5.8979999999999996E-3</v>
      </c>
      <c r="FN18" s="632">
        <v>6.5600000000000001E-4</v>
      </c>
      <c r="FO18" s="631"/>
      <c r="FP18" s="631"/>
      <c r="FQ18" s="647">
        <f t="shared" si="89"/>
        <v>8.3829259999999994</v>
      </c>
      <c r="FR18" s="647">
        <f t="shared" si="90"/>
        <v>5.9094998045519889E-2</v>
      </c>
      <c r="FS18" s="647">
        <f t="shared" si="91"/>
        <v>2.4005450000000002</v>
      </c>
      <c r="FT18" s="647">
        <f t="shared" si="92"/>
        <v>1.8643577392764513E-2</v>
      </c>
      <c r="FU18" s="647">
        <f t="shared" si="93"/>
        <v>6.1474000000000001E-2</v>
      </c>
      <c r="FV18" s="647">
        <f t="shared" si="94"/>
        <v>1.2423208120288414E-3</v>
      </c>
      <c r="FW18" s="647">
        <f t="shared" si="95"/>
        <v>0</v>
      </c>
      <c r="FX18" s="647">
        <f t="shared" si="96"/>
        <v>0</v>
      </c>
      <c r="FY18" s="647">
        <f t="shared" si="97"/>
        <v>6.0942593161176041E-2</v>
      </c>
      <c r="FZ18" s="647">
        <f t="shared" si="98"/>
        <v>7.9401153408747028E-3</v>
      </c>
      <c r="GA18" s="647">
        <f t="shared" si="99"/>
        <v>8.3805126733108164</v>
      </c>
      <c r="GB18" s="647">
        <f t="shared" si="100"/>
        <v>5.9095834534458172E-2</v>
      </c>
      <c r="GC18" s="647">
        <f t="shared" si="101"/>
        <v>2.3882224076628105</v>
      </c>
      <c r="GD18" s="647">
        <f t="shared" si="102"/>
        <v>1.8712578133030629E-2</v>
      </c>
      <c r="GE18" s="647">
        <f t="shared" si="103"/>
        <v>-1.8599679432790929E-2</v>
      </c>
      <c r="GF18" s="647">
        <f t="shared" si="104"/>
        <v>2.4233232020349593E-3</v>
      </c>
      <c r="GG18" s="643">
        <v>1.7782159136499011E-12</v>
      </c>
      <c r="GH18" s="643">
        <v>7.5535622364420377E-15</v>
      </c>
      <c r="GI18" s="635">
        <v>1</v>
      </c>
      <c r="GJ18" s="635">
        <v>5.0000000000000001E-3</v>
      </c>
      <c r="GK18" s="641">
        <f t="shared" si="105"/>
        <v>1.490236100022597E-11</v>
      </c>
      <c r="GL18" s="641">
        <f t="shared" si="106"/>
        <v>1.4353443287879792E-13</v>
      </c>
      <c r="GM18" s="641">
        <f t="shared" si="107"/>
        <v>4.2467750906412909E-12</v>
      </c>
      <c r="GN18" s="641">
        <f t="shared" si="108"/>
        <v>4.3399655034031929E-14</v>
      </c>
      <c r="GO18" s="641">
        <f t="shared" si="109"/>
        <v>1.0836908897829487E-13</v>
      </c>
      <c r="GP18" s="641">
        <f t="shared" si="110"/>
        <v>1.413712935400693E-14</v>
      </c>
      <c r="GQ18" s="641">
        <f t="shared" si="111"/>
        <v>-3.30742459561756E-14</v>
      </c>
      <c r="GR18" s="641">
        <f t="shared" si="112"/>
        <v>-4.3146518788429159E-15</v>
      </c>
      <c r="GS18" s="641">
        <f t="shared" si="113"/>
        <v>6.6486955765455341E-16</v>
      </c>
      <c r="GT18" s="641">
        <f t="shared" si="114"/>
        <v>6.4037956849858851E-18</v>
      </c>
      <c r="GU18" s="641">
        <f t="shared" si="115"/>
        <v>1.8947007631409792E-16</v>
      </c>
      <c r="GV18" s="641">
        <f t="shared" si="116"/>
        <v>1.9362777140394824E-18</v>
      </c>
      <c r="GW18" s="641">
        <f t="shared" si="117"/>
        <v>4.834892152413521E-18</v>
      </c>
      <c r="GX18" s="641">
        <f t="shared" si="118"/>
        <v>6.3072871070927371E-19</v>
      </c>
      <c r="GY18" s="637">
        <f t="shared" si="119"/>
        <v>3.5091005956653136</v>
      </c>
      <c r="GZ18" s="637">
        <f t="shared" si="120"/>
        <v>3.3902891053640388E-2</v>
      </c>
      <c r="HA18" s="638">
        <v>26.169770272470501</v>
      </c>
      <c r="HB18" s="638">
        <v>0.31897682079735301</v>
      </c>
      <c r="HC18" s="650">
        <f t="shared" si="121"/>
        <v>781.34389678775028</v>
      </c>
      <c r="HD18" s="650">
        <f t="shared" si="122"/>
        <v>12.299616854348171</v>
      </c>
      <c r="HE18" s="651">
        <f t="shared" si="123"/>
        <v>8.7970106289468408E-12</v>
      </c>
      <c r="HF18" s="652">
        <f t="shared" si="124"/>
        <v>3.1385939328863198E-13</v>
      </c>
      <c r="HG18" s="653">
        <f t="shared" si="125"/>
        <v>459.4224426767114</v>
      </c>
      <c r="HH18" s="653">
        <f t="shared" si="126"/>
        <v>16.551434653739125</v>
      </c>
      <c r="HI18" s="638">
        <v>7.5091582159801398</v>
      </c>
      <c r="HJ18" s="638">
        <v>0.114829942558394</v>
      </c>
      <c r="HK18" s="650">
        <f t="shared" si="127"/>
        <v>786.73665896805733</v>
      </c>
      <c r="HL18" s="650">
        <f t="shared" si="128"/>
        <v>14.607600333291757</v>
      </c>
      <c r="HM18" s="651">
        <f t="shared" si="129"/>
        <v>8.7367106725652866E-12</v>
      </c>
      <c r="HN18" s="652">
        <f t="shared" si="130"/>
        <v>3.1170801385719538E-13</v>
      </c>
      <c r="HO18" s="653">
        <f t="shared" si="131"/>
        <v>456.27328730761877</v>
      </c>
      <c r="HP18" s="653">
        <f t="shared" si="132"/>
        <v>17.040839942237277</v>
      </c>
      <c r="HQ18" s="635">
        <v>1.11613116912226</v>
      </c>
      <c r="HR18" s="635">
        <v>3.5153924948669403E-2</v>
      </c>
      <c r="HS18" s="635">
        <f t="shared" si="133"/>
        <v>529.28336934718698</v>
      </c>
      <c r="HT18" s="635">
        <f t="shared" si="134"/>
        <v>50.682499600784027</v>
      </c>
      <c r="HU18" s="635">
        <v>1.11613116912226</v>
      </c>
      <c r="HV18" s="635">
        <v>3.5153924948669403E-2</v>
      </c>
      <c r="HW18" s="635">
        <f t="shared" si="135"/>
        <v>656.09228514233291</v>
      </c>
      <c r="HX18" s="635">
        <f t="shared" si="136"/>
        <v>63.344880647885219</v>
      </c>
      <c r="HY18" s="643">
        <v>0.39460400000000001</v>
      </c>
      <c r="HZ18" s="643">
        <v>5.0600000000000003E-3</v>
      </c>
      <c r="IA18" s="643">
        <v>7.8869999999999999E-3</v>
      </c>
      <c r="IB18" s="643">
        <v>4.26E-4</v>
      </c>
      <c r="IC18" s="643">
        <v>1.6310000000000001E-3</v>
      </c>
      <c r="ID18" s="643">
        <v>1.4999999999999999E-4</v>
      </c>
      <c r="IE18" s="643">
        <v>4.3471999999999997E-2</v>
      </c>
      <c r="IF18" s="643">
        <v>1.4790000000000001E-3</v>
      </c>
      <c r="IG18" s="643">
        <v>9.1809999999999999E-3</v>
      </c>
      <c r="IH18" s="643">
        <v>4.17E-4</v>
      </c>
      <c r="II18" s="643">
        <v>4.5729999999999998E-3</v>
      </c>
      <c r="IJ18" s="643">
        <v>3.7300000000000001E-4</v>
      </c>
      <c r="IK18" s="643">
        <v>5.738E-3</v>
      </c>
      <c r="IL18" s="643">
        <v>2.9799999999999998E-4</v>
      </c>
      <c r="IM18" s="643">
        <v>4.7899999999999999E-4</v>
      </c>
      <c r="IN18" s="643">
        <v>2.5900000000000001E-4</v>
      </c>
      <c r="IO18" s="643">
        <v>7.9500000000000003E-4</v>
      </c>
      <c r="IP18" s="643">
        <v>1.6699999999999999E-4</v>
      </c>
      <c r="IQ18" s="643">
        <v>2.8400000000000002E-4</v>
      </c>
      <c r="IR18" s="643">
        <v>6.4999999999999994E-5</v>
      </c>
      <c r="IS18" s="643">
        <v>4.9899999999999999E-4</v>
      </c>
      <c r="IT18" s="643">
        <v>2.8499999999999999E-4</v>
      </c>
      <c r="IU18" s="643">
        <v>7.2900000000000005E-4</v>
      </c>
      <c r="IV18" s="643">
        <v>2.5599999999999999E-4</v>
      </c>
      <c r="IW18" s="643">
        <v>3.7300000000000001E-4</v>
      </c>
      <c r="IX18" s="643">
        <v>1.2400000000000001E-4</v>
      </c>
      <c r="IY18" s="643">
        <v>1.5200000000000001E-4</v>
      </c>
      <c r="IZ18" s="643">
        <v>8.7000000000000001E-5</v>
      </c>
      <c r="JA18" s="641">
        <f t="shared" si="137"/>
        <v>0.394125</v>
      </c>
      <c r="JB18" s="641">
        <f t="shared" si="138"/>
        <v>5.0666242213134377E-3</v>
      </c>
      <c r="JC18" s="641">
        <f t="shared" si="139"/>
        <v>7.0920000000000002E-3</v>
      </c>
      <c r="JD18" s="641">
        <f t="shared" si="140"/>
        <v>4.5756420314530726E-4</v>
      </c>
      <c r="JE18" s="641">
        <f t="shared" si="141"/>
        <v>1.3470000000000001E-3</v>
      </c>
      <c r="JF18" s="641">
        <f t="shared" si="142"/>
        <v>1.6347782724271813E-4</v>
      </c>
      <c r="JG18" s="641">
        <f t="shared" si="143"/>
        <v>4.2972999999999997E-2</v>
      </c>
      <c r="JH18" s="641">
        <f t="shared" si="144"/>
        <v>1.5062091488236287E-3</v>
      </c>
      <c r="JI18" s="641">
        <f t="shared" si="145"/>
        <v>8.4519999999999994E-3</v>
      </c>
      <c r="JJ18" s="641">
        <f t="shared" si="146"/>
        <v>4.8931073971454988E-4</v>
      </c>
      <c r="JK18" s="641">
        <f t="shared" si="147"/>
        <v>4.1999999999999997E-3</v>
      </c>
      <c r="JL18" s="641">
        <f t="shared" si="148"/>
        <v>3.9307124036235469E-4</v>
      </c>
      <c r="JM18" s="641">
        <f t="shared" si="149"/>
        <v>5.5859999999999998E-3</v>
      </c>
      <c r="JN18" s="641">
        <f t="shared" si="150"/>
        <v>3.104400103079498E-4</v>
      </c>
      <c r="JO18" s="641">
        <f t="shared" si="151"/>
        <v>0.39348975693499499</v>
      </c>
      <c r="JP18" s="641">
        <f t="shared" si="152"/>
        <v>5.0672107490574081E-3</v>
      </c>
      <c r="JQ18" s="641">
        <f t="shared" si="153"/>
        <v>-1.653713341866001E-3</v>
      </c>
      <c r="JR18" s="641">
        <f t="shared" si="154"/>
        <v>1.1558431713573299E-3</v>
      </c>
      <c r="JS18" s="641">
        <f t="shared" si="155"/>
        <v>3.5953297226001997E-2</v>
      </c>
      <c r="JT18" s="641">
        <f t="shared" si="156"/>
        <v>1.730453993566281E-3</v>
      </c>
      <c r="JU18" s="641">
        <f t="shared" si="157"/>
        <v>-4.4496169080500241E-4</v>
      </c>
      <c r="JV18" s="641">
        <f t="shared" si="158"/>
        <v>1.1854693220697877E-3</v>
      </c>
      <c r="JW18" s="641">
        <f t="shared" si="159"/>
        <v>7.328540289659991E-4</v>
      </c>
      <c r="JX18" s="641">
        <f t="shared" si="160"/>
        <v>5.7581904686345407E-4</v>
      </c>
      <c r="JY18" s="641">
        <f t="shared" si="161"/>
        <v>2.6553408191309995E-3</v>
      </c>
      <c r="JZ18" s="641">
        <f t="shared" si="162"/>
        <v>4.721012508918597E-4</v>
      </c>
      <c r="KA18" s="643">
        <v>1.7696448643015688E-12</v>
      </c>
      <c r="KB18" s="643">
        <v>3.8892524257744769E-14</v>
      </c>
      <c r="KC18" s="631">
        <v>1</v>
      </c>
      <c r="KD18" s="631">
        <v>0</v>
      </c>
      <c r="KE18" s="641">
        <f t="shared" si="163"/>
        <v>6.963371275152865E-13</v>
      </c>
      <c r="KF18" s="641">
        <f t="shared" si="164"/>
        <v>1.7737435519741449E-14</v>
      </c>
      <c r="KG18" s="641">
        <f t="shared" si="165"/>
        <v>3.1067114663408749E-17</v>
      </c>
      <c r="KH18" s="641">
        <f t="shared" si="166"/>
        <v>7.9135654483305713E-19</v>
      </c>
      <c r="KI18" s="635">
        <v>1.2430056234832578</v>
      </c>
      <c r="KJ18" s="635">
        <v>0.11113867994607306</v>
      </c>
      <c r="KK18" s="641">
        <f t="shared" si="167"/>
        <v>3.7173094365040462E-13</v>
      </c>
      <c r="KL18" s="641">
        <f t="shared" si="260"/>
        <v>4.8069835944555929E-14</v>
      </c>
      <c r="KM18" s="573">
        <f t="shared" si="168"/>
        <v>30.83289512319136</v>
      </c>
      <c r="KN18" s="573">
        <f t="shared" si="281"/>
        <v>3.9921101278604008</v>
      </c>
      <c r="KO18" s="638">
        <v>20.162258156415799</v>
      </c>
      <c r="KP18" s="638">
        <v>0.66285498057307002</v>
      </c>
      <c r="KQ18" s="652">
        <f t="shared" si="170"/>
        <v>12883.000186207737</v>
      </c>
      <c r="KR18" s="652">
        <f t="shared" si="171"/>
        <v>536.79686714174454</v>
      </c>
      <c r="KS18" s="654">
        <f t="shared" si="172"/>
        <v>27.863612236617893</v>
      </c>
      <c r="KT18" s="654">
        <f t="shared" si="173"/>
        <v>1.4707825695809582</v>
      </c>
      <c r="KU18" s="637">
        <f t="shared" si="174"/>
        <v>3.5686858321410025E-2</v>
      </c>
      <c r="KV18" s="637">
        <f t="shared" si="175"/>
        <v>1.7431049314520764E-3</v>
      </c>
      <c r="KW18" s="641">
        <f t="shared" si="176"/>
        <v>6.3153065551540961E-14</v>
      </c>
      <c r="KX18" s="641">
        <f t="shared" si="177"/>
        <v>3.3825494887133152E-15</v>
      </c>
      <c r="KY18" s="641">
        <f t="shared" si="178"/>
        <v>2.8175770776956328E-18</v>
      </c>
      <c r="KZ18" s="641">
        <f t="shared" si="179"/>
        <v>1.5091260924381127E-19</v>
      </c>
      <c r="LA18" s="635">
        <v>1.2485542932379501</v>
      </c>
      <c r="LB18" s="635">
        <v>5.9627651953476503E-2</v>
      </c>
      <c r="LC18" s="641">
        <f t="shared" si="180"/>
        <v>2.3669793454101946E-11</v>
      </c>
      <c r="LD18" s="641">
        <f t="shared" si="181"/>
        <v>2.9120142774582611E-12</v>
      </c>
      <c r="LE18" s="647">
        <f t="shared" si="182"/>
        <v>2.1245109318114106</v>
      </c>
      <c r="LF18" s="647">
        <f t="shared" si="183"/>
        <v>0.26637136253661786</v>
      </c>
      <c r="LG18" s="655"/>
      <c r="LH18" s="655"/>
      <c r="LI18" s="656"/>
      <c r="LJ18" s="656"/>
      <c r="LK18" s="656"/>
      <c r="LL18" s="656"/>
      <c r="LM18" s="641">
        <f t="shared" si="184"/>
        <v>1.2968913686423935E-15</v>
      </c>
      <c r="LN18" s="641">
        <f t="shared" si="185"/>
        <v>1.0193937666121448E-15</v>
      </c>
      <c r="LO18" s="641">
        <f t="shared" si="186"/>
        <v>5.7860871212434171E-20</v>
      </c>
      <c r="LP18" s="641">
        <f t="shared" si="187"/>
        <v>4.5480302260368885E-20</v>
      </c>
      <c r="LQ18" s="641">
        <f t="shared" si="188"/>
        <v>1.4728493539607287E-14</v>
      </c>
      <c r="LR18" s="641">
        <f t="shared" si="189"/>
        <v>1.1652068923560307E-14</v>
      </c>
      <c r="LS18" s="637">
        <f t="shared" si="190"/>
        <v>2.2913772961926564</v>
      </c>
      <c r="LT18" s="637">
        <f t="shared" si="191"/>
        <v>1.8128004296532123</v>
      </c>
      <c r="LW18" s="658" t="str">
        <f t="shared" si="192"/>
        <v>44z3</v>
      </c>
      <c r="LX18" s="658" t="str">
        <f t="shared" si="193"/>
        <v>MN2022a</v>
      </c>
      <c r="LY18" s="659">
        <f t="shared" si="194"/>
        <v>50.835071628393599</v>
      </c>
      <c r="LZ18" s="659">
        <f t="shared" si="195"/>
        <v>3.4665690966435565</v>
      </c>
      <c r="MA18" s="659">
        <f t="shared" si="196"/>
        <v>358.9669216327685</v>
      </c>
      <c r="MB18" s="659">
        <f t="shared" si="197"/>
        <v>11.632513133324284</v>
      </c>
      <c r="MC18" s="659">
        <f t="shared" si="198"/>
        <v>22848.663811089675</v>
      </c>
      <c r="MD18" s="659">
        <f t="shared" si="199"/>
        <v>1733.7232334500718</v>
      </c>
      <c r="ME18" s="659">
        <f t="shared" si="200"/>
        <v>529.28336934718698</v>
      </c>
      <c r="MF18" s="659">
        <f t="shared" si="201"/>
        <v>50.682499600784027</v>
      </c>
      <c r="MG18" s="659">
        <f t="shared" si="202"/>
        <v>656.09228514233291</v>
      </c>
      <c r="MH18" s="659">
        <f t="shared" si="203"/>
        <v>63.344880647885219</v>
      </c>
      <c r="MI18" s="659">
        <f t="shared" si="204"/>
        <v>459.4224426767114</v>
      </c>
      <c r="MJ18" s="659">
        <f t="shared" si="205"/>
        <v>16.551434653739125</v>
      </c>
      <c r="MK18" s="659">
        <f t="shared" si="206"/>
        <v>456.27328730761877</v>
      </c>
      <c r="ML18" s="659">
        <f t="shared" si="207"/>
        <v>17.040839942237277</v>
      </c>
      <c r="MM18" s="659">
        <f t="shared" si="261"/>
        <v>30.83289512319136</v>
      </c>
      <c r="MN18" s="659">
        <f t="shared" si="208"/>
        <v>3.9921101278604008</v>
      </c>
      <c r="MO18" s="659">
        <f t="shared" si="209"/>
        <v>27.863612236617893</v>
      </c>
      <c r="MP18" s="659">
        <f t="shared" si="210"/>
        <v>1.4707825695809582</v>
      </c>
      <c r="MQ18" s="660"/>
      <c r="MR18" s="660"/>
      <c r="MS18" s="660"/>
      <c r="MT18" s="660"/>
      <c r="MU18" s="661">
        <f t="shared" si="273"/>
        <v>0.14161491927214134</v>
      </c>
      <c r="MV18" s="661">
        <f t="shared" si="274"/>
        <v>1.0707189468942016E-2</v>
      </c>
      <c r="MW18" s="662">
        <f t="shared" si="211"/>
        <v>1.2798461779904924E-3</v>
      </c>
      <c r="MX18" s="662">
        <f t="shared" si="212"/>
        <v>6.2016903363708908E-5</v>
      </c>
      <c r="MY18" s="662">
        <f t="shared" si="213"/>
        <v>1.2710733491327008E-3</v>
      </c>
      <c r="MZ18" s="662">
        <f t="shared" si="214"/>
        <v>6.2850463918797972E-5</v>
      </c>
      <c r="NA18" s="663">
        <f t="shared" si="215"/>
        <v>8.5893415980913492E-5</v>
      </c>
      <c r="NB18" s="663">
        <f t="shared" si="216"/>
        <v>1.1464139432261526E-5</v>
      </c>
      <c r="NC18" s="661">
        <f t="shared" si="275"/>
        <v>0.12841156093628694</v>
      </c>
      <c r="ND18" s="661">
        <f t="shared" si="276"/>
        <v>9.7582496561797339E-3</v>
      </c>
      <c r="NE18" s="662">
        <f t="shared" si="217"/>
        <v>5.6786126537215829E-4</v>
      </c>
      <c r="NF18" s="662">
        <f t="shared" si="218"/>
        <v>2.7222034364211141E-5</v>
      </c>
      <c r="NG18" s="663">
        <f t="shared" si="219"/>
        <v>5.6396880565180274E-4</v>
      </c>
      <c r="NH18" s="663">
        <f t="shared" si="220"/>
        <v>2.7035438308571771E-5</v>
      </c>
      <c r="NI18" s="662">
        <f t="shared" si="221"/>
        <v>2.3995839364612815E-5</v>
      </c>
      <c r="NJ18" s="662">
        <f t="shared" si="221"/>
        <v>3.2027093710092946E-6</v>
      </c>
      <c r="NK18" s="664">
        <f t="shared" si="222"/>
        <v>1.9451400454829555E-9</v>
      </c>
      <c r="NL18" s="664">
        <f t="shared" si="223"/>
        <v>1.1786084612248651E-10</v>
      </c>
      <c r="NM18" s="664">
        <f t="shared" si="224"/>
        <v>1.6921805297432561E-9</v>
      </c>
      <c r="NN18" s="664">
        <f t="shared" si="225"/>
        <v>1.143032621627519E-10</v>
      </c>
      <c r="NO18" s="664">
        <f t="shared" si="226"/>
        <v>7.4680220259400974E-7</v>
      </c>
      <c r="NP18" s="664">
        <f t="shared" si="227"/>
        <v>4.276018128212399E-9</v>
      </c>
      <c r="NQ18" s="664">
        <f t="shared" si="228"/>
        <v>1.7201331915379639E-7</v>
      </c>
      <c r="NR18" s="664">
        <f t="shared" si="229"/>
        <v>3.4703658105431522E-8</v>
      </c>
      <c r="NS18" s="664">
        <f t="shared" si="230"/>
        <v>7.2745376461896701E-7</v>
      </c>
      <c r="NT18" s="664">
        <f t="shared" si="231"/>
        <v>2.4579878480758532E-9</v>
      </c>
      <c r="NU18" s="664">
        <f t="shared" si="232"/>
        <v>7.082946992045417E-11</v>
      </c>
      <c r="NV18" s="664">
        <f t="shared" si="233"/>
        <v>9.2467381846023589E-12</v>
      </c>
      <c r="NW18" s="664">
        <f t="shared" si="234"/>
        <v>1.5579814589635384E-12</v>
      </c>
      <c r="NX18" s="664">
        <f t="shared" si="235"/>
        <v>1.9231656741435584E-13</v>
      </c>
      <c r="NY18" s="664">
        <f t="shared" si="236"/>
        <v>9.7758420869783399E-12</v>
      </c>
      <c r="NZ18" s="664">
        <f t="shared" si="237"/>
        <v>6.073309468047222E-13</v>
      </c>
      <c r="OA18" s="665">
        <f t="shared" si="262"/>
        <v>383.9323571216629</v>
      </c>
      <c r="OB18" s="665">
        <f t="shared" si="238"/>
        <v>23.168384825427424</v>
      </c>
      <c r="OC18" s="665">
        <f t="shared" si="239"/>
        <v>373.98529031792606</v>
      </c>
      <c r="OD18" s="665">
        <f t="shared" si="263"/>
        <v>22.695899738292113</v>
      </c>
      <c r="OE18" s="664">
        <f t="shared" si="264"/>
        <v>3.6413558028860614E-2</v>
      </c>
      <c r="OF18" s="664">
        <f t="shared" si="265"/>
        <v>5.2345131508567495E-3</v>
      </c>
      <c r="OG18" s="664">
        <f t="shared" si="266"/>
        <v>8.009610735131978E-4</v>
      </c>
      <c r="OH18" s="664">
        <f t="shared" si="267"/>
        <v>1.1013950517175448E-4</v>
      </c>
      <c r="OI18" s="664">
        <f t="shared" si="268"/>
        <v>5.0257780202921654E-3</v>
      </c>
      <c r="OJ18" s="664">
        <f t="shared" si="269"/>
        <v>4.3614515111541091E-4</v>
      </c>
      <c r="OK18" s="664">
        <f t="shared" si="240"/>
        <v>2.2659018999481848E-3</v>
      </c>
      <c r="OL18" s="664">
        <f t="shared" si="241"/>
        <v>1.525540647918371E-4</v>
      </c>
      <c r="OM18" s="664">
        <f t="shared" si="242"/>
        <v>2.6046254801157945E-3</v>
      </c>
      <c r="ON18" s="664">
        <f t="shared" si="243"/>
        <v>1.571760346063093E-4</v>
      </c>
      <c r="OO18" s="664">
        <f t="shared" si="244"/>
        <v>0.869953057453561</v>
      </c>
      <c r="OP18" s="664">
        <f t="shared" si="245"/>
        <v>5.2497287194666696E-2</v>
      </c>
      <c r="OQ18" s="664">
        <f t="shared" si="246"/>
        <v>4.7854379032575738E-3</v>
      </c>
      <c r="OR18" s="664">
        <f t="shared" si="247"/>
        <v>9.4540921527377091E-6</v>
      </c>
    </row>
    <row r="19" spans="2:408">
      <c r="B19" s="245" t="s">
        <v>966</v>
      </c>
      <c r="C19" s="5">
        <v>1.2800000000000001E-3</v>
      </c>
      <c r="D19" s="66">
        <f t="shared" ref="D19" si="287">C19*0.5%</f>
        <v>6.4000000000000006E-6</v>
      </c>
      <c r="E19" s="67">
        <v>45112</v>
      </c>
      <c r="F19" s="5" t="s">
        <v>210</v>
      </c>
      <c r="G19" s="5" t="s">
        <v>893</v>
      </c>
      <c r="H19" s="5">
        <v>2</v>
      </c>
      <c r="J19" s="327">
        <v>44644</v>
      </c>
      <c r="K19" s="67" t="s">
        <v>823</v>
      </c>
      <c r="L19" s="5" t="s">
        <v>949</v>
      </c>
      <c r="M19" s="5" t="s">
        <v>952</v>
      </c>
      <c r="N19" s="5">
        <v>180</v>
      </c>
      <c r="O19" s="6">
        <v>1778.861682</v>
      </c>
      <c r="P19" s="6">
        <v>2.6268319999999998</v>
      </c>
      <c r="Q19" s="6">
        <v>1.76902</v>
      </c>
      <c r="R19" s="6">
        <v>7.4200000000000002E-2</v>
      </c>
      <c r="S19" s="6">
        <v>10.592342</v>
      </c>
      <c r="T19" s="6">
        <v>8.2860000000000003E-2</v>
      </c>
      <c r="U19" s="6">
        <v>0.110009</v>
      </c>
      <c r="V19" s="6">
        <v>2.5819000000000002E-2</v>
      </c>
      <c r="W19" s="6">
        <v>6.2727870000000001</v>
      </c>
      <c r="X19" s="6">
        <v>0.11528099999999999</v>
      </c>
      <c r="Y19" s="6">
        <v>87.208832000000001</v>
      </c>
      <c r="Z19" s="6">
        <v>0.67488400000000004</v>
      </c>
      <c r="AA19" s="6">
        <v>0.26542399999999999</v>
      </c>
      <c r="AB19" s="6">
        <v>7.0499000000000006E-2</v>
      </c>
      <c r="AC19" s="6">
        <v>0.43656200000000001</v>
      </c>
      <c r="AD19" s="6">
        <v>6.9486999999999993E-2</v>
      </c>
      <c r="AE19" s="6">
        <v>8.4747000000000003E-2</v>
      </c>
      <c r="AF19" s="6">
        <v>3.0651999999999999E-2</v>
      </c>
      <c r="AG19" s="6">
        <v>0.45428600000000002</v>
      </c>
      <c r="AH19" s="6">
        <v>0.15737100000000001</v>
      </c>
      <c r="AI19" s="147">
        <f t="shared" si="1"/>
        <v>1691.6528499999999</v>
      </c>
      <c r="AJ19" s="147">
        <f t="shared" si="2"/>
        <v>2.7121420998317913</v>
      </c>
      <c r="AK19" s="147">
        <f t="shared" si="3"/>
        <v>1.5035959999999999</v>
      </c>
      <c r="AL19" s="147">
        <f t="shared" si="4"/>
        <v>0.10235110649621723</v>
      </c>
      <c r="AM19" s="147">
        <f t="shared" si="5"/>
        <v>10.15578</v>
      </c>
      <c r="AN19" s="147">
        <f t="shared" si="6"/>
        <v>0.10813982970672739</v>
      </c>
      <c r="AO19" s="147">
        <f t="shared" si="7"/>
        <v>2.5261999999999993E-2</v>
      </c>
      <c r="AP19" s="147">
        <f t="shared" si="8"/>
        <v>4.0076999201537032E-2</v>
      </c>
      <c r="AQ19" s="147">
        <f t="shared" si="9"/>
        <v>5.8185010000000004</v>
      </c>
      <c r="AR19" s="147">
        <f t="shared" si="10"/>
        <v>0.19507778090290037</v>
      </c>
      <c r="AS19" s="4">
        <v>304.12046242532102</v>
      </c>
      <c r="AT19" s="4">
        <v>0.91447361557367601</v>
      </c>
      <c r="AU19" s="133">
        <f t="shared" si="11"/>
        <v>1.5145618991716265</v>
      </c>
      <c r="AV19" s="133">
        <f t="shared" si="12"/>
        <v>0.10235383442162439</v>
      </c>
      <c r="AW19" s="133">
        <f t="shared" si="13"/>
        <v>10.303914551421027</v>
      </c>
      <c r="AX19" s="133">
        <f t="shared" si="14"/>
        <v>0.10814296287473703</v>
      </c>
      <c r="AY19" s="133">
        <f t="shared" si="15"/>
        <v>2.5814716045148369E-2</v>
      </c>
      <c r="AZ19" s="133">
        <f t="shared" si="16"/>
        <v>4.0078893988249834E-2</v>
      </c>
      <c r="BA19" s="133">
        <f t="shared" si="17"/>
        <v>5.9882409974355086</v>
      </c>
      <c r="BB19" s="133">
        <f t="shared" si="18"/>
        <v>0.19508301569140346</v>
      </c>
      <c r="BC19" s="6"/>
      <c r="BD19" s="8"/>
      <c r="BE19" s="797">
        <v>3.48</v>
      </c>
      <c r="BF19" s="147">
        <f t="shared" si="249"/>
        <v>0.17400000000000002</v>
      </c>
      <c r="BG19" s="147">
        <f t="shared" si="250"/>
        <v>2.4871238680823291</v>
      </c>
      <c r="BH19" s="147">
        <f t="shared" si="251"/>
        <v>0.12435619340411647</v>
      </c>
      <c r="BI19" s="157">
        <f t="shared" si="19"/>
        <v>7.9429105567499549E-7</v>
      </c>
      <c r="BJ19" s="157">
        <f t="shared" si="252"/>
        <v>3.9714552783749777E-8</v>
      </c>
      <c r="BK19" s="133">
        <f t="shared" si="20"/>
        <v>318.78453213270967</v>
      </c>
      <c r="BL19" s="133">
        <f t="shared" si="253"/>
        <v>15.939226606635485</v>
      </c>
      <c r="BM19" s="133"/>
      <c r="BN19" s="133"/>
      <c r="BO19" s="143">
        <f t="shared" si="254"/>
        <v>1691.4556301355437</v>
      </c>
      <c r="BP19" s="133">
        <f t="shared" si="255"/>
        <v>2.7121748482579622</v>
      </c>
      <c r="BQ19" s="143">
        <f t="shared" si="271"/>
        <v>1.5145618991716265</v>
      </c>
      <c r="BR19" s="133">
        <f t="shared" si="272"/>
        <v>0.10235383442162439</v>
      </c>
      <c r="BS19" s="143">
        <f t="shared" si="256"/>
        <v>10.303914551421027</v>
      </c>
      <c r="BT19" s="133">
        <f t="shared" si="257"/>
        <v>0.10814296287473703</v>
      </c>
      <c r="BU19" s="147">
        <f t="shared" si="258"/>
        <v>5.8770396609434554</v>
      </c>
      <c r="BV19" s="147">
        <f t="shared" si="21"/>
        <v>0.19516223342221314</v>
      </c>
      <c r="BX19" s="147">
        <f t="shared" si="22"/>
        <v>5.8687057971471761</v>
      </c>
      <c r="BY19" s="147">
        <f t="shared" si="23"/>
        <v>0.1951630729274344</v>
      </c>
      <c r="BZ19" s="143">
        <f t="shared" si="24"/>
        <v>9.1990279275334803</v>
      </c>
      <c r="CA19" s="147">
        <f t="shared" si="25"/>
        <v>1.9018349532487752E-2</v>
      </c>
      <c r="CB19" s="143">
        <f t="shared" si="26"/>
        <v>-42.746932921446842</v>
      </c>
      <c r="CC19" s="143">
        <f t="shared" si="27"/>
        <v>57.734427792907894</v>
      </c>
      <c r="CD19" s="3">
        <v>1.5903158759700325E-12</v>
      </c>
      <c r="CE19" s="3">
        <v>4.0102150310807229E-15</v>
      </c>
      <c r="CF19" s="157">
        <f t="shared" si="28"/>
        <v>9.333096000600519E-12</v>
      </c>
      <c r="CG19" s="157">
        <f t="shared" si="29"/>
        <v>3.1126195033666871E-13</v>
      </c>
      <c r="CH19" s="157">
        <f t="shared" si="30"/>
        <v>5.0696810246432715E-10</v>
      </c>
      <c r="CI19" s="158">
        <f t="shared" si="31"/>
        <v>2.5380621246251879E-11</v>
      </c>
      <c r="CJ19" s="157">
        <f t="shared" si="32"/>
        <v>1.4629360156648199E-11</v>
      </c>
      <c r="CK19" s="477">
        <f t="shared" si="33"/>
        <v>4.7703764147868157E-14</v>
      </c>
      <c r="CL19" s="157">
        <f t="shared" si="34"/>
        <v>2.4086318333919612E-12</v>
      </c>
      <c r="CM19" s="157">
        <f t="shared" si="35"/>
        <v>1.6288820459699415E-13</v>
      </c>
      <c r="CN19" s="157">
        <f t="shared" si="36"/>
        <v>2.6899487421034508E-9</v>
      </c>
      <c r="CO19" s="157">
        <f t="shared" si="37"/>
        <v>8.038300664744144E-12</v>
      </c>
      <c r="CP19" s="157">
        <f t="shared" si="38"/>
        <v>6.5268961179858337E-16</v>
      </c>
      <c r="CQ19" s="157">
        <f t="shared" si="39"/>
        <v>2.1283057811229135E-18</v>
      </c>
      <c r="CR19" s="157">
        <f t="shared" si="40"/>
        <v>1.200121933865798E-13</v>
      </c>
      <c r="CS19" s="157">
        <f t="shared" si="41"/>
        <v>3.5862918015789379E-16</v>
      </c>
      <c r="CT19" s="66">
        <v>4.591074900651965E-3</v>
      </c>
      <c r="CU19" s="66">
        <v>7.7735504550723162E-6</v>
      </c>
      <c r="CV19" s="3">
        <v>1.1611559367069784E+19</v>
      </c>
      <c r="CW19" s="60">
        <v>1.040942599512031E+18</v>
      </c>
      <c r="CX19" s="3">
        <v>8.6527210079182822E+17</v>
      </c>
      <c r="CY19" s="3">
        <v>8.9278178143800032E+16</v>
      </c>
      <c r="CZ19" s="6">
        <v>0.49865169925804054</v>
      </c>
      <c r="DA19" s="6">
        <v>2.7936431740382541E-2</v>
      </c>
      <c r="DB19" s="4">
        <v>24.337069265073254</v>
      </c>
      <c r="DC19" s="4">
        <v>0.74264427477540718</v>
      </c>
      <c r="DD19" s="157">
        <f t="shared" si="42"/>
        <v>1.9290194223354637E-9</v>
      </c>
      <c r="DE19" s="157">
        <f t="shared" si="43"/>
        <v>1.3168081171841509E-10</v>
      </c>
      <c r="DF19" s="147">
        <f t="shared" si="44"/>
        <v>58.922953187733327</v>
      </c>
      <c r="DG19" s="147">
        <f t="shared" si="45"/>
        <v>4.0330376554601628</v>
      </c>
      <c r="DH19" s="159">
        <f t="shared" si="46"/>
        <v>5.8922953187733329E-3</v>
      </c>
      <c r="DI19" s="167">
        <f t="shared" si="47"/>
        <v>4.0330376554601627E-4</v>
      </c>
      <c r="DJ19" s="157">
        <f t="shared" si="48"/>
        <v>5.309188147016904E-10</v>
      </c>
      <c r="DK19" s="157">
        <f t="shared" si="49"/>
        <v>1.7024631270838679E-11</v>
      </c>
      <c r="DL19" s="147">
        <f t="shared" si="50"/>
        <v>14.705206826264867</v>
      </c>
      <c r="DM19" s="133">
        <f t="shared" si="51"/>
        <v>0.47724030128097006</v>
      </c>
      <c r="DN19" s="159">
        <f t="shared" si="52"/>
        <v>1.4705206826264867E-3</v>
      </c>
      <c r="DO19" s="167">
        <f t="shared" si="53"/>
        <v>4.7724030128097004E-5</v>
      </c>
      <c r="DP19" s="157">
        <f t="shared" si="54"/>
        <v>7.942910556749956E-7</v>
      </c>
      <c r="DQ19" s="157">
        <f t="shared" si="55"/>
        <v>6.0133166391553043E-8</v>
      </c>
      <c r="DR19" s="143">
        <f t="shared" si="56"/>
        <v>24871.238680823299</v>
      </c>
      <c r="DS19" s="143">
        <f t="shared" si="57"/>
        <v>1887.0234482209619</v>
      </c>
      <c r="DT19" s="147">
        <f t="shared" si="58"/>
        <v>2.48712386808233</v>
      </c>
      <c r="DU19" s="147">
        <f t="shared" si="59"/>
        <v>0.18870234482209619</v>
      </c>
      <c r="DV19" s="133">
        <f t="shared" si="60"/>
        <v>3.6333604478103307</v>
      </c>
      <c r="DW19" s="133">
        <f t="shared" si="61"/>
        <v>0.24905263465832925</v>
      </c>
      <c r="DX19" s="133">
        <f t="shared" si="62"/>
        <v>2.4286052430694512E-3</v>
      </c>
      <c r="DY19" s="133">
        <f t="shared" si="63"/>
        <v>5.8972907401014778E-3</v>
      </c>
      <c r="DZ19" s="133">
        <f t="shared" si="64"/>
        <v>4.0069448790404945</v>
      </c>
      <c r="EA19" s="133">
        <f t="shared" si="65"/>
        <v>0.2753124100537665</v>
      </c>
      <c r="EB19" s="133">
        <f t="shared" si="66"/>
        <v>2.3691201690394792E-3</v>
      </c>
      <c r="EC19" s="133">
        <f t="shared" si="67"/>
        <v>5.9186733070450302E-3</v>
      </c>
      <c r="ED19" s="157">
        <f t="shared" si="68"/>
        <v>2.2604622413694561E-4</v>
      </c>
      <c r="EE19" s="157">
        <f t="shared" si="69"/>
        <v>7.2798849163843534E-6</v>
      </c>
      <c r="EF19" s="147">
        <f t="shared" si="70"/>
        <v>-28.223958984328618</v>
      </c>
      <c r="EG19" s="147">
        <f t="shared" si="71"/>
        <v>-38.16724570259867</v>
      </c>
      <c r="EH19" s="157">
        <f t="shared" si="72"/>
        <v>6.2214092816795507E-5</v>
      </c>
      <c r="EI19" s="157">
        <f t="shared" si="73"/>
        <v>4.250993035572135E-6</v>
      </c>
      <c r="EJ19" s="143" t="str">
        <f t="shared" si="74"/>
        <v/>
      </c>
      <c r="EK19" s="143" t="str">
        <f t="shared" si="75"/>
        <v/>
      </c>
      <c r="EL19" s="143" t="str">
        <f t="shared" si="76"/>
        <v/>
      </c>
      <c r="EM19" s="133" t="str">
        <f t="shared" si="77"/>
        <v/>
      </c>
      <c r="EN19" s="133" t="str">
        <f t="shared" si="78"/>
        <v/>
      </c>
      <c r="EO19" s="133" t="str">
        <f t="shared" si="79"/>
        <v/>
      </c>
      <c r="EP19" s="501">
        <f t="shared" ref="EP19:EP20" si="288">CL19/$CL$17</f>
        <v>1.1398711084055482</v>
      </c>
      <c r="EQ19" s="143" t="str">
        <f t="shared" ref="EQ19:EQ20" si="289">EM19</f>
        <v/>
      </c>
      <c r="ER19" s="143" t="str">
        <f t="shared" ref="ER19:ER20" si="290">EN19</f>
        <v/>
      </c>
      <c r="ES19" s="147">
        <f t="shared" si="81"/>
        <v>0.25807425887797392</v>
      </c>
      <c r="ET19" s="147">
        <f t="shared" si="82"/>
        <v>8.5921976108451429E-3</v>
      </c>
      <c r="EU19" s="143">
        <f t="shared" si="83"/>
        <v>288.21612270251705</v>
      </c>
      <c r="EV19" s="143">
        <f t="shared" si="84"/>
        <v>9.5957260195506233</v>
      </c>
      <c r="EW19" s="157">
        <f t="shared" si="85"/>
        <v>8.954192307428473E-4</v>
      </c>
      <c r="EX19" s="157">
        <f t="shared" si="86"/>
        <v>6.0529309348956854E-5</v>
      </c>
      <c r="EY19" s="157">
        <f t="shared" si="87"/>
        <v>3.4696185300922681E-3</v>
      </c>
      <c r="EZ19" s="157">
        <f t="shared" si="88"/>
        <v>1.155157750889784E-4</v>
      </c>
      <c r="FA19" s="66">
        <v>0.520922</v>
      </c>
      <c r="FB19" s="66">
        <v>4.7400000000000003E-3</v>
      </c>
      <c r="FC19" s="66">
        <v>0.16775399999999999</v>
      </c>
      <c r="FD19" s="66">
        <v>3.3379999999999998E-3</v>
      </c>
      <c r="FE19" s="66">
        <v>0.12611600000000001</v>
      </c>
      <c r="FF19" s="66">
        <v>1.993E-3</v>
      </c>
      <c r="FI19" s="66">
        <v>4.7750000000000001E-2</v>
      </c>
      <c r="FJ19" s="66">
        <v>3.1059999999999998E-3</v>
      </c>
      <c r="FK19" s="66">
        <v>1.5852999999999999E-2</v>
      </c>
      <c r="FL19" s="66">
        <v>7.7380000000000001E-3</v>
      </c>
      <c r="FM19" s="66">
        <v>1.516E-3</v>
      </c>
      <c r="FN19" s="66">
        <v>5.31E-4</v>
      </c>
      <c r="FQ19" s="159">
        <f t="shared" si="89"/>
        <v>0.47317199999999998</v>
      </c>
      <c r="FR19" s="159">
        <f t="shared" si="90"/>
        <v>5.6669953238025527E-3</v>
      </c>
      <c r="FS19" s="159">
        <f t="shared" si="91"/>
        <v>0.15190099999999998</v>
      </c>
      <c r="FT19" s="159">
        <f t="shared" si="92"/>
        <v>4.7206448712013909E-3</v>
      </c>
      <c r="FU19" s="159">
        <f t="shared" si="93"/>
        <v>0.1246</v>
      </c>
      <c r="FV19" s="159">
        <f t="shared" si="94"/>
        <v>2.0625251513617963E-3</v>
      </c>
      <c r="FW19" s="159">
        <f t="shared" si="95"/>
        <v>0</v>
      </c>
      <c r="FX19" s="159">
        <f t="shared" si="96"/>
        <v>0</v>
      </c>
      <c r="FY19" s="159">
        <f t="shared" si="97"/>
        <v>0.12383654550822291</v>
      </c>
      <c r="FZ19" s="159">
        <f t="shared" si="98"/>
        <v>1.4240434281845283E-2</v>
      </c>
      <c r="GA19" s="159">
        <f t="shared" si="99"/>
        <v>0.46826807279787436</v>
      </c>
      <c r="GB19" s="159">
        <f t="shared" si="100"/>
        <v>5.6949840313260504E-3</v>
      </c>
      <c r="GC19" s="159">
        <f t="shared" si="101"/>
        <v>0.12686125049823732</v>
      </c>
      <c r="GD19" s="159">
        <f t="shared" si="102"/>
        <v>5.5295138499854733E-3</v>
      </c>
      <c r="GE19" s="159">
        <f t="shared" si="103"/>
        <v>-3.7794913689109637E-2</v>
      </c>
      <c r="GF19" s="159">
        <f t="shared" si="104"/>
        <v>4.3461805428191809E-3</v>
      </c>
      <c r="GG19" s="3">
        <v>1.7782159136499011E-12</v>
      </c>
      <c r="GH19" s="3">
        <v>7.5535622364420377E-15</v>
      </c>
      <c r="GI19" s="6">
        <v>1</v>
      </c>
      <c r="GJ19" s="6">
        <v>5.0000000000000001E-3</v>
      </c>
      <c r="GK19" s="157">
        <f t="shared" si="105"/>
        <v>8.3268173890335062E-13</v>
      </c>
      <c r="GL19" s="157">
        <f t="shared" si="106"/>
        <v>1.1506490477358085E-14</v>
      </c>
      <c r="GM19" s="157">
        <f t="shared" si="107"/>
        <v>2.2558669446149206E-13</v>
      </c>
      <c r="GN19" s="157">
        <f t="shared" si="108"/>
        <v>9.9434337762997517E-15</v>
      </c>
      <c r="GO19" s="157">
        <f t="shared" si="109"/>
        <v>2.2020811591415218E-13</v>
      </c>
      <c r="GP19" s="157">
        <f t="shared" si="110"/>
        <v>2.5363747139458989E-14</v>
      </c>
      <c r="GQ19" s="157">
        <f t="shared" si="111"/>
        <v>-6.7207516976999249E-14</v>
      </c>
      <c r="GR19" s="157">
        <f t="shared" si="112"/>
        <v>-7.7410156269628844E-15</v>
      </c>
      <c r="GS19" s="157">
        <f t="shared" si="113"/>
        <v>3.7150136102816209E-17</v>
      </c>
      <c r="GT19" s="157">
        <f t="shared" si="114"/>
        <v>5.1336263028791332E-19</v>
      </c>
      <c r="GU19" s="157">
        <f t="shared" si="115"/>
        <v>1.0064561297172363E-17</v>
      </c>
      <c r="GV19" s="157">
        <f t="shared" si="116"/>
        <v>4.436267794672164E-19</v>
      </c>
      <c r="GW19" s="157">
        <f t="shared" si="117"/>
        <v>9.8245957548313935E-18</v>
      </c>
      <c r="GX19" s="157">
        <f t="shared" si="118"/>
        <v>1.1316048068512187E-18</v>
      </c>
      <c r="GY19" s="147">
        <f t="shared" si="119"/>
        <v>3.6911828549599606</v>
      </c>
      <c r="GZ19" s="147">
        <f t="shared" si="120"/>
        <v>5.2949834758877816E-2</v>
      </c>
      <c r="HA19" s="4">
        <v>26.169770272470501</v>
      </c>
      <c r="HB19" s="4">
        <v>0.31897682079735301</v>
      </c>
      <c r="HC19" s="228">
        <f t="shared" si="121"/>
        <v>459.77589833653536</v>
      </c>
      <c r="HD19" s="228">
        <f t="shared" si="122"/>
        <v>8.6034889278224913</v>
      </c>
      <c r="HE19" s="239">
        <f t="shared" si="123"/>
        <v>5.123495799988666E-13</v>
      </c>
      <c r="HF19" s="229">
        <f t="shared" si="124"/>
        <v>1.9021928061913105E-14</v>
      </c>
      <c r="HG19" s="362">
        <f t="shared" si="125"/>
        <v>31.983422531429245</v>
      </c>
      <c r="HH19" s="362">
        <f t="shared" si="126"/>
        <v>1.1981637761093191</v>
      </c>
      <c r="HI19" s="4">
        <v>7.5091582159801398</v>
      </c>
      <c r="HJ19" s="4">
        <v>0.114829942558394</v>
      </c>
      <c r="HK19" s="228">
        <f t="shared" si="127"/>
        <v>486.97100809542457</v>
      </c>
      <c r="HL19" s="228">
        <f t="shared" si="128"/>
        <v>22.775239218763009</v>
      </c>
      <c r="HM19" s="239">
        <f t="shared" si="129"/>
        <v>4.8373719274919356E-13</v>
      </c>
      <c r="HN19" s="229">
        <f t="shared" si="130"/>
        <v>1.7959640137437627E-14</v>
      </c>
      <c r="HO19" s="362">
        <f t="shared" si="131"/>
        <v>30.197294257368405</v>
      </c>
      <c r="HP19" s="362">
        <f t="shared" si="132"/>
        <v>1.7190214502115724</v>
      </c>
      <c r="HQ19" s="6">
        <v>1.11613116912226</v>
      </c>
      <c r="HR19" s="6">
        <v>3.5153924948669403E-2</v>
      </c>
      <c r="HS19" s="6">
        <f t="shared" si="133"/>
        <v>35.350346101489507</v>
      </c>
      <c r="HT19" s="6">
        <f t="shared" si="134"/>
        <v>3.4031122759642507</v>
      </c>
      <c r="HU19" s="6">
        <v>1.11613116912226</v>
      </c>
      <c r="HV19" s="6">
        <v>3.5153924948669403E-2</v>
      </c>
      <c r="HW19" s="6">
        <f t="shared" si="135"/>
        <v>41.658210617028068</v>
      </c>
      <c r="HX19" s="6">
        <f t="shared" si="136"/>
        <v>4.4008307667965063</v>
      </c>
      <c r="HY19" s="3">
        <v>4.2673999999999997E-2</v>
      </c>
      <c r="HZ19" s="3">
        <v>1.58E-3</v>
      </c>
      <c r="IA19" s="3">
        <v>8.3149999999999995E-3</v>
      </c>
      <c r="IB19" s="3">
        <v>7.6300000000000001E-4</v>
      </c>
      <c r="IC19" s="3">
        <v>1.4450000000000001E-3</v>
      </c>
      <c r="ID19" s="3">
        <v>2.61E-4</v>
      </c>
      <c r="IE19" s="3">
        <v>0.13780500000000001</v>
      </c>
      <c r="IF19" s="3">
        <v>2.196E-3</v>
      </c>
      <c r="IG19" s="3">
        <v>1.0734E-2</v>
      </c>
      <c r="IH19" s="3">
        <v>8.1499999999999997E-4</v>
      </c>
      <c r="II19" s="3">
        <v>6.2360000000000002E-3</v>
      </c>
      <c r="IJ19" s="3">
        <v>4.0200000000000001E-4</v>
      </c>
      <c r="IK19" s="3">
        <v>7.0889999999999998E-3</v>
      </c>
      <c r="IL19" s="3">
        <v>4.0299999999999998E-4</v>
      </c>
      <c r="IM19" s="3">
        <v>3.15E-3</v>
      </c>
      <c r="IN19" s="3">
        <v>5.1999999999999995E-4</v>
      </c>
      <c r="IO19" s="3">
        <v>7.8399999999999997E-4</v>
      </c>
      <c r="IP19" s="3">
        <v>1.64E-4</v>
      </c>
      <c r="IQ19" s="3">
        <v>1.6100000000000001E-4</v>
      </c>
      <c r="IR19" s="3">
        <v>7.7999999999999999E-5</v>
      </c>
      <c r="IS19" s="3">
        <v>1.2830000000000001E-3</v>
      </c>
      <c r="IT19" s="3">
        <v>2.9700000000000001E-4</v>
      </c>
      <c r="IU19" s="3">
        <v>1.0460000000000001E-3</v>
      </c>
      <c r="IV19" s="3">
        <v>2.1000000000000001E-4</v>
      </c>
      <c r="IW19" s="3">
        <v>2.02E-4</v>
      </c>
      <c r="IX19" s="3">
        <v>1.6000000000000001E-4</v>
      </c>
      <c r="IY19" s="3">
        <v>2.13E-4</v>
      </c>
      <c r="IZ19" s="3">
        <v>1.6799999999999999E-4</v>
      </c>
      <c r="JA19" s="157">
        <f t="shared" si="137"/>
        <v>3.9523999999999997E-2</v>
      </c>
      <c r="JB19" s="157">
        <f t="shared" si="138"/>
        <v>1.6633700730745399E-3</v>
      </c>
      <c r="JC19" s="157">
        <f t="shared" si="139"/>
        <v>7.5309999999999995E-3</v>
      </c>
      <c r="JD19" s="157">
        <f t="shared" si="140"/>
        <v>7.8042616563003581E-4</v>
      </c>
      <c r="JE19" s="157">
        <f t="shared" si="141"/>
        <v>1.284E-3</v>
      </c>
      <c r="JF19" s="157">
        <f t="shared" si="142"/>
        <v>2.7240594707164526E-4</v>
      </c>
      <c r="JG19" s="157">
        <f t="shared" si="143"/>
        <v>0.136522</v>
      </c>
      <c r="JH19" s="157">
        <f t="shared" si="144"/>
        <v>2.2159930054041236E-3</v>
      </c>
      <c r="JI19" s="157">
        <f t="shared" si="145"/>
        <v>9.6880000000000004E-3</v>
      </c>
      <c r="JJ19" s="157">
        <f t="shared" si="146"/>
        <v>8.4162046077789724E-4</v>
      </c>
      <c r="JK19" s="157">
        <f t="shared" si="147"/>
        <v>6.0340000000000003E-3</v>
      </c>
      <c r="JL19" s="157">
        <f t="shared" si="148"/>
        <v>4.3267077553262137E-4</v>
      </c>
      <c r="JM19" s="157">
        <f t="shared" si="149"/>
        <v>6.8760000000000002E-3</v>
      </c>
      <c r="JN19" s="157">
        <f t="shared" si="150"/>
        <v>4.366153913915541E-4</v>
      </c>
      <c r="JO19" s="157">
        <f t="shared" si="151"/>
        <v>3.8918467635139994E-2</v>
      </c>
      <c r="JP19" s="157">
        <f t="shared" si="152"/>
        <v>1.6683235800798925E-3</v>
      </c>
      <c r="JQ19" s="157">
        <f t="shared" si="153"/>
        <v>-8.0567106975200017E-4</v>
      </c>
      <c r="JR19" s="157">
        <f t="shared" si="154"/>
        <v>1.9331894300195485E-3</v>
      </c>
      <c r="JS19" s="157">
        <f t="shared" si="155"/>
        <v>0.129830612945944</v>
      </c>
      <c r="JT19" s="157">
        <f t="shared" si="156"/>
        <v>2.6317114473271134E-3</v>
      </c>
      <c r="JU19" s="157">
        <f t="shared" si="157"/>
        <v>1.2071545575400005E-3</v>
      </c>
      <c r="JV19" s="157">
        <f t="shared" si="158"/>
        <v>1.9863568684325701E-3</v>
      </c>
      <c r="JW19" s="157">
        <f t="shared" si="159"/>
        <v>2.7290145309519999E-3</v>
      </c>
      <c r="JX19" s="157">
        <f t="shared" si="160"/>
        <v>8.2391647832254482E-4</v>
      </c>
      <c r="JY19" s="157">
        <f t="shared" si="161"/>
        <v>4.0824095113319997E-3</v>
      </c>
      <c r="JZ19" s="157">
        <f t="shared" si="162"/>
        <v>7.3613377086647832E-4</v>
      </c>
      <c r="KA19" s="3">
        <v>1.7696448643015688E-12</v>
      </c>
      <c r="KB19" s="3">
        <v>3.8892524257744769E-14</v>
      </c>
      <c r="KC19" s="5">
        <v>1</v>
      </c>
      <c r="KD19" s="5">
        <v>0</v>
      </c>
      <c r="KE19" s="157">
        <f t="shared" si="163"/>
        <v>6.8871866377012309E-14</v>
      </c>
      <c r="KF19" s="157">
        <f t="shared" si="164"/>
        <v>3.3177418983109524E-15</v>
      </c>
      <c r="KG19" s="157">
        <f t="shared" si="165"/>
        <v>3.0727216534503054E-18</v>
      </c>
      <c r="KH19" s="157">
        <f t="shared" si="166"/>
        <v>1.4802121546165835E-19</v>
      </c>
      <c r="KI19" s="6">
        <v>1.2430056234832578</v>
      </c>
      <c r="KJ19" s="6">
        <v>0.11113867994607306</v>
      </c>
      <c r="KK19" s="157">
        <f t="shared" si="167"/>
        <v>3.6766392121938563E-14</v>
      </c>
      <c r="KL19" s="157">
        <f t="shared" si="260"/>
        <v>4.986388291847168E-15</v>
      </c>
      <c r="KM19" s="494">
        <f t="shared" si="168"/>
        <v>3.6451723508113685</v>
      </c>
      <c r="KN19" s="494">
        <f>KM19*SQRT(I_moleerr/I_mole)^2+(MVerr/MV)^2+(Sample_Masserr/Sample_Mass)</f>
        <v>0.49937118201808539</v>
      </c>
      <c r="KO19" s="4">
        <v>20.162258156415799</v>
      </c>
      <c r="KP19" s="4">
        <v>0.66285498057307002</v>
      </c>
      <c r="KQ19" s="229">
        <f t="shared" si="170"/>
        <v>4282.7492800452837</v>
      </c>
      <c r="KR19" s="229">
        <f t="shared" si="171"/>
        <v>250.16801738650318</v>
      </c>
      <c r="KS19" s="364">
        <f t="shared" si="172"/>
        <v>3.4335904029640933</v>
      </c>
      <c r="KT19" s="364">
        <f t="shared" si="173"/>
        <v>0.22944308136870775</v>
      </c>
      <c r="KU19" s="147">
        <f t="shared" si="174"/>
        <v>0.12883844313653689</v>
      </c>
      <c r="KV19" s="147">
        <f t="shared" si="175"/>
        <v>2.649012142603515E-3</v>
      </c>
      <c r="KW19" s="157">
        <f t="shared" si="176"/>
        <v>2.2799828922118222E-13</v>
      </c>
      <c r="KX19" s="157">
        <f t="shared" si="177"/>
        <v>6.8617934970673346E-15</v>
      </c>
      <c r="KY19" s="157">
        <f t="shared" si="178"/>
        <v>1.0172154714154606E-17</v>
      </c>
      <c r="KZ19" s="157">
        <f t="shared" si="179"/>
        <v>3.0613924920286545E-19</v>
      </c>
      <c r="LA19" s="6">
        <v>1.2485542932379501</v>
      </c>
      <c r="LB19" s="6">
        <v>5.9627651953476503E-2</v>
      </c>
      <c r="LC19" s="157">
        <f t="shared" si="180"/>
        <v>8.5453847198432645E-11</v>
      </c>
      <c r="LD19" s="157">
        <f t="shared" si="181"/>
        <v>9.8076703582620728E-12</v>
      </c>
      <c r="LE19" s="159">
        <f t="shared" si="182"/>
        <v>9.1680628704837179</v>
      </c>
      <c r="LF19" s="159">
        <f t="shared" si="183"/>
        <v>1.0572327713199112</v>
      </c>
      <c r="LG19" s="471"/>
      <c r="LH19" s="471"/>
      <c r="LM19" s="157">
        <f t="shared" si="184"/>
        <v>4.8293865493035612E-15</v>
      </c>
      <c r="LN19" s="157">
        <f t="shared" si="185"/>
        <v>1.4618976375355601E-15</v>
      </c>
      <c r="LO19" s="157">
        <f t="shared" si="186"/>
        <v>2.1546331475459632E-19</v>
      </c>
      <c r="LP19" s="157">
        <f t="shared" si="187"/>
        <v>6.5222633889458875E-20</v>
      </c>
      <c r="LQ19" s="157">
        <f t="shared" si="188"/>
        <v>5.4846219437903593E-14</v>
      </c>
      <c r="LR19" s="157">
        <f t="shared" si="189"/>
        <v>1.7315186748063273E-14</v>
      </c>
      <c r="LS19" s="147">
        <f t="shared" si="190"/>
        <v>10.199207680019533</v>
      </c>
      <c r="LT19" s="147">
        <f t="shared" si="191"/>
        <v>3.2203374179489086</v>
      </c>
      <c r="LW19" s="214" t="str">
        <f t="shared" si="192"/>
        <v>44z4</v>
      </c>
      <c r="LX19" s="214" t="str">
        <f t="shared" si="193"/>
        <v>MN2022a</v>
      </c>
      <c r="LY19" s="212">
        <f t="shared" si="194"/>
        <v>58.922953187733327</v>
      </c>
      <c r="LZ19" s="212">
        <f t="shared" si="195"/>
        <v>4.0330376554601628</v>
      </c>
      <c r="MA19" s="212">
        <f t="shared" si="196"/>
        <v>14.705206826264867</v>
      </c>
      <c r="MB19" s="212">
        <f t="shared" si="197"/>
        <v>0.47724030128097006</v>
      </c>
      <c r="MC19" s="212">
        <f t="shared" si="198"/>
        <v>24871.238680823299</v>
      </c>
      <c r="MD19" s="212">
        <f t="shared" si="199"/>
        <v>1887.0234482209619</v>
      </c>
      <c r="ME19" s="212">
        <f t="shared" si="200"/>
        <v>35.350346101489507</v>
      </c>
      <c r="MF19" s="212">
        <f t="shared" si="201"/>
        <v>3.4031122759642507</v>
      </c>
      <c r="MG19" s="212">
        <f t="shared" si="202"/>
        <v>41.658210617028068</v>
      </c>
      <c r="MH19" s="212">
        <f t="shared" si="203"/>
        <v>4.4008307667965063</v>
      </c>
      <c r="MI19" s="212">
        <f t="shared" si="204"/>
        <v>31.983422531429245</v>
      </c>
      <c r="MJ19" s="212">
        <f t="shared" si="205"/>
        <v>1.1981637761093191</v>
      </c>
      <c r="MK19" s="212">
        <f t="shared" si="206"/>
        <v>30.197294257368405</v>
      </c>
      <c r="ML19" s="212">
        <f t="shared" si="207"/>
        <v>1.7190214502115724</v>
      </c>
      <c r="MM19" s="212">
        <f t="shared" si="261"/>
        <v>3.6451723508113685</v>
      </c>
      <c r="MN19" s="212">
        <f t="shared" si="208"/>
        <v>0.49937118201808539</v>
      </c>
      <c r="MO19" s="212">
        <f t="shared" si="209"/>
        <v>3.4335904029640933</v>
      </c>
      <c r="MP19" s="212">
        <f t="shared" si="210"/>
        <v>0.22944308136870775</v>
      </c>
      <c r="MQ19" s="211"/>
      <c r="MR19" s="211"/>
      <c r="MS19" s="211"/>
      <c r="MT19" s="211"/>
      <c r="MU19" s="506">
        <f t="shared" si="273"/>
        <v>4.0069448790404945</v>
      </c>
      <c r="MV19" s="506">
        <f t="shared" si="274"/>
        <v>0.2753124100537665</v>
      </c>
      <c r="MW19" s="109">
        <f t="shared" si="211"/>
        <v>2.1749726412758695E-3</v>
      </c>
      <c r="MX19" s="109">
        <f t="shared" si="212"/>
        <v>1.0780175676152905E-4</v>
      </c>
      <c r="MY19" s="109">
        <f t="shared" si="213"/>
        <v>2.053510339170016E-3</v>
      </c>
      <c r="MZ19" s="109">
        <f t="shared" si="214"/>
        <v>1.3456149484691494E-4</v>
      </c>
      <c r="NA19" s="513">
        <f t="shared" si="215"/>
        <v>2.4788310656744737E-4</v>
      </c>
      <c r="NB19" s="513">
        <f t="shared" si="216"/>
        <v>3.489868515296792E-5</v>
      </c>
      <c r="NC19" s="506">
        <f t="shared" si="275"/>
        <v>3.6333604478103307</v>
      </c>
      <c r="ND19" s="506">
        <f t="shared" si="276"/>
        <v>0.24905263465832925</v>
      </c>
      <c r="NE19" s="109">
        <f t="shared" si="217"/>
        <v>9.6502434235023788E-4</v>
      </c>
      <c r="NF19" s="109">
        <f t="shared" si="218"/>
        <v>4.7341840184257676E-5</v>
      </c>
      <c r="NG19" s="513">
        <f t="shared" si="219"/>
        <v>9.1113213424352465E-4</v>
      </c>
      <c r="NH19" s="513">
        <f t="shared" si="220"/>
        <v>4.469801433303494E-5</v>
      </c>
      <c r="NI19" s="109">
        <f t="shared" si="221"/>
        <v>6.9250514005816428E-5</v>
      </c>
      <c r="NJ19" s="109">
        <f t="shared" si="221"/>
        <v>9.7495626807170116E-6</v>
      </c>
      <c r="NK19" s="621">
        <f t="shared" si="222"/>
        <v>7.2914812504691546E-9</v>
      </c>
      <c r="NL19" s="621">
        <f t="shared" si="223"/>
        <v>2.4589112286988286E-10</v>
      </c>
      <c r="NM19" s="621">
        <f t="shared" si="224"/>
        <v>1.8817436198374695E-9</v>
      </c>
      <c r="NN19" s="621">
        <f t="shared" si="225"/>
        <v>1.2760375316577787E-10</v>
      </c>
      <c r="NO19" s="621">
        <f t="shared" si="226"/>
        <v>2.1015224547683208E-6</v>
      </c>
      <c r="NP19" s="621">
        <f t="shared" si="227"/>
        <v>1.224121484887065E-8</v>
      </c>
      <c r="NQ19" s="621">
        <f t="shared" si="228"/>
        <v>-5.3110254745314797E-8</v>
      </c>
      <c r="NR19" s="621">
        <f t="shared" si="229"/>
        <v>-7.1731848675581754E-8</v>
      </c>
      <c r="NS19" s="621">
        <f t="shared" si="230"/>
        <v>2.0790956720661513E-6</v>
      </c>
      <c r="NT19" s="621">
        <f t="shared" si="231"/>
        <v>6.4605807106835358E-9</v>
      </c>
      <c r="NU19" s="621">
        <f t="shared" si="232"/>
        <v>1.7203759055793138E-10</v>
      </c>
      <c r="NV19" s="621">
        <f t="shared" si="233"/>
        <v>1.9834089050103454E-11</v>
      </c>
      <c r="NW19" s="621">
        <f t="shared" si="234"/>
        <v>1.7751750045025111E-12</v>
      </c>
      <c r="NX19" s="621">
        <f t="shared" si="235"/>
        <v>3.787301812221394E-13</v>
      </c>
      <c r="NY19" s="621">
        <f t="shared" si="236"/>
        <v>1.33939995666825E-11</v>
      </c>
      <c r="NZ19" s="621">
        <f t="shared" si="237"/>
        <v>1.2020948486254859E-12</v>
      </c>
      <c r="OA19" s="622">
        <f t="shared" si="262"/>
        <v>288.21612270251705</v>
      </c>
      <c r="OB19" s="622">
        <f t="shared" si="238"/>
        <v>9.5957260195506233</v>
      </c>
      <c r="OC19" s="622">
        <f t="shared" si="239"/>
        <v>285.14037143445665</v>
      </c>
      <c r="OD19" s="622">
        <f t="shared" si="263"/>
        <v>9.6565441814978641</v>
      </c>
      <c r="OE19" s="621">
        <f t="shared" si="264"/>
        <v>2.3594326673590772E-2</v>
      </c>
      <c r="OF19" s="621">
        <f t="shared" si="265"/>
        <v>2.8292403908638315E-3</v>
      </c>
      <c r="OG19" s="621">
        <f t="shared" si="266"/>
        <v>2.43458762838935E-4</v>
      </c>
      <c r="OH19" s="621">
        <f t="shared" si="267"/>
        <v>5.258633148796122E-5</v>
      </c>
      <c r="OI19" s="621">
        <f t="shared" si="268"/>
        <v>1.8369380797380083E-3</v>
      </c>
      <c r="OJ19" s="621">
        <f t="shared" si="269"/>
        <v>1.7611710519053819E-4</v>
      </c>
      <c r="OK19" s="621">
        <f t="shared" si="240"/>
        <v>8.954192307428473E-4</v>
      </c>
      <c r="OL19" s="621">
        <f t="shared" si="241"/>
        <v>6.0529309348956854E-5</v>
      </c>
      <c r="OM19" s="621">
        <f t="shared" si="242"/>
        <v>3.4696185300922681E-3</v>
      </c>
      <c r="ON19" s="621">
        <f t="shared" si="243"/>
        <v>1.155157750889784E-4</v>
      </c>
      <c r="OO19" s="621">
        <f t="shared" si="244"/>
        <v>0.25807425887797392</v>
      </c>
      <c r="OP19" s="621">
        <f t="shared" si="245"/>
        <v>8.5921976108451429E-3</v>
      </c>
      <c r="OQ19" s="621">
        <f t="shared" si="246"/>
        <v>4.591074900651965E-3</v>
      </c>
      <c r="OR19" s="621">
        <f t="shared" si="247"/>
        <v>7.7735504550723162E-6</v>
      </c>
    </row>
    <row r="20" spans="2:408" s="657" customFormat="1">
      <c r="B20" s="630" t="s">
        <v>966</v>
      </c>
      <c r="C20" s="631">
        <v>2.33E-3</v>
      </c>
      <c r="D20" s="632">
        <f t="shared" ref="D20" si="291">C20*0.5%</f>
        <v>1.165E-5</v>
      </c>
      <c r="E20" s="633">
        <v>45112</v>
      </c>
      <c r="F20" s="631" t="s">
        <v>210</v>
      </c>
      <c r="G20" s="631" t="s">
        <v>893</v>
      </c>
      <c r="H20" s="631">
        <v>2</v>
      </c>
      <c r="I20" s="631"/>
      <c r="J20" s="634">
        <v>44644</v>
      </c>
      <c r="K20" s="633" t="s">
        <v>823</v>
      </c>
      <c r="L20" s="631" t="s">
        <v>949</v>
      </c>
      <c r="M20" s="631" t="s">
        <v>952</v>
      </c>
      <c r="N20" s="631">
        <v>180</v>
      </c>
      <c r="O20" s="635">
        <v>1269.203178</v>
      </c>
      <c r="P20" s="635">
        <v>1.142976</v>
      </c>
      <c r="Q20" s="635">
        <v>1.754929</v>
      </c>
      <c r="R20" s="635">
        <v>8.3493999999999999E-2</v>
      </c>
      <c r="S20" s="635">
        <v>21.597987</v>
      </c>
      <c r="T20" s="635">
        <v>9.3276999999999999E-2</v>
      </c>
      <c r="U20" s="635">
        <v>0.111694</v>
      </c>
      <c r="V20" s="635">
        <v>3.9079000000000003E-2</v>
      </c>
      <c r="W20" s="635">
        <v>4.8083330000000002</v>
      </c>
      <c r="X20" s="635">
        <v>8.4669999999999995E-2</v>
      </c>
      <c r="Y20" s="635">
        <v>87.208832000000001</v>
      </c>
      <c r="Z20" s="635">
        <v>0.67488400000000004</v>
      </c>
      <c r="AA20" s="635">
        <v>0.26542399999999999</v>
      </c>
      <c r="AB20" s="635">
        <v>7.0499000000000006E-2</v>
      </c>
      <c r="AC20" s="635">
        <v>0.43656200000000001</v>
      </c>
      <c r="AD20" s="635">
        <v>6.9486999999999993E-2</v>
      </c>
      <c r="AE20" s="635">
        <v>8.4747000000000003E-2</v>
      </c>
      <c r="AF20" s="635">
        <v>3.0651999999999999E-2</v>
      </c>
      <c r="AG20" s="635">
        <v>0.45428600000000002</v>
      </c>
      <c r="AH20" s="635">
        <v>0.15737100000000001</v>
      </c>
      <c r="AI20" s="637">
        <f t="shared" si="1"/>
        <v>1181.994346</v>
      </c>
      <c r="AJ20" s="637">
        <f t="shared" si="2"/>
        <v>1.3273517054767361</v>
      </c>
      <c r="AK20" s="637">
        <f t="shared" si="3"/>
        <v>1.4895049999999999</v>
      </c>
      <c r="AL20" s="637">
        <f t="shared" si="4"/>
        <v>0.1092765164021987</v>
      </c>
      <c r="AM20" s="637">
        <f t="shared" si="5"/>
        <v>21.161425000000001</v>
      </c>
      <c r="AN20" s="637">
        <f t="shared" si="6"/>
        <v>0.11631440967481201</v>
      </c>
      <c r="AO20" s="637">
        <f t="shared" si="7"/>
        <v>2.6946999999999999E-2</v>
      </c>
      <c r="AP20" s="637">
        <f t="shared" si="8"/>
        <v>4.9666018010305596E-2</v>
      </c>
      <c r="AQ20" s="637">
        <f t="shared" si="9"/>
        <v>4.3540470000000004</v>
      </c>
      <c r="AR20" s="637">
        <f t="shared" si="10"/>
        <v>0.1787026595800969</v>
      </c>
      <c r="AS20" s="638">
        <v>304.12046242532102</v>
      </c>
      <c r="AT20" s="638">
        <v>0.91447361557367601</v>
      </c>
      <c r="AU20" s="639">
        <f t="shared" si="11"/>
        <v>1.5003681318822566</v>
      </c>
      <c r="AV20" s="639">
        <f t="shared" si="12"/>
        <v>0.10927942802313405</v>
      </c>
      <c r="AW20" s="639">
        <f t="shared" si="13"/>
        <v>21.470090429913281</v>
      </c>
      <c r="AX20" s="639">
        <f t="shared" si="14"/>
        <v>0.11631854141056676</v>
      </c>
      <c r="AY20" s="639">
        <f t="shared" si="15"/>
        <v>2.7536582743591689E-2</v>
      </c>
      <c r="AZ20" s="639">
        <f t="shared" si="16"/>
        <v>4.9668366150501263E-2</v>
      </c>
      <c r="BA20" s="639">
        <f t="shared" si="17"/>
        <v>4.4810652692439312</v>
      </c>
      <c r="BB20" s="639">
        <f t="shared" si="18"/>
        <v>0.17870744068611741</v>
      </c>
      <c r="BC20" s="635"/>
      <c r="BD20" s="640"/>
      <c r="BE20" s="637">
        <v>3.48</v>
      </c>
      <c r="BF20" s="637">
        <f t="shared" si="249"/>
        <v>0.17400000000000002</v>
      </c>
      <c r="BG20" s="637">
        <f t="shared" si="250"/>
        <v>2.4871238680823291</v>
      </c>
      <c r="BH20" s="637">
        <f t="shared" si="251"/>
        <v>0.12435619340411647</v>
      </c>
      <c r="BI20" s="641">
        <f t="shared" si="19"/>
        <v>1.4458579372833899E-6</v>
      </c>
      <c r="BJ20" s="641">
        <f t="shared" si="252"/>
        <v>7.22928968641695E-8</v>
      </c>
      <c r="BK20" s="639">
        <f t="shared" si="20"/>
        <v>580.28746864782295</v>
      </c>
      <c r="BL20" s="639">
        <f t="shared" si="253"/>
        <v>29.01437343239115</v>
      </c>
      <c r="BM20" s="639"/>
      <c r="BN20" s="639"/>
      <c r="BO20" s="642">
        <f t="shared" si="254"/>
        <v>1181.798974388073</v>
      </c>
      <c r="BP20" s="639">
        <f t="shared" si="255"/>
        <v>1.3274279793143793</v>
      </c>
      <c r="BQ20" s="642">
        <f t="shared" si="271"/>
        <v>1.5003681318822566</v>
      </c>
      <c r="BR20" s="639">
        <f t="shared" si="272"/>
        <v>0.10927942802313405</v>
      </c>
      <c r="BS20" s="642">
        <f t="shared" si="256"/>
        <v>21.470090429913281</v>
      </c>
      <c r="BT20" s="639">
        <f t="shared" si="257"/>
        <v>0.11631854141056676</v>
      </c>
      <c r="BU20" s="637">
        <f t="shared" si="258"/>
        <v>4.2786440864107407</v>
      </c>
      <c r="BV20" s="637">
        <f t="shared" si="21"/>
        <v>0.17899381328618913</v>
      </c>
      <c r="BW20" s="631"/>
      <c r="BX20" s="637">
        <f t="shared" si="22"/>
        <v>4.2599219827592094</v>
      </c>
      <c r="BY20" s="637">
        <f t="shared" si="23"/>
        <v>0.17899470405881621</v>
      </c>
      <c r="BZ20" s="642">
        <f t="shared" si="24"/>
        <v>20.66570303554748</v>
      </c>
      <c r="CA20" s="637">
        <f t="shared" si="25"/>
        <v>1.8761421878529128E-2</v>
      </c>
      <c r="CB20" s="642">
        <f t="shared" si="26"/>
        <v>-77.00797151727329</v>
      </c>
      <c r="CC20" s="642">
        <f t="shared" si="27"/>
        <v>52.909589331029764</v>
      </c>
      <c r="CD20" s="643">
        <v>1.5903158759700325E-12</v>
      </c>
      <c r="CE20" s="643">
        <v>4.0102150310807229E-15</v>
      </c>
      <c r="CF20" s="641">
        <f t="shared" si="28"/>
        <v>6.7746215595757095E-12</v>
      </c>
      <c r="CG20" s="641">
        <f t="shared" si="29"/>
        <v>2.8517026645996374E-13</v>
      </c>
      <c r="CH20" s="641">
        <f t="shared" si="30"/>
        <v>9.228403740170953E-10</v>
      </c>
      <c r="CI20" s="644">
        <f t="shared" si="31"/>
        <v>4.620066211231786E-11</v>
      </c>
      <c r="CJ20" s="641">
        <f t="shared" si="32"/>
        <v>3.2864995625513254E-11</v>
      </c>
      <c r="CK20" s="645">
        <f t="shared" si="33"/>
        <v>8.8081254385315654E-14</v>
      </c>
      <c r="CL20" s="641">
        <f t="shared" si="34"/>
        <v>2.3860592599318522E-12</v>
      </c>
      <c r="CM20" s="641">
        <f t="shared" si="35"/>
        <v>1.7389293288360838E-13</v>
      </c>
      <c r="CN20" s="641">
        <f t="shared" si="36"/>
        <v>1.8794336711744542E-9</v>
      </c>
      <c r="CO20" s="641">
        <f t="shared" si="37"/>
        <v>5.1881700098687992E-12</v>
      </c>
      <c r="CP20" s="641">
        <f t="shared" si="38"/>
        <v>1.4662733712814028E-15</v>
      </c>
      <c r="CQ20" s="641">
        <f t="shared" si="39"/>
        <v>3.9297495216534727E-18</v>
      </c>
      <c r="CR20" s="641">
        <f t="shared" si="40"/>
        <v>8.3851024248834468E-14</v>
      </c>
      <c r="CS20" s="641">
        <f t="shared" si="41"/>
        <v>2.3147046133044104E-16</v>
      </c>
      <c r="CT20" s="632">
        <v>4.591074900651965E-3</v>
      </c>
      <c r="CU20" s="632">
        <v>7.7735504550723162E-6</v>
      </c>
      <c r="CV20" s="643">
        <v>1.1611559367069784E+19</v>
      </c>
      <c r="CW20" s="646">
        <v>1.040942599512031E+18</v>
      </c>
      <c r="CX20" s="643">
        <v>8.6527210079182822E+17</v>
      </c>
      <c r="CY20" s="643">
        <v>8.9278178143800032E+16</v>
      </c>
      <c r="CZ20" s="635">
        <v>0.49865169925804054</v>
      </c>
      <c r="DA20" s="635">
        <v>2.7936431740382541E-2</v>
      </c>
      <c r="DB20" s="638">
        <v>24.337069265073254</v>
      </c>
      <c r="DC20" s="638">
        <v>0.74264427477540718</v>
      </c>
      <c r="DD20" s="641">
        <f t="shared" si="42"/>
        <v>1.9109415525618479E-9</v>
      </c>
      <c r="DE20" s="641">
        <f t="shared" si="43"/>
        <v>1.403958693713961E-10</v>
      </c>
      <c r="DF20" s="637">
        <f t="shared" si="44"/>
        <v>32.066337383917983</v>
      </c>
      <c r="DG20" s="637">
        <f t="shared" si="45"/>
        <v>2.3613463403656296</v>
      </c>
      <c r="DH20" s="647">
        <f t="shared" si="46"/>
        <v>3.2066337383917982E-3</v>
      </c>
      <c r="DI20" s="648">
        <f t="shared" si="47"/>
        <v>2.3613463403656296E-4</v>
      </c>
      <c r="DJ20" s="641">
        <f t="shared" si="48"/>
        <v>1.1927141266492325E-9</v>
      </c>
      <c r="DK20" s="641">
        <f t="shared" si="49"/>
        <v>3.8181777850239102E-11</v>
      </c>
      <c r="DL20" s="637">
        <f t="shared" si="50"/>
        <v>18.148194820641731</v>
      </c>
      <c r="DM20" s="639">
        <f t="shared" si="51"/>
        <v>0.5880130209736214</v>
      </c>
      <c r="DN20" s="647">
        <f t="shared" si="52"/>
        <v>1.8148194820641732E-3</v>
      </c>
      <c r="DO20" s="648">
        <f t="shared" si="53"/>
        <v>5.8801302097362142E-5</v>
      </c>
      <c r="DP20" s="641">
        <f t="shared" si="54"/>
        <v>1.4458579372833899E-6</v>
      </c>
      <c r="DQ20" s="641">
        <f t="shared" si="55"/>
        <v>1.0946115444712386E-7</v>
      </c>
      <c r="DR20" s="642">
        <f t="shared" si="56"/>
        <v>24871.238680823288</v>
      </c>
      <c r="DS20" s="642">
        <f t="shared" si="57"/>
        <v>1887.0234482209612</v>
      </c>
      <c r="DT20" s="637">
        <f t="shared" si="58"/>
        <v>2.4871238680823287</v>
      </c>
      <c r="DU20" s="637">
        <f t="shared" si="59"/>
        <v>0.18870234482209611</v>
      </c>
      <c r="DV20" s="639">
        <f t="shared" si="60"/>
        <v>1.6021790216658014</v>
      </c>
      <c r="DW20" s="639">
        <f t="shared" si="61"/>
        <v>0.11873604991395811</v>
      </c>
      <c r="DX20" s="639">
        <f t="shared" si="62"/>
        <v>1.3216661909069018E-3</v>
      </c>
      <c r="DY20" s="639">
        <f t="shared" si="63"/>
        <v>5.8286087792745632E-3</v>
      </c>
      <c r="DZ20" s="639">
        <f t="shared" si="64"/>
        <v>1.7669160872929233</v>
      </c>
      <c r="EA20" s="639">
        <f t="shared" si="65"/>
        <v>0.13116446889966379</v>
      </c>
      <c r="EB20" s="639">
        <f t="shared" si="66"/>
        <v>1.2892939429125579E-3</v>
      </c>
      <c r="EC20" s="639">
        <f t="shared" si="67"/>
        <v>5.8514594727624835E-3</v>
      </c>
      <c r="ED20" s="641">
        <f t="shared" si="68"/>
        <v>7.0302700685203142E-5</v>
      </c>
      <c r="EE20" s="641">
        <f t="shared" si="69"/>
        <v>2.2589182203382767E-6</v>
      </c>
      <c r="EF20" s="637">
        <f t="shared" si="70"/>
        <v>-51.326051174297135</v>
      </c>
      <c r="EG20" s="637">
        <f t="shared" si="71"/>
        <v>-35.461999618267079</v>
      </c>
      <c r="EH20" s="641">
        <f t="shared" si="72"/>
        <v>4.3879429036655803E-5</v>
      </c>
      <c r="EI20" s="641">
        <f t="shared" si="73"/>
        <v>3.2260733506478892E-6</v>
      </c>
      <c r="EJ20" s="642" t="str">
        <f t="shared" si="74"/>
        <v/>
      </c>
      <c r="EK20" s="642" t="str">
        <f t="shared" si="75"/>
        <v/>
      </c>
      <c r="EL20" s="642" t="str">
        <f t="shared" si="76"/>
        <v/>
      </c>
      <c r="EM20" s="639" t="str">
        <f t="shared" si="77"/>
        <v/>
      </c>
      <c r="EN20" s="639" t="str">
        <f t="shared" si="78"/>
        <v/>
      </c>
      <c r="EO20" s="639" t="str">
        <f t="shared" si="79"/>
        <v/>
      </c>
      <c r="EP20" s="649">
        <f t="shared" si="288"/>
        <v>1.1291887683430961</v>
      </c>
      <c r="EQ20" s="642" t="str">
        <f t="shared" si="289"/>
        <v/>
      </c>
      <c r="ER20" s="642" t="str">
        <f t="shared" si="290"/>
        <v/>
      </c>
      <c r="ES20" s="637">
        <f t="shared" si="81"/>
        <v>0.35220554225043527</v>
      </c>
      <c r="ET20" s="637">
        <f t="shared" si="82"/>
        <v>1.4804366839348935E-2</v>
      </c>
      <c r="EU20" s="642">
        <f t="shared" si="83"/>
        <v>277.42268031458309</v>
      </c>
      <c r="EV20" s="642">
        <f t="shared" si="84"/>
        <v>11.660995175402975</v>
      </c>
      <c r="EW20" s="641">
        <f t="shared" si="85"/>
        <v>1.269562898934767E-3</v>
      </c>
      <c r="EX20" s="641">
        <f t="shared" si="86"/>
        <v>9.2479706101402981E-5</v>
      </c>
      <c r="EY20" s="641">
        <f t="shared" si="87"/>
        <v>3.6046079537046189E-3</v>
      </c>
      <c r="EZ20" s="641">
        <f t="shared" si="88"/>
        <v>1.515136250205107E-4</v>
      </c>
      <c r="FA20" s="632">
        <v>1.1949609999999999</v>
      </c>
      <c r="FB20" s="632">
        <v>8.1290000000000008E-3</v>
      </c>
      <c r="FC20" s="632">
        <v>0.36587399999999998</v>
      </c>
      <c r="FD20" s="632">
        <v>3.1700000000000001E-3</v>
      </c>
      <c r="FE20" s="632">
        <v>8.9742000000000002E-2</v>
      </c>
      <c r="FF20" s="632">
        <v>2.1540000000000001E-3</v>
      </c>
      <c r="FG20" s="631"/>
      <c r="FH20" s="631"/>
      <c r="FI20" s="632">
        <v>4.7750000000000001E-2</v>
      </c>
      <c r="FJ20" s="632">
        <v>3.1059999999999998E-3</v>
      </c>
      <c r="FK20" s="632">
        <v>1.5852999999999999E-2</v>
      </c>
      <c r="FL20" s="632">
        <v>7.7380000000000001E-3</v>
      </c>
      <c r="FM20" s="632">
        <v>1.516E-3</v>
      </c>
      <c r="FN20" s="632">
        <v>5.31E-4</v>
      </c>
      <c r="FO20" s="631"/>
      <c r="FP20" s="631"/>
      <c r="FQ20" s="647">
        <f t="shared" si="89"/>
        <v>1.147211</v>
      </c>
      <c r="FR20" s="647">
        <f t="shared" si="90"/>
        <v>8.7021765668136158E-3</v>
      </c>
      <c r="FS20" s="647">
        <f t="shared" si="91"/>
        <v>0.35002099999999997</v>
      </c>
      <c r="FT20" s="647">
        <f t="shared" si="92"/>
        <v>4.4830569927227113E-3</v>
      </c>
      <c r="FU20" s="647">
        <f t="shared" si="93"/>
        <v>8.8225999999999999E-2</v>
      </c>
      <c r="FV20" s="647">
        <f t="shared" si="94"/>
        <v>2.218485294068906E-3</v>
      </c>
      <c r="FW20" s="647">
        <f t="shared" si="95"/>
        <v>0</v>
      </c>
      <c r="FX20" s="647">
        <f t="shared" si="96"/>
        <v>0</v>
      </c>
      <c r="FY20" s="647">
        <f t="shared" si="97"/>
        <v>8.7319445238053892E-2</v>
      </c>
      <c r="FZ20" s="647">
        <f t="shared" si="98"/>
        <v>1.0580517987479551E-2</v>
      </c>
      <c r="GA20" s="647">
        <f t="shared" si="99"/>
        <v>1.1437531499685731</v>
      </c>
      <c r="GB20" s="647">
        <f t="shared" si="100"/>
        <v>8.7122573638204054E-3</v>
      </c>
      <c r="GC20" s="647">
        <f t="shared" si="101"/>
        <v>0.33236500817286546</v>
      </c>
      <c r="GD20" s="647">
        <f t="shared" si="102"/>
        <v>4.9673685124157216E-3</v>
      </c>
      <c r="GE20" s="647">
        <f t="shared" si="103"/>
        <v>-2.664989468665405E-2</v>
      </c>
      <c r="GF20" s="647">
        <f t="shared" si="104"/>
        <v>3.2291740897787591E-3</v>
      </c>
      <c r="GG20" s="643">
        <v>1.7782159136499011E-12</v>
      </c>
      <c r="GH20" s="643">
        <v>7.5535622364420377E-15</v>
      </c>
      <c r="GI20" s="635">
        <v>1</v>
      </c>
      <c r="GJ20" s="635">
        <v>5.0000000000000001E-3</v>
      </c>
      <c r="GK20" s="641">
        <f t="shared" si="105"/>
        <v>2.0338400525613185E-12</v>
      </c>
      <c r="GL20" s="641">
        <f t="shared" si="106"/>
        <v>2.0446579776047284E-14</v>
      </c>
      <c r="GM20" s="641">
        <f t="shared" si="107"/>
        <v>5.9101674667336885E-13</v>
      </c>
      <c r="GN20" s="641">
        <f t="shared" si="108"/>
        <v>9.6466661683776974E-15</v>
      </c>
      <c r="GO20" s="641">
        <f t="shared" si="109"/>
        <v>1.5527282709338852E-13</v>
      </c>
      <c r="GP20" s="641">
        <f t="shared" si="110"/>
        <v>1.8842004553681982E-14</v>
      </c>
      <c r="GQ20" s="641">
        <f t="shared" si="111"/>
        <v>-4.7389266828902179E-14</v>
      </c>
      <c r="GR20" s="641">
        <f t="shared" si="112"/>
        <v>-5.7505797897837422E-15</v>
      </c>
      <c r="GS20" s="641">
        <f t="shared" si="113"/>
        <v>9.073987243135857E-17</v>
      </c>
      <c r="GT20" s="641">
        <f t="shared" si="114"/>
        <v>9.12225148328304E-19</v>
      </c>
      <c r="GU20" s="641">
        <f t="shared" si="115"/>
        <v>2.6368240772129837E-17</v>
      </c>
      <c r="GV20" s="641">
        <f t="shared" si="116"/>
        <v>4.3038647850246382E-19</v>
      </c>
      <c r="GW20" s="641">
        <f t="shared" si="117"/>
        <v>6.9275046996773048E-18</v>
      </c>
      <c r="GX20" s="641">
        <f t="shared" si="118"/>
        <v>8.4063694557424525E-19</v>
      </c>
      <c r="GY20" s="637">
        <f t="shared" si="119"/>
        <v>3.4412562148350427</v>
      </c>
      <c r="GZ20" s="637">
        <f t="shared" si="120"/>
        <v>3.4862014137458638E-2</v>
      </c>
      <c r="HA20" s="638">
        <v>26.169770272470501</v>
      </c>
      <c r="HB20" s="638">
        <v>0.31897682079735301</v>
      </c>
      <c r="HC20" s="650">
        <f t="shared" si="121"/>
        <v>422.87955950238097</v>
      </c>
      <c r="HD20" s="650">
        <f t="shared" si="122"/>
        <v>6.7768369907891612</v>
      </c>
      <c r="HE20" s="651">
        <f t="shared" si="123"/>
        <v>1.2514230203811562E-12</v>
      </c>
      <c r="HF20" s="652">
        <f t="shared" si="124"/>
        <v>4.4800528895065655E-14</v>
      </c>
      <c r="HG20" s="653">
        <f t="shared" si="125"/>
        <v>42.915753227697799</v>
      </c>
      <c r="HH20" s="653">
        <f t="shared" si="126"/>
        <v>1.5512820631566739</v>
      </c>
      <c r="HI20" s="638">
        <v>7.5091582159801398</v>
      </c>
      <c r="HJ20" s="638">
        <v>0.114829942558394</v>
      </c>
      <c r="HK20" s="650">
        <f t="shared" si="127"/>
        <v>417.565920608108</v>
      </c>
      <c r="HL20" s="650">
        <f t="shared" si="128"/>
        <v>9.4062730944635309</v>
      </c>
      <c r="HM20" s="651">
        <f t="shared" si="129"/>
        <v>1.2673477156355054E-12</v>
      </c>
      <c r="HN20" s="652">
        <f t="shared" si="130"/>
        <v>4.5370627701199401E-14</v>
      </c>
      <c r="HO20" s="653">
        <f t="shared" si="131"/>
        <v>43.461867755424635</v>
      </c>
      <c r="HP20" s="653">
        <f t="shared" si="132"/>
        <v>1.7150878684474404</v>
      </c>
      <c r="HQ20" s="635">
        <v>1.11613116912226</v>
      </c>
      <c r="HR20" s="635">
        <v>3.5153924948669403E-2</v>
      </c>
      <c r="HS20" s="635">
        <f t="shared" si="133"/>
        <v>47.433533053394555</v>
      </c>
      <c r="HT20" s="635">
        <f t="shared" si="134"/>
        <v>4.5441396483104901</v>
      </c>
      <c r="HU20" s="635">
        <v>1.11613116912226</v>
      </c>
      <c r="HV20" s="635">
        <v>3.5153924948669403E-2</v>
      </c>
      <c r="HW20" s="635">
        <f t="shared" si="135"/>
        <v>59.957147992592503</v>
      </c>
      <c r="HX20" s="635">
        <f t="shared" si="136"/>
        <v>5.8388640372202305</v>
      </c>
      <c r="HY20" s="643">
        <v>7.1175000000000002E-2</v>
      </c>
      <c r="HZ20" s="643">
        <v>2.5079999999999998E-3</v>
      </c>
      <c r="IA20" s="643">
        <v>6.3379999999999999E-3</v>
      </c>
      <c r="IB20" s="643">
        <v>3.6200000000000002E-4</v>
      </c>
      <c r="IC20" s="643">
        <v>1.2290000000000001E-3</v>
      </c>
      <c r="ID20" s="643">
        <v>1.93E-4</v>
      </c>
      <c r="IE20" s="643">
        <v>0.12528600000000001</v>
      </c>
      <c r="IF20" s="643">
        <v>1.882E-3</v>
      </c>
      <c r="IG20" s="643">
        <v>9.6959999999999998E-3</v>
      </c>
      <c r="IH20" s="643">
        <v>6.1300000000000005E-4</v>
      </c>
      <c r="II20" s="643">
        <v>7.3670000000000003E-3</v>
      </c>
      <c r="IJ20" s="643">
        <v>5.4299999999999997E-4</v>
      </c>
      <c r="IK20" s="643">
        <v>7.0650000000000001E-3</v>
      </c>
      <c r="IL20" s="643">
        <v>2.8899999999999998E-4</v>
      </c>
      <c r="IM20" s="643">
        <v>3.15E-3</v>
      </c>
      <c r="IN20" s="643">
        <v>5.1999999999999995E-4</v>
      </c>
      <c r="IO20" s="643">
        <v>7.8399999999999997E-4</v>
      </c>
      <c r="IP20" s="643">
        <v>1.64E-4</v>
      </c>
      <c r="IQ20" s="643">
        <v>1.6100000000000001E-4</v>
      </c>
      <c r="IR20" s="643">
        <v>7.7999999999999999E-5</v>
      </c>
      <c r="IS20" s="643">
        <v>1.2830000000000001E-3</v>
      </c>
      <c r="IT20" s="643">
        <v>2.9700000000000001E-4</v>
      </c>
      <c r="IU20" s="643">
        <v>1.0460000000000001E-3</v>
      </c>
      <c r="IV20" s="643">
        <v>2.1000000000000001E-4</v>
      </c>
      <c r="IW20" s="643">
        <v>2.02E-4</v>
      </c>
      <c r="IX20" s="643">
        <v>1.6000000000000001E-4</v>
      </c>
      <c r="IY20" s="643">
        <v>2.13E-4</v>
      </c>
      <c r="IZ20" s="643">
        <v>1.6799999999999999E-4</v>
      </c>
      <c r="JA20" s="641">
        <f t="shared" si="137"/>
        <v>6.8025000000000002E-2</v>
      </c>
      <c r="JB20" s="641">
        <f t="shared" si="138"/>
        <v>2.5613402741533581E-3</v>
      </c>
      <c r="JC20" s="641">
        <f t="shared" si="139"/>
        <v>5.5539999999999999E-3</v>
      </c>
      <c r="JD20" s="641">
        <f t="shared" si="140"/>
        <v>3.9741665792968468E-4</v>
      </c>
      <c r="JE20" s="641">
        <f t="shared" si="141"/>
        <v>1.0679999999999999E-3</v>
      </c>
      <c r="JF20" s="641">
        <f t="shared" si="142"/>
        <v>2.0816579930430453E-4</v>
      </c>
      <c r="JG20" s="641">
        <f t="shared" si="143"/>
        <v>0.124003</v>
      </c>
      <c r="JH20" s="641">
        <f t="shared" si="144"/>
        <v>1.9052907914541548E-3</v>
      </c>
      <c r="JI20" s="641">
        <f t="shared" si="145"/>
        <v>8.6499999999999997E-3</v>
      </c>
      <c r="JJ20" s="641">
        <f t="shared" si="146"/>
        <v>6.4797299326437984E-4</v>
      </c>
      <c r="JK20" s="641">
        <f t="shared" si="147"/>
        <v>7.1650000000000004E-3</v>
      </c>
      <c r="JL20" s="641">
        <f t="shared" si="148"/>
        <v>5.6608214951542151E-4</v>
      </c>
      <c r="JM20" s="641">
        <f t="shared" si="149"/>
        <v>6.8520000000000005E-3</v>
      </c>
      <c r="JN20" s="641">
        <f t="shared" si="150"/>
        <v>3.3428281439523629E-4</v>
      </c>
      <c r="JO20" s="641">
        <f t="shared" si="151"/>
        <v>6.7521332892780006E-2</v>
      </c>
      <c r="JP20" s="641">
        <f t="shared" si="152"/>
        <v>2.5632209188212723E-3</v>
      </c>
      <c r="JQ20" s="641">
        <f t="shared" si="153"/>
        <v>-1.3802404225040001E-3</v>
      </c>
      <c r="JR20" s="641">
        <f t="shared" si="154"/>
        <v>1.4087826866523558E-3</v>
      </c>
      <c r="JS20" s="641">
        <f t="shared" si="155"/>
        <v>0.11843726684288801</v>
      </c>
      <c r="JT20" s="641">
        <f t="shared" si="156"/>
        <v>2.192483234235325E-3</v>
      </c>
      <c r="JU20" s="641">
        <f t="shared" si="157"/>
        <v>1.5958388375799997E-3</v>
      </c>
      <c r="JV20" s="641">
        <f t="shared" si="158"/>
        <v>1.5199759485009169E-3</v>
      </c>
      <c r="JW20" s="641">
        <f t="shared" si="159"/>
        <v>4.4159933949040001E-3</v>
      </c>
      <c r="JX20" s="641">
        <f t="shared" si="160"/>
        <v>7.7945201723843348E-4</v>
      </c>
      <c r="JY20" s="641">
        <f t="shared" si="161"/>
        <v>4.5283593131640008E-3</v>
      </c>
      <c r="JZ20" s="641">
        <f t="shared" si="162"/>
        <v>5.6291022623610159E-4</v>
      </c>
      <c r="KA20" s="643">
        <v>1.7696448643015688E-12</v>
      </c>
      <c r="KB20" s="643">
        <v>3.8892524257744769E-14</v>
      </c>
      <c r="KC20" s="631">
        <v>1</v>
      </c>
      <c r="KD20" s="631">
        <v>0</v>
      </c>
      <c r="KE20" s="641">
        <f t="shared" si="163"/>
        <v>1.1948877998450472E-13</v>
      </c>
      <c r="KF20" s="641">
        <f t="shared" si="164"/>
        <v>5.2413244758328049E-15</v>
      </c>
      <c r="KG20" s="641">
        <f t="shared" si="165"/>
        <v>5.3309977051136576E-18</v>
      </c>
      <c r="KH20" s="641">
        <f t="shared" si="166"/>
        <v>2.3384194531475431E-19</v>
      </c>
      <c r="KI20" s="635">
        <v>1.2430056234832578</v>
      </c>
      <c r="KJ20" s="635">
        <v>0.11113867994607306</v>
      </c>
      <c r="KK20" s="641">
        <f t="shared" si="167"/>
        <v>6.3787603998323981E-14</v>
      </c>
      <c r="KL20" s="641">
        <f t="shared" si="260"/>
        <v>8.5573488266962674E-15</v>
      </c>
      <c r="KM20" s="573">
        <f t="shared" si="168"/>
        <v>3.474220597255496</v>
      </c>
      <c r="KN20" s="573">
        <f>KM20*SQRT(I_moleerr/I_mole)^2+(MVerr/MV)^2+(Sample_Masserr/Sample_Mass)</f>
        <v>0.47107986016234349</v>
      </c>
      <c r="KO20" s="638">
        <v>20.162258156415799</v>
      </c>
      <c r="KP20" s="638">
        <v>0.66285498057307002</v>
      </c>
      <c r="KQ20" s="652">
        <f t="shared" si="170"/>
        <v>5545.5627398405459</v>
      </c>
      <c r="KR20" s="652">
        <f t="shared" si="171"/>
        <v>304.35577437308001</v>
      </c>
      <c r="KS20" s="654">
        <f t="shared" si="172"/>
        <v>3.272561446336383</v>
      </c>
      <c r="KT20" s="654">
        <f t="shared" si="173"/>
        <v>0.20857074561935654</v>
      </c>
      <c r="KU20" s="637">
        <f t="shared" si="174"/>
        <v>0.11683177325710027</v>
      </c>
      <c r="KV20" s="637">
        <f t="shared" si="175"/>
        <v>2.2116875004104938E-3</v>
      </c>
      <c r="KW20" s="641">
        <f t="shared" si="176"/>
        <v>2.0675074753167286E-13</v>
      </c>
      <c r="KX20" s="641">
        <f t="shared" si="177"/>
        <v>5.9971237469646494E-15</v>
      </c>
      <c r="KY20" s="641">
        <f t="shared" si="178"/>
        <v>9.2241946127896923E-18</v>
      </c>
      <c r="KZ20" s="641">
        <f t="shared" si="179"/>
        <v>2.6756196642804677E-19</v>
      </c>
      <c r="LA20" s="635">
        <v>1.2485542932379501</v>
      </c>
      <c r="LB20" s="635">
        <v>5.9627651953476503E-2</v>
      </c>
      <c r="LC20" s="641">
        <f t="shared" si="180"/>
        <v>7.7490260335216071E-11</v>
      </c>
      <c r="LD20" s="641">
        <f t="shared" si="181"/>
        <v>8.8719173340428807E-12</v>
      </c>
      <c r="LE20" s="647">
        <f t="shared" si="182"/>
        <v>4.5671695197657582</v>
      </c>
      <c r="LF20" s="647">
        <f t="shared" si="183"/>
        <v>0.5278986230613264</v>
      </c>
      <c r="LG20" s="655"/>
      <c r="LH20" s="655"/>
      <c r="LI20" s="656"/>
      <c r="LJ20" s="656"/>
      <c r="LK20" s="656"/>
      <c r="LL20" s="656"/>
      <c r="LM20" s="641">
        <f t="shared" si="184"/>
        <v>7.8147400320815141E-15</v>
      </c>
      <c r="LN20" s="641">
        <f t="shared" si="185"/>
        <v>1.3900047401393395E-15</v>
      </c>
      <c r="LO20" s="641">
        <f t="shared" si="186"/>
        <v>3.486550049509995E-19</v>
      </c>
      <c r="LP20" s="641">
        <f t="shared" si="187"/>
        <v>6.2015128791006672E-20</v>
      </c>
      <c r="LQ20" s="641">
        <f t="shared" si="188"/>
        <v>8.8750184371040164E-14</v>
      </c>
      <c r="LR20" s="641">
        <f t="shared" si="189"/>
        <v>1.7677601905507391E-14</v>
      </c>
      <c r="LS20" s="637">
        <f t="shared" si="190"/>
        <v>9.0665706644367905</v>
      </c>
      <c r="LT20" s="637">
        <f t="shared" si="191"/>
        <v>1.8064831904098877</v>
      </c>
      <c r="LW20" s="658" t="str">
        <f t="shared" si="192"/>
        <v>44z4</v>
      </c>
      <c r="LX20" s="658" t="str">
        <f t="shared" si="193"/>
        <v>MN2022a</v>
      </c>
      <c r="LY20" s="659">
        <f t="shared" si="194"/>
        <v>32.066337383917983</v>
      </c>
      <c r="LZ20" s="659">
        <f t="shared" si="195"/>
        <v>2.3613463403656296</v>
      </c>
      <c r="MA20" s="659">
        <f t="shared" si="196"/>
        <v>18.148194820641731</v>
      </c>
      <c r="MB20" s="659">
        <f t="shared" si="197"/>
        <v>0.5880130209736214</v>
      </c>
      <c r="MC20" s="659">
        <f t="shared" si="198"/>
        <v>24871.238680823288</v>
      </c>
      <c r="MD20" s="659">
        <f t="shared" si="199"/>
        <v>1887.0234482209612</v>
      </c>
      <c r="ME20" s="659">
        <f t="shared" si="200"/>
        <v>47.433533053394555</v>
      </c>
      <c r="MF20" s="659">
        <f t="shared" si="201"/>
        <v>4.5441396483104901</v>
      </c>
      <c r="MG20" s="659">
        <f t="shared" si="202"/>
        <v>59.957147992592503</v>
      </c>
      <c r="MH20" s="659">
        <f t="shared" si="203"/>
        <v>5.8388640372202305</v>
      </c>
      <c r="MI20" s="659">
        <f t="shared" si="204"/>
        <v>42.915753227697799</v>
      </c>
      <c r="MJ20" s="659">
        <f t="shared" si="205"/>
        <v>1.5512820631566739</v>
      </c>
      <c r="MK20" s="659">
        <f t="shared" si="206"/>
        <v>43.461867755424635</v>
      </c>
      <c r="ML20" s="659">
        <f t="shared" si="207"/>
        <v>1.7150878684474404</v>
      </c>
      <c r="MM20" s="659">
        <f t="shared" si="261"/>
        <v>3.474220597255496</v>
      </c>
      <c r="MN20" s="659">
        <f t="shared" si="208"/>
        <v>0.47107986016234349</v>
      </c>
      <c r="MO20" s="659">
        <f t="shared" si="209"/>
        <v>3.272561446336383</v>
      </c>
      <c r="MP20" s="659">
        <f t="shared" si="210"/>
        <v>0.20857074561935654</v>
      </c>
      <c r="MQ20" s="660"/>
      <c r="MR20" s="660"/>
      <c r="MS20" s="660"/>
      <c r="MT20" s="660"/>
      <c r="MU20" s="661">
        <f t="shared" si="273"/>
        <v>1.7669160872929233</v>
      </c>
      <c r="MV20" s="661">
        <f t="shared" si="274"/>
        <v>0.13116446889966379</v>
      </c>
      <c r="MW20" s="662">
        <f t="shared" si="211"/>
        <v>2.3647395044980165E-3</v>
      </c>
      <c r="MX20" s="662">
        <f t="shared" si="212"/>
        <v>1.1479141626632597E-4</v>
      </c>
      <c r="MY20" s="662">
        <f t="shared" si="213"/>
        <v>2.394831452106254E-3</v>
      </c>
      <c r="MZ20" s="662">
        <f t="shared" si="214"/>
        <v>1.2227819499235708E-4</v>
      </c>
      <c r="NA20" s="663">
        <f t="shared" si="215"/>
        <v>1.9143615282903633E-4</v>
      </c>
      <c r="NB20" s="663">
        <f t="shared" si="216"/>
        <v>2.6688185635823597E-5</v>
      </c>
      <c r="NC20" s="661">
        <f t="shared" si="275"/>
        <v>1.6021790216658014</v>
      </c>
      <c r="ND20" s="661">
        <f t="shared" si="276"/>
        <v>0.11873604991395811</v>
      </c>
      <c r="NE20" s="662">
        <f t="shared" si="217"/>
        <v>1.049222938187928E-3</v>
      </c>
      <c r="NF20" s="662">
        <f t="shared" si="218"/>
        <v>5.0389113807176907E-5</v>
      </c>
      <c r="NG20" s="663">
        <f t="shared" si="219"/>
        <v>1.0625745828935101E-3</v>
      </c>
      <c r="NH20" s="663">
        <f t="shared" si="220"/>
        <v>5.1030328862715527E-5</v>
      </c>
      <c r="NI20" s="662">
        <f t="shared" si="221"/>
        <v>5.3481062773027816E-5</v>
      </c>
      <c r="NJ20" s="662">
        <f t="shared" si="221"/>
        <v>7.4558149555082968E-6</v>
      </c>
      <c r="NK20" s="664">
        <f t="shared" si="222"/>
        <v>2.9075629011054549E-9</v>
      </c>
      <c r="NL20" s="664">
        <f t="shared" si="223"/>
        <v>1.2325106375502142E-10</v>
      </c>
      <c r="NM20" s="664">
        <f t="shared" si="224"/>
        <v>1.0240597682110952E-9</v>
      </c>
      <c r="NN20" s="664">
        <f t="shared" si="225"/>
        <v>7.4807598356339618E-11</v>
      </c>
      <c r="NO20" s="664">
        <f t="shared" si="226"/>
        <v>8.0662389320792022E-7</v>
      </c>
      <c r="NP20" s="664">
        <f t="shared" si="227"/>
        <v>4.6069694129623037E-9</v>
      </c>
      <c r="NQ20" s="664">
        <f t="shared" si="228"/>
        <v>-5.256094406874154E-8</v>
      </c>
      <c r="NR20" s="664">
        <f t="shared" si="229"/>
        <v>-3.6114057786771705E-8</v>
      </c>
      <c r="NS20" s="664">
        <f t="shared" si="230"/>
        <v>7.9441906059757345E-7</v>
      </c>
      <c r="NT20" s="664">
        <f t="shared" si="231"/>
        <v>2.3978538216398409E-9</v>
      </c>
      <c r="NU20" s="664">
        <f t="shared" si="232"/>
        <v>6.6640698323342709E-11</v>
      </c>
      <c r="NV20" s="664">
        <f t="shared" si="233"/>
        <v>8.0935589644193534E-12</v>
      </c>
      <c r="NW20" s="664">
        <f t="shared" si="234"/>
        <v>8.111505214910195E-13</v>
      </c>
      <c r="NX20" s="664">
        <f t="shared" si="235"/>
        <v>1.5915637895226882E-13</v>
      </c>
      <c r="NY20" s="664">
        <f t="shared" si="236"/>
        <v>6.5697116206903733E-12</v>
      </c>
      <c r="NZ20" s="664">
        <f t="shared" si="237"/>
        <v>5.1393239064299934E-13</v>
      </c>
      <c r="OA20" s="665">
        <f t="shared" si="262"/>
        <v>277.42268031458309</v>
      </c>
      <c r="OB20" s="665">
        <f t="shared" si="238"/>
        <v>11.660995175402975</v>
      </c>
      <c r="OC20" s="665">
        <f t="shared" si="239"/>
        <v>273.22506429543984</v>
      </c>
      <c r="OD20" s="665">
        <f t="shared" si="263"/>
        <v>11.611285058323427</v>
      </c>
      <c r="OE20" s="664">
        <f t="shared" si="264"/>
        <v>2.2919778725339332E-2</v>
      </c>
      <c r="OF20" s="664">
        <f t="shared" si="265"/>
        <v>2.9438461657664309E-3</v>
      </c>
      <c r="OG20" s="664">
        <f t="shared" si="266"/>
        <v>2.7897952652464382E-4</v>
      </c>
      <c r="OH20" s="664">
        <f t="shared" si="267"/>
        <v>5.6001635886746079E-5</v>
      </c>
      <c r="OI20" s="664">
        <f t="shared" si="268"/>
        <v>2.2595251914215063E-3</v>
      </c>
      <c r="OJ20" s="664">
        <f t="shared" si="269"/>
        <v>2.0103991293810627E-4</v>
      </c>
      <c r="OK20" s="664">
        <f t="shared" si="240"/>
        <v>1.269562898934767E-3</v>
      </c>
      <c r="OL20" s="664">
        <f t="shared" si="241"/>
        <v>9.2479706101402981E-5</v>
      </c>
      <c r="OM20" s="664">
        <f t="shared" si="242"/>
        <v>3.6046079537046189E-3</v>
      </c>
      <c r="ON20" s="664">
        <f t="shared" si="243"/>
        <v>1.515136250205107E-4</v>
      </c>
      <c r="OO20" s="664">
        <f t="shared" si="244"/>
        <v>0.35220554225043527</v>
      </c>
      <c r="OP20" s="664">
        <f t="shared" si="245"/>
        <v>1.4804366839348935E-2</v>
      </c>
      <c r="OQ20" s="664">
        <f t="shared" si="246"/>
        <v>4.591074900651965E-3</v>
      </c>
      <c r="OR20" s="664">
        <f t="shared" si="247"/>
        <v>7.7735504550723162E-6</v>
      </c>
    </row>
    <row r="21" spans="2:408">
      <c r="B21" s="245" t="s">
        <v>946</v>
      </c>
      <c r="C21" s="5">
        <v>2.078E-2</v>
      </c>
      <c r="D21" s="66">
        <f>C21*0.5%</f>
        <v>1.039E-4</v>
      </c>
      <c r="E21" s="67">
        <v>45103</v>
      </c>
      <c r="F21" s="5" t="s">
        <v>210</v>
      </c>
      <c r="G21" s="5" t="s">
        <v>893</v>
      </c>
      <c r="H21" s="5">
        <v>2</v>
      </c>
      <c r="J21" s="327">
        <v>44644</v>
      </c>
      <c r="K21" s="67" t="s">
        <v>823</v>
      </c>
      <c r="L21" s="5" t="s">
        <v>945</v>
      </c>
      <c r="M21" s="5" t="s">
        <v>142</v>
      </c>
      <c r="N21" s="5" t="s">
        <v>142</v>
      </c>
      <c r="O21" s="6">
        <v>5742.092361</v>
      </c>
      <c r="P21" s="6">
        <v>17.295076000000002</v>
      </c>
      <c r="Q21" s="6">
        <v>0.24237800000000001</v>
      </c>
      <c r="R21" s="6">
        <v>8.3054000000000003E-2</v>
      </c>
      <c r="S21" s="6">
        <v>6.5297130000000001</v>
      </c>
      <c r="T21" s="6">
        <v>7.6643000000000003E-2</v>
      </c>
      <c r="U21" s="6">
        <v>4.1515999999999997E-2</v>
      </c>
      <c r="V21" s="6">
        <v>1.7410999999999999E-2</v>
      </c>
      <c r="W21" s="6">
        <v>19.047443999999999</v>
      </c>
      <c r="X21" s="6">
        <v>0.120299</v>
      </c>
      <c r="Y21" s="6">
        <v>86.543251999999995</v>
      </c>
      <c r="Z21" s="6">
        <v>1.25458</v>
      </c>
      <c r="AA21" s="6">
        <v>0.18753700000000001</v>
      </c>
      <c r="AB21" s="6">
        <v>0.10595300000000001</v>
      </c>
      <c r="AC21" s="6">
        <v>9.9641999999999994E-2</v>
      </c>
      <c r="AD21" s="6">
        <v>5.0819000000000003E-2</v>
      </c>
      <c r="AE21" s="6">
        <v>-1.506E-2</v>
      </c>
      <c r="AF21" s="6">
        <v>4.9266999999999998E-2</v>
      </c>
      <c r="AG21" s="6">
        <v>0.28988700000000001</v>
      </c>
      <c r="AH21" s="6">
        <v>8.9516999999999999E-2</v>
      </c>
      <c r="AI21" s="147">
        <f t="shared" si="1"/>
        <v>5655.5491089999996</v>
      </c>
      <c r="AJ21" s="147">
        <f t="shared" si="2"/>
        <v>17.340519739101712</v>
      </c>
      <c r="AK21" s="147">
        <f t="shared" si="3"/>
        <v>5.4841000000000001E-2</v>
      </c>
      <c r="AL21" s="147">
        <f t="shared" si="4"/>
        <v>0.13462542525466725</v>
      </c>
      <c r="AM21" s="147">
        <f t="shared" si="5"/>
        <v>6.4300709999999999</v>
      </c>
      <c r="AN21" s="147">
        <f t="shared" si="6"/>
        <v>9.1960427413099816E-2</v>
      </c>
      <c r="AO21" s="147">
        <f t="shared" si="7"/>
        <v>5.6576000000000001E-2</v>
      </c>
      <c r="AP21" s="147">
        <f t="shared" si="8"/>
        <v>5.2253040198633416E-2</v>
      </c>
      <c r="AQ21" s="147">
        <f t="shared" si="9"/>
        <v>18.757556999999998</v>
      </c>
      <c r="AR21" s="147">
        <f t="shared" si="10"/>
        <v>0.14995046745509</v>
      </c>
      <c r="AS21" s="4">
        <v>303.39491974047206</v>
      </c>
      <c r="AT21" s="4">
        <v>1.3894906939380418</v>
      </c>
      <c r="AU21" s="133">
        <f t="shared" si="11"/>
        <v>5.5207298894659244E-2</v>
      </c>
      <c r="AV21" s="133">
        <f t="shared" si="12"/>
        <v>0.13462842824770468</v>
      </c>
      <c r="AW21" s="133">
        <f t="shared" si="13"/>
        <v>6.5159676065491317</v>
      </c>
      <c r="AX21" s="133">
        <f t="shared" si="14"/>
        <v>9.1962700089702157E-2</v>
      </c>
      <c r="AY21" s="133">
        <f t="shared" si="15"/>
        <v>5.770966238385012E-2</v>
      </c>
      <c r="AZ21" s="133">
        <f t="shared" si="16"/>
        <v>5.2255112353235315E-2</v>
      </c>
      <c r="BA21" s="133">
        <f t="shared" si="17"/>
        <v>19.258705585591638</v>
      </c>
      <c r="BB21" s="133">
        <f t="shared" si="18"/>
        <v>0.14995496767005639</v>
      </c>
      <c r="BC21" s="6"/>
      <c r="BD21" s="8"/>
      <c r="BE21" s="147"/>
      <c r="BF21" s="147"/>
      <c r="BG21" s="147"/>
      <c r="BH21" s="147"/>
      <c r="BI21" s="157"/>
      <c r="BJ21" s="157"/>
      <c r="BM21" s="133"/>
      <c r="BN21" s="133"/>
      <c r="BO21" s="143">
        <f t="shared" si="254"/>
        <v>5655.5419201383156</v>
      </c>
      <c r="BP21" s="133">
        <f t="shared" si="255"/>
        <v>17.340528600629252</v>
      </c>
      <c r="BQ21" s="143">
        <f t="shared" si="271"/>
        <v>5.5207298894659244E-2</v>
      </c>
      <c r="BR21" s="133">
        <f t="shared" si="272"/>
        <v>0.13462842824770468</v>
      </c>
      <c r="BS21" s="143">
        <f t="shared" si="256"/>
        <v>6.5159676065491317</v>
      </c>
      <c r="BT21" s="133">
        <f t="shared" si="257"/>
        <v>9.1962700089702157E-2</v>
      </c>
      <c r="BU21" s="147">
        <f t="shared" si="258"/>
        <v>19.258705585591638</v>
      </c>
      <c r="BV21" s="147">
        <f t="shared" si="21"/>
        <v>0.14995496767005639</v>
      </c>
      <c r="BX21" s="147">
        <f t="shared" si="22"/>
        <v>19.256133011045961</v>
      </c>
      <c r="BY21" s="147">
        <f t="shared" si="23"/>
        <v>0.14995542516093749</v>
      </c>
      <c r="BZ21" s="143">
        <f t="shared" si="24"/>
        <v>2.8953207759427961</v>
      </c>
      <c r="CA21" s="147">
        <f t="shared" si="25"/>
        <v>1.2426571930829943E-2</v>
      </c>
      <c r="CB21" s="143">
        <f t="shared" si="26"/>
        <v>-34.645384625765473</v>
      </c>
      <c r="CC21" s="143">
        <f t="shared" si="27"/>
        <v>47.583947343826708</v>
      </c>
      <c r="CD21" s="3">
        <v>1.4114568145845257E-12</v>
      </c>
      <c r="CE21" s="3">
        <v>4.6739383408230958E-15</v>
      </c>
      <c r="CF21" s="157">
        <f t="shared" si="28"/>
        <v>2.7179200160986864E-11</v>
      </c>
      <c r="CG21" s="157">
        <f t="shared" si="29"/>
        <v>2.2999663469443011E-13</v>
      </c>
      <c r="CH21" s="157">
        <f t="shared" si="30"/>
        <v>0</v>
      </c>
      <c r="CI21" s="158" t="e">
        <f t="shared" si="31"/>
        <v>#DIV/0!</v>
      </c>
      <c r="CJ21" s="157">
        <f t="shared" si="32"/>
        <v>4.086620239612616E-12</v>
      </c>
      <c r="CK21" s="477">
        <f t="shared" si="33"/>
        <v>2.2153248828277575E-14</v>
      </c>
      <c r="CL21" s="157">
        <f t="shared" si="34"/>
        <v>7.7922718239671544E-14</v>
      </c>
      <c r="CM21" s="157">
        <f t="shared" si="35"/>
        <v>1.9002238768310862E-13</v>
      </c>
      <c r="CN21" s="157">
        <f>Ar_Sensitivity*Ar40_IC</f>
        <v>7.9825531833476789E-9</v>
      </c>
      <c r="CO21" s="157">
        <f t="shared" si="37"/>
        <v>3.6024764204443491E-11</v>
      </c>
      <c r="CP21" s="157">
        <f t="shared" si="38"/>
        <v>1.8232475988014149E-16</v>
      </c>
      <c r="CQ21" s="157">
        <f t="shared" si="39"/>
        <v>9.8836827487594746E-19</v>
      </c>
      <c r="CR21" s="157">
        <f>Ar40CC/MV</f>
        <v>3.5614199682089578E-13</v>
      </c>
      <c r="CS21" s="157">
        <f>Ar40_mole*SQRT((Ar40CCerrr/Ar40CC)^2+(MVerr/MV)^2)</f>
        <v>1.6072466127119222E-15</v>
      </c>
      <c r="CT21" s="66">
        <v>4.6421744061919869E-3</v>
      </c>
      <c r="CU21" s="66">
        <v>8.7638295971289154E-6</v>
      </c>
      <c r="CV21" s="3">
        <v>1.1611559367069784E+19</v>
      </c>
      <c r="CW21" s="60">
        <v>1.040942599512031E+18</v>
      </c>
      <c r="CX21" s="3">
        <v>8.6527210079182822E+17</v>
      </c>
      <c r="CY21" s="3">
        <v>8.9278178143800032E+16</v>
      </c>
      <c r="CZ21" s="6">
        <v>0.49865169925804054</v>
      </c>
      <c r="DA21" s="6">
        <v>2.7936431740382541E-2</v>
      </c>
      <c r="DB21" s="4">
        <v>24.337069265073254</v>
      </c>
      <c r="DC21" s="4">
        <v>0.74264427477540718</v>
      </c>
      <c r="DD21" s="157">
        <f t="shared" si="42"/>
        <v>6.1719613492868547E-11</v>
      </c>
      <c r="DE21" s="157">
        <f t="shared" si="43"/>
        <v>1.505105895778432E-10</v>
      </c>
      <c r="DF21" s="147">
        <f t="shared" si="44"/>
        <v>0.116127620992696</v>
      </c>
      <c r="DG21" s="147">
        <f t="shared" si="45"/>
        <v>0.28319155697008297</v>
      </c>
      <c r="DH21" s="159">
        <f t="shared" si="46"/>
        <v>1.1612762099269599E-5</v>
      </c>
      <c r="DI21" s="167">
        <f t="shared" si="47"/>
        <v>2.8319155697008296E-5</v>
      </c>
      <c r="DJ21" s="157">
        <f t="shared" si="48"/>
        <v>1.4667631521448153E-10</v>
      </c>
      <c r="DK21" s="157">
        <f t="shared" si="49"/>
        <v>4.747651386772148E-12</v>
      </c>
      <c r="DL21" s="147">
        <f t="shared" si="50"/>
        <v>0.25024616955240681</v>
      </c>
      <c r="DM21" s="147">
        <f t="shared" si="51"/>
        <v>8.1960940960822317E-3</v>
      </c>
      <c r="DN21" s="159">
        <f t="shared" si="52"/>
        <v>2.5024616955240679E-5</v>
      </c>
      <c r="DO21" s="167">
        <f t="shared" si="53"/>
        <v>8.1960940960822322E-7</v>
      </c>
      <c r="DP21" s="157">
        <f t="shared" si="54"/>
        <v>0</v>
      </c>
      <c r="DQ21" s="157" t="e">
        <f t="shared" si="55"/>
        <v>#DIV/0!</v>
      </c>
      <c r="DR21" s="143">
        <f t="shared" si="56"/>
        <v>0</v>
      </c>
      <c r="DS21" s="143" t="e">
        <f t="shared" si="57"/>
        <v>#DIV/0!</v>
      </c>
      <c r="DT21" s="147">
        <f t="shared" si="58"/>
        <v>0</v>
      </c>
      <c r="DU21" s="147" t="e">
        <f t="shared" si="59"/>
        <v>#DIV/0!</v>
      </c>
      <c r="DV21" s="133">
        <f t="shared" si="60"/>
        <v>0.42078786477978619</v>
      </c>
      <c r="DW21" s="133">
        <f t="shared" si="61"/>
        <v>1.0271887617769959</v>
      </c>
      <c r="DX21" s="133" t="e">
        <f t="shared" si="62"/>
        <v>#DIV/0!</v>
      </c>
      <c r="DY21" s="133" t="e">
        <f t="shared" si="63"/>
        <v>#DIV/0!</v>
      </c>
      <c r="DZ21" s="133">
        <f t="shared" si="64"/>
        <v>0.46405354056129294</v>
      </c>
      <c r="EA21" s="133">
        <f t="shared" si="65"/>
        <v>1.1327246166615732</v>
      </c>
      <c r="EB21" s="133" t="e">
        <f t="shared" si="66"/>
        <v>#DIV/0!</v>
      </c>
      <c r="EC21" s="133" t="e">
        <f t="shared" si="67"/>
        <v>#DIV/0!</v>
      </c>
      <c r="ED21" s="157">
        <f t="shared" si="68"/>
        <v>2.4280811547530167E-3</v>
      </c>
      <c r="EE21" s="157">
        <f t="shared" si="69"/>
        <v>7.935288456859194E-5</v>
      </c>
      <c r="EF21" s="147">
        <f t="shared" si="70"/>
        <v>-627.55080069887401</v>
      </c>
      <c r="EG21" s="147">
        <f t="shared" si="71"/>
        <v>-1756.3740157212528</v>
      </c>
      <c r="EH21" s="157">
        <f t="shared" si="72"/>
        <v>5.770321242566539E-3</v>
      </c>
      <c r="EI21" s="157">
        <f t="shared" si="73"/>
        <v>1.4071636070219161E-2</v>
      </c>
      <c r="EJ21" s="143" t="str">
        <f t="shared" si="74"/>
        <v/>
      </c>
      <c r="EK21" s="143" t="str">
        <f t="shared" si="75"/>
        <v/>
      </c>
      <c r="EL21" s="143" t="str">
        <f t="shared" si="76"/>
        <v/>
      </c>
      <c r="EM21" s="133" t="str">
        <f t="shared" si="77"/>
        <v/>
      </c>
      <c r="EN21" s="133" t="str">
        <f t="shared" si="78"/>
        <v/>
      </c>
      <c r="EO21" s="133" t="str">
        <f t="shared" si="79"/>
        <v/>
      </c>
      <c r="EP21" s="501">
        <f>CL21/$CL$17</f>
        <v>3.6876476503569268E-2</v>
      </c>
      <c r="EQ21" s="143" t="str">
        <f t="shared" ref="EQ21:ER23" si="292">EM21</f>
        <v/>
      </c>
      <c r="ER21" s="143" t="str">
        <f t="shared" si="292"/>
        <v/>
      </c>
      <c r="ES21" s="147">
        <f t="shared" si="81"/>
        <v>2.8669982110629635E-3</v>
      </c>
      <c r="ET21" s="147">
        <f t="shared" si="82"/>
        <v>2.3994705933091908E-5</v>
      </c>
      <c r="EU21" s="143">
        <f t="shared" si="83"/>
        <v>293.70081297704519</v>
      </c>
      <c r="EV21" s="143">
        <f t="shared" si="84"/>
        <v>2.4580638426981753</v>
      </c>
      <c r="EW21" s="157">
        <f t="shared" si="85"/>
        <v>9.761628447678283E-6</v>
      </c>
      <c r="EX21" s="157">
        <f t="shared" si="86"/>
        <v>2.3804709886982796E-5</v>
      </c>
      <c r="EY21" s="157">
        <f t="shared" si="87"/>
        <v>3.4048254407731487E-3</v>
      </c>
      <c r="EZ21" s="157">
        <f t="shared" si="88"/>
        <v>2.8495931699438209E-5</v>
      </c>
      <c r="FA21" s="66">
        <v>0.247422</v>
      </c>
      <c r="FB21" s="66">
        <v>7.3629999999999998E-3</v>
      </c>
      <c r="FC21" s="66">
        <v>0.16004099999999999</v>
      </c>
      <c r="FD21" s="66">
        <v>3.2799999999999999E-3</v>
      </c>
      <c r="FE21" s="66">
        <v>0.418568</v>
      </c>
      <c r="FF21" s="66">
        <v>4.0270000000000002E-3</v>
      </c>
      <c r="FG21" s="473"/>
      <c r="FH21" s="473"/>
      <c r="FI21" s="66">
        <v>2.4556000000000001E-2</v>
      </c>
      <c r="FJ21" s="66">
        <v>1.993E-3</v>
      </c>
      <c r="FK21" s="66">
        <v>7.3509999999999999E-3</v>
      </c>
      <c r="FL21" s="66">
        <v>1.397E-3</v>
      </c>
      <c r="FM21" s="66">
        <v>1.0366E-2</v>
      </c>
      <c r="FN21" s="66">
        <v>3.3500000000000001E-4</v>
      </c>
      <c r="FO21" s="471"/>
      <c r="FP21" s="471"/>
      <c r="FQ21" s="159">
        <f t="shared" si="89"/>
        <v>0.22286600000000001</v>
      </c>
      <c r="FR21" s="159">
        <f t="shared" si="90"/>
        <v>7.6279628997524629E-3</v>
      </c>
      <c r="FS21" s="159">
        <f t="shared" si="91"/>
        <v>0.15268999999999999</v>
      </c>
      <c r="FT21" s="159">
        <f t="shared" si="92"/>
        <v>4.638620484583752E-3</v>
      </c>
      <c r="FU21" s="159">
        <f t="shared" si="93"/>
        <v>0.40820200000000001</v>
      </c>
      <c r="FV21" s="159">
        <f t="shared" si="94"/>
        <v>4.0409100460168631E-3</v>
      </c>
      <c r="FW21" s="159">
        <f t="shared" si="95"/>
        <v>0</v>
      </c>
      <c r="FX21" s="159">
        <f t="shared" si="96"/>
        <v>0</v>
      </c>
      <c r="FY21" s="159">
        <f t="shared" si="97"/>
        <v>0.40734466363336402</v>
      </c>
      <c r="FZ21" s="159">
        <f t="shared" si="98"/>
        <v>4.1101639768371639E-2</v>
      </c>
      <c r="GA21" s="159">
        <f t="shared" si="99"/>
        <v>0.2067351513201188</v>
      </c>
      <c r="GB21" s="159">
        <f t="shared" si="100"/>
        <v>7.7996782580098956E-3</v>
      </c>
      <c r="GC21" s="159">
        <f t="shared" si="101"/>
        <v>7.0324909013333797E-2</v>
      </c>
      <c r="GD21" s="159">
        <f t="shared" si="102"/>
        <v>9.5176358152328066E-3</v>
      </c>
      <c r="GE21" s="159">
        <f t="shared" si="103"/>
        <v>-0.1243215913409027</v>
      </c>
      <c r="GF21" s="159">
        <f t="shared" si="104"/>
        <v>1.2544220457307026E-2</v>
      </c>
      <c r="GG21" s="3">
        <v>1.5604065291985949E-12</v>
      </c>
      <c r="GH21" s="3">
        <v>1.54849054114113E-14</v>
      </c>
      <c r="GI21" s="6">
        <v>1</v>
      </c>
      <c r="GJ21" s="6">
        <v>5.0000000000000001E-3</v>
      </c>
      <c r="GK21" s="157">
        <f t="shared" si="105"/>
        <v>3.2259087993477288E-13</v>
      </c>
      <c r="GL21" s="157">
        <f t="shared" si="106"/>
        <v>1.2687590779108171E-14</v>
      </c>
      <c r="GM21" s="157">
        <f t="shared" si="107"/>
        <v>1.0973544718970318E-13</v>
      </c>
      <c r="GN21" s="157">
        <f t="shared" si="108"/>
        <v>1.4901356715281334E-14</v>
      </c>
      <c r="GO21" s="157">
        <f t="shared" si="109"/>
        <v>6.3562327276770665E-13</v>
      </c>
      <c r="GP21" s="157">
        <f t="shared" si="110"/>
        <v>6.4523018390794396E-14</v>
      </c>
      <c r="GQ21" s="157">
        <f t="shared" si="111"/>
        <v>-1.9399222284870408E-13</v>
      </c>
      <c r="GR21" s="157">
        <f t="shared" si="112"/>
        <v>-1.9692425212870453E-14</v>
      </c>
      <c r="GS21" s="157">
        <f t="shared" si="113"/>
        <v>1.439240772937747E-17</v>
      </c>
      <c r="GT21" s="157">
        <f t="shared" si="114"/>
        <v>5.6605747705326459E-19</v>
      </c>
      <c r="GU21" s="157">
        <f t="shared" si="115"/>
        <v>4.8958522901798075E-18</v>
      </c>
      <c r="GV21" s="157">
        <f t="shared" si="116"/>
        <v>6.6482475143918126E-19</v>
      </c>
      <c r="GW21" s="157">
        <f t="shared" si="117"/>
        <v>2.8358363093847783E-17</v>
      </c>
      <c r="GX21" s="157">
        <f t="shared" si="118"/>
        <v>2.878697590004283E-18</v>
      </c>
      <c r="GY21" s="147">
        <f t="shared" si="119"/>
        <v>2.9397144514032894</v>
      </c>
      <c r="GZ21" s="147">
        <f t="shared" si="120"/>
        <v>0.13405966835253313</v>
      </c>
      <c r="HA21" s="4">
        <v>26.169770272470501</v>
      </c>
      <c r="HB21" s="4">
        <v>0.31897682079735301</v>
      </c>
      <c r="HC21" s="228">
        <f t="shared" si="121"/>
        <v>331.52181141362308</v>
      </c>
      <c r="HD21" s="228">
        <f t="shared" si="122"/>
        <v>13.768429535967861</v>
      </c>
      <c r="HE21" s="239">
        <f t="shared" si="123"/>
        <v>1.963054488310134E-13</v>
      </c>
      <c r="HF21" s="229">
        <f t="shared" si="124"/>
        <v>1.0336418599339466E-14</v>
      </c>
      <c r="HG21" s="362">
        <f t="shared" si="125"/>
        <v>0.75484074029804105</v>
      </c>
      <c r="HH21" s="362">
        <f t="shared" si="126"/>
        <v>3.9924760674560182E-2</v>
      </c>
      <c r="HI21" s="4">
        <v>7.5091582159801398</v>
      </c>
      <c r="HJ21" s="4">
        <v>0.114829942558394</v>
      </c>
      <c r="HK21" s="228">
        <f t="shared" si="127"/>
        <v>279.64599164414096</v>
      </c>
      <c r="HL21" s="228">
        <f t="shared" si="128"/>
        <v>38.244180350767529</v>
      </c>
      <c r="HM21" s="239">
        <f t="shared" si="129"/>
        <v>2.3272115435731973E-13</v>
      </c>
      <c r="HN21" s="229">
        <f t="shared" si="130"/>
        <v>1.2253879261545571E-14</v>
      </c>
      <c r="HO21" s="362">
        <f t="shared" si="131"/>
        <v>0.89486771500323736</v>
      </c>
      <c r="HP21" s="362">
        <f t="shared" si="132"/>
        <v>0.12584206984744062</v>
      </c>
      <c r="HQ21" s="6">
        <v>1.11613116912226</v>
      </c>
      <c r="HR21" s="6">
        <v>3.5153924948669403E-2</v>
      </c>
      <c r="HS21" s="6">
        <f t="shared" si="133"/>
        <v>0.8435894528780622</v>
      </c>
      <c r="HT21" s="6">
        <f t="shared" si="134"/>
        <v>8.6948964169810877E-2</v>
      </c>
      <c r="HU21" s="6">
        <v>1.11613116912226</v>
      </c>
      <c r="HV21" s="6">
        <v>3.5153924948669403E-2</v>
      </c>
      <c r="HW21" s="6">
        <f t="shared" si="135"/>
        <v>1.2482411484406399</v>
      </c>
      <c r="HX21" s="6">
        <f t="shared" si="136"/>
        <v>0.20758774530469457</v>
      </c>
      <c r="HY21" s="3">
        <v>2.5847999999999999E-2</v>
      </c>
      <c r="HZ21" s="3">
        <v>8.9800000000000004E-4</v>
      </c>
      <c r="IA21" s="3">
        <v>1.9633000000000001E-2</v>
      </c>
      <c r="IB21" s="3">
        <v>1.4729999999999999E-3</v>
      </c>
      <c r="IC21" s="3">
        <v>2.934E-3</v>
      </c>
      <c r="ID21" s="3">
        <v>4.0499999999999998E-4</v>
      </c>
      <c r="IE21" s="3">
        <v>4.9451000000000002E-2</v>
      </c>
      <c r="IF21" s="3">
        <v>9.6500000000000004E-4</v>
      </c>
      <c r="IG21" s="3">
        <v>1.9205E-2</v>
      </c>
      <c r="IH21" s="3">
        <v>6.5300000000000004E-4</v>
      </c>
      <c r="II21" s="3">
        <v>7.1079999999999997E-3</v>
      </c>
      <c r="IJ21" s="3">
        <v>2.5999999999999998E-4</v>
      </c>
      <c r="IK21" s="3">
        <v>7.3239999999999998E-3</v>
      </c>
      <c r="IL21" s="3">
        <v>5.2899999999999996E-4</v>
      </c>
      <c r="IM21" s="3">
        <v>1.2470000000000001E-3</v>
      </c>
      <c r="IN21" s="3">
        <v>3.3599999999999998E-4</v>
      </c>
      <c r="IO21" s="3">
        <v>2.8400000000000002E-4</v>
      </c>
      <c r="IP21" s="3">
        <v>1.7799999999999999E-4</v>
      </c>
      <c r="IQ21" s="3">
        <v>5.1999999999999997E-5</v>
      </c>
      <c r="IR21" s="3">
        <v>1.05E-4</v>
      </c>
      <c r="IS21" s="3">
        <v>2.8200000000000002E-4</v>
      </c>
      <c r="IT21" s="3">
        <v>2.5700000000000001E-4</v>
      </c>
      <c r="IU21" s="3">
        <v>4.4299999999999998E-4</v>
      </c>
      <c r="IV21" s="3">
        <v>2.31E-4</v>
      </c>
      <c r="IW21" s="3">
        <v>3.3199999999999999E-4</v>
      </c>
      <c r="IX21" s="3">
        <v>1.92E-4</v>
      </c>
      <c r="IY21" s="3">
        <v>5.5000000000000002E-5</v>
      </c>
      <c r="IZ21" s="3">
        <v>1.7899999999999999E-4</v>
      </c>
      <c r="JA21" s="157">
        <f t="shared" si="137"/>
        <v>2.4600999999999998E-2</v>
      </c>
      <c r="JB21" s="157">
        <f t="shared" si="138"/>
        <v>9.588013350011566E-4</v>
      </c>
      <c r="JC21" s="157">
        <f t="shared" si="139"/>
        <v>1.9349000000000002E-2</v>
      </c>
      <c r="JD21" s="157">
        <f t="shared" si="140"/>
        <v>1.4837159431643242E-3</v>
      </c>
      <c r="JE21" s="157">
        <f t="shared" si="141"/>
        <v>2.882E-3</v>
      </c>
      <c r="JF21" s="157">
        <f t="shared" si="142"/>
        <v>4.1838977042944059E-4</v>
      </c>
      <c r="JG21" s="157">
        <f t="shared" si="143"/>
        <v>4.9169000000000004E-2</v>
      </c>
      <c r="JH21" s="157">
        <f t="shared" si="144"/>
        <v>9.9863606984726926E-4</v>
      </c>
      <c r="JI21" s="157">
        <f t="shared" si="145"/>
        <v>1.8762000000000001E-2</v>
      </c>
      <c r="JJ21" s="157">
        <f t="shared" si="146"/>
        <v>6.9265431493639024E-4</v>
      </c>
      <c r="JK21" s="157">
        <f t="shared" si="147"/>
        <v>6.7759999999999999E-3</v>
      </c>
      <c r="JL21" s="157">
        <f t="shared" si="148"/>
        <v>3.2320891076825217E-4</v>
      </c>
      <c r="JM21" s="157">
        <f t="shared" si="149"/>
        <v>7.2689999999999994E-3</v>
      </c>
      <c r="JN21" s="157">
        <f t="shared" si="150"/>
        <v>5.5846396481778473E-4</v>
      </c>
      <c r="JO21" s="157">
        <f t="shared" si="151"/>
        <v>2.3241853367969998E-2</v>
      </c>
      <c r="JP21" s="157">
        <f t="shared" si="152"/>
        <v>9.7889325599556111E-4</v>
      </c>
      <c r="JQ21" s="157">
        <f t="shared" si="153"/>
        <v>6.3693923440400271E-4</v>
      </c>
      <c r="JR21" s="157">
        <f t="shared" si="154"/>
        <v>3.0952788170642768E-3</v>
      </c>
      <c r="JS21" s="157">
        <f t="shared" si="155"/>
        <v>3.4149858652812004E-2</v>
      </c>
      <c r="JT21" s="157">
        <f t="shared" si="156"/>
        <v>2.3981932478563386E-3</v>
      </c>
      <c r="JU21" s="157">
        <f t="shared" si="157"/>
        <v>-2.7366710683000145E-4</v>
      </c>
      <c r="JV21" s="157">
        <f t="shared" si="158"/>
        <v>2.8489562117963111E-3</v>
      </c>
      <c r="JW21" s="157">
        <f t="shared" si="159"/>
        <v>-6.421994718040008E-4</v>
      </c>
      <c r="JX21" s="157">
        <f t="shared" si="160"/>
        <v>1.1243807834440765E-3</v>
      </c>
      <c r="JY21" s="157">
        <f t="shared" si="161"/>
        <v>9.9865125518599964E-4</v>
      </c>
      <c r="JZ21" s="157">
        <f t="shared" si="162"/>
        <v>1.0679447966614984E-3</v>
      </c>
      <c r="KA21" s="3">
        <v>1.4998540391159256E-12</v>
      </c>
      <c r="KB21" s="3">
        <v>4.2289117827840867E-14</v>
      </c>
      <c r="KC21" s="5">
        <v>1</v>
      </c>
      <c r="KD21" s="5">
        <v>0</v>
      </c>
      <c r="KE21" s="157">
        <f t="shared" si="163"/>
        <v>3.485938765048988E-14</v>
      </c>
      <c r="KF21" s="157">
        <f t="shared" si="164"/>
        <v>1.7668193383139277E-15</v>
      </c>
      <c r="KG21" s="157">
        <f t="shared" si="165"/>
        <v>1.5552532680518456E-18</v>
      </c>
      <c r="KH21" s="157">
        <f t="shared" si="166"/>
        <v>7.8826730340205355E-20</v>
      </c>
      <c r="KI21" s="6">
        <v>1.2430056234832578</v>
      </c>
      <c r="KJ21" s="6">
        <v>0.11113867994607306</v>
      </c>
      <c r="KK21" s="157">
        <f t="shared" si="167"/>
        <v>1.8609251976309984E-14</v>
      </c>
      <c r="KL21" s="157">
        <f t="shared" si="260"/>
        <v>2.5408290705802061E-15</v>
      </c>
      <c r="KM21" s="494">
        <f t="shared" si="168"/>
        <v>0.11364763317746054</v>
      </c>
      <c r="KN21" s="494">
        <f>KM21*SQRT(I_moleerr/I_mole)^2+(MVerr/MV)^2+(Sample_Masserr/Sample_Mass)</f>
        <v>2.0516970298096054E-2</v>
      </c>
      <c r="KO21" s="4">
        <v>20.162258156415799</v>
      </c>
      <c r="KP21" s="4">
        <v>0.66285498057307002</v>
      </c>
      <c r="KQ21" s="229">
        <f t="shared" si="170"/>
        <v>2363.6528869762128</v>
      </c>
      <c r="KR21" s="229">
        <f t="shared" si="171"/>
        <v>143.36885321643547</v>
      </c>
      <c r="KS21" s="364">
        <f t="shared" si="172"/>
        <v>0.10587263930811057</v>
      </c>
      <c r="KT21" s="364">
        <f t="shared" si="173"/>
        <v>7.2981559939466166E-3</v>
      </c>
      <c r="KU21" s="147">
        <f t="shared" si="174"/>
        <v>3.438333887811474E-2</v>
      </c>
      <c r="KV21" s="147">
        <f t="shared" si="175"/>
        <v>2.4328019588141301E-3</v>
      </c>
      <c r="KW21" s="157">
        <f t="shared" si="176"/>
        <v>5.1569989694632029E-14</v>
      </c>
      <c r="KX21" s="157">
        <f t="shared" si="177"/>
        <v>3.9278907853385395E-15</v>
      </c>
      <c r="KY21" s="157">
        <f t="shared" si="178"/>
        <v>2.3007975874426854E-18</v>
      </c>
      <c r="KZ21" s="157">
        <f t="shared" si="179"/>
        <v>1.7524303759649547E-19</v>
      </c>
      <c r="LA21" s="6">
        <v>1.2485542932379501</v>
      </c>
      <c r="LB21" s="6">
        <v>5.9627651953476503E-2</v>
      </c>
      <c r="LC21" s="157">
        <f t="shared" si="180"/>
        <v>1.9328452132001402E-11</v>
      </c>
      <c r="LD21" s="157">
        <f t="shared" si="181"/>
        <v>2.598080636599425E-12</v>
      </c>
      <c r="LE21" s="159">
        <f t="shared" si="182"/>
        <v>0.12773428036243295</v>
      </c>
      <c r="LF21" s="159">
        <f t="shared" si="183"/>
        <v>2.2169712203526443E-2</v>
      </c>
      <c r="LG21" s="471"/>
      <c r="LH21" s="471"/>
      <c r="LM21" s="157">
        <f t="shared" si="184"/>
        <v>-9.6320547170334451E-16</v>
      </c>
      <c r="LN21" s="157">
        <f t="shared" si="185"/>
        <v>-1.6866257231948675E-15</v>
      </c>
      <c r="LO21" s="157">
        <f t="shared" si="186"/>
        <v>-4.2973458762147653E-20</v>
      </c>
      <c r="LP21" s="157">
        <f t="shared" si="187"/>
        <v>-7.5248888313229052E-20</v>
      </c>
      <c r="LQ21" s="157">
        <f t="shared" si="188"/>
        <v>-1.0938900443255955E-14</v>
      </c>
      <c r="LR21" s="157">
        <f t="shared" si="189"/>
        <v>-1.9179701966507796E-14</v>
      </c>
      <c r="LS21" s="147">
        <f t="shared" si="190"/>
        <v>-0.12530195135258576</v>
      </c>
      <c r="LT21" s="147">
        <f t="shared" si="191"/>
        <v>-0.21969885062794792</v>
      </c>
      <c r="LU21" s="471"/>
      <c r="LV21" s="471"/>
      <c r="LW21" s="214" t="str">
        <f t="shared" si="192"/>
        <v>45z1 crush 1</v>
      </c>
      <c r="LX21" s="214" t="str">
        <f t="shared" si="193"/>
        <v>MN2022a</v>
      </c>
      <c r="LY21" s="212">
        <f t="shared" si="194"/>
        <v>0.116127620992696</v>
      </c>
      <c r="LZ21" s="212">
        <f t="shared" si="195"/>
        <v>0.28319155697008297</v>
      </c>
      <c r="MA21" s="212">
        <f t="shared" si="196"/>
        <v>0.25024616955240681</v>
      </c>
      <c r="MB21" s="212">
        <f t="shared" si="197"/>
        <v>8.1960940960822317E-3</v>
      </c>
      <c r="MC21" s="212">
        <f t="shared" si="198"/>
        <v>0</v>
      </c>
      <c r="MD21" s="212"/>
      <c r="ME21" s="212">
        <f t="shared" si="200"/>
        <v>0.8435894528780622</v>
      </c>
      <c r="MF21" s="212">
        <f t="shared" si="201"/>
        <v>8.6948964169810877E-2</v>
      </c>
      <c r="MG21" s="212">
        <f t="shared" si="202"/>
        <v>1.2482411484406399</v>
      </c>
      <c r="MH21" s="212">
        <f t="shared" si="203"/>
        <v>0.20758774530469457</v>
      </c>
      <c r="MI21" s="212">
        <f t="shared" si="204"/>
        <v>0.75484074029804105</v>
      </c>
      <c r="MJ21" s="212">
        <f t="shared" si="205"/>
        <v>3.9924760674560182E-2</v>
      </c>
      <c r="MK21" s="212">
        <f t="shared" si="206"/>
        <v>0.89486771500323736</v>
      </c>
      <c r="ML21" s="212">
        <f t="shared" si="207"/>
        <v>0.12584206984744062</v>
      </c>
      <c r="MM21" s="212">
        <f t="shared" si="261"/>
        <v>0.11364763317746054</v>
      </c>
      <c r="MN21" s="212">
        <f t="shared" si="208"/>
        <v>2.0516970298096054E-2</v>
      </c>
      <c r="MO21" s="212">
        <f t="shared" si="209"/>
        <v>0.10587263930811057</v>
      </c>
      <c r="MP21" s="212">
        <f t="shared" si="210"/>
        <v>7.2981559939466166E-3</v>
      </c>
      <c r="MQ21" s="211"/>
      <c r="MR21" s="211"/>
      <c r="MS21" s="211"/>
      <c r="MT21" s="211"/>
      <c r="MU21" s="506">
        <f t="shared" si="273"/>
        <v>0.46405354056129294</v>
      </c>
      <c r="MV21" s="506">
        <f t="shared" si="274"/>
        <v>1.1327246166615732</v>
      </c>
      <c r="MW21" s="109">
        <f t="shared" si="211"/>
        <v>3.016392784945152E-3</v>
      </c>
      <c r="MX21" s="109">
        <f t="shared" si="212"/>
        <v>1.8765325423612982E-4</v>
      </c>
      <c r="MY21" s="109">
        <f t="shared" si="213"/>
        <v>3.5759497002643761E-3</v>
      </c>
      <c r="MZ21" s="109">
        <f t="shared" si="214"/>
        <v>5.163317246929855E-4</v>
      </c>
      <c r="NA21" s="513">
        <f t="shared" si="215"/>
        <v>4.5414334765136273E-4</v>
      </c>
      <c r="NB21" s="513">
        <f t="shared" si="216"/>
        <v>8.3325466960892621E-5</v>
      </c>
      <c r="NC21" s="506">
        <f t="shared" si="275"/>
        <v>0.42078786477978619</v>
      </c>
      <c r="ND21" s="506">
        <f t="shared" si="276"/>
        <v>1.0271887617769959</v>
      </c>
      <c r="NE21" s="109">
        <f t="shared" si="217"/>
        <v>1.3383581973951302E-3</v>
      </c>
      <c r="NF21" s="109">
        <f t="shared" si="218"/>
        <v>8.2721220228226236E-5</v>
      </c>
      <c r="NG21" s="513">
        <f t="shared" si="219"/>
        <v>1.5866307659625669E-3</v>
      </c>
      <c r="NH21" s="513">
        <f t="shared" si="220"/>
        <v>9.8066446835771691E-5</v>
      </c>
      <c r="NI21" s="109">
        <f t="shared" si="221"/>
        <v>1.2687294706233566E-4</v>
      </c>
      <c r="NJ21" s="109">
        <f t="shared" si="221"/>
        <v>2.3278437553574952E-5</v>
      </c>
      <c r="NK21" s="621">
        <f t="shared" si="222"/>
        <v>1.307949959624007E-9</v>
      </c>
      <c r="NL21" s="621">
        <f t="shared" si="223"/>
        <v>1.285584616889691E-11</v>
      </c>
      <c r="NM21" s="621">
        <f t="shared" si="224"/>
        <v>3.7498901944019029E-12</v>
      </c>
      <c r="NN21" s="621">
        <f t="shared" si="225"/>
        <v>9.1445037105880998E-12</v>
      </c>
      <c r="NO21" s="621">
        <f t="shared" si="226"/>
        <v>3.8414596647486423E-7</v>
      </c>
      <c r="NP21" s="621">
        <f t="shared" si="227"/>
        <v>2.5874050424945456E-9</v>
      </c>
      <c r="NQ21" s="621">
        <f t="shared" si="228"/>
        <v>-2.3532465940297706E-9</v>
      </c>
      <c r="NR21" s="621">
        <f t="shared" si="229"/>
        <v>-3.2321139074971183E-9</v>
      </c>
      <c r="NS21" s="621">
        <f t="shared" si="230"/>
        <v>3.8410176690948564E-7</v>
      </c>
      <c r="NT21" s="621">
        <f t="shared" si="231"/>
        <v>1.7369742073067779E-9</v>
      </c>
      <c r="NU21" s="621">
        <f t="shared" si="232"/>
        <v>3.0588222943585497E-11</v>
      </c>
      <c r="NV21" s="621">
        <f t="shared" si="233"/>
        <v>3.1088181376550804E-12</v>
      </c>
      <c r="NW21" s="621">
        <f t="shared" si="234"/>
        <v>2.0801633016035119E-13</v>
      </c>
      <c r="NX21" s="621">
        <f t="shared" si="235"/>
        <v>3.0780305668721868E-14</v>
      </c>
      <c r="NY21" s="621">
        <f t="shared" si="236"/>
        <v>1.3541993013423003E-12</v>
      </c>
      <c r="NZ21" s="621">
        <f t="shared" si="237"/>
        <v>6.3270527374611557E-14</v>
      </c>
      <c r="OA21" s="622">
        <f t="shared" si="262"/>
        <v>293.70081297704519</v>
      </c>
      <c r="OB21" s="622">
        <f t="shared" si="238"/>
        <v>2.4580638426981753</v>
      </c>
      <c r="OC21" s="622">
        <f t="shared" si="239"/>
        <v>293.66701996757001</v>
      </c>
      <c r="OD21" s="622">
        <f t="shared" si="263"/>
        <v>3.1773003250160183</v>
      </c>
      <c r="OE21" s="621">
        <f t="shared" si="264"/>
        <v>2.3386386243995614E-2</v>
      </c>
      <c r="OF21" s="621">
        <f t="shared" si="265"/>
        <v>2.3822196436084474E-3</v>
      </c>
      <c r="OG21" s="621">
        <f t="shared" si="266"/>
        <v>1.5903997597901154E-4</v>
      </c>
      <c r="OH21" s="621">
        <f t="shared" si="267"/>
        <v>2.3585105185345214E-5</v>
      </c>
      <c r="OI21" s="621">
        <f t="shared" si="268"/>
        <v>1.0353601767238774E-3</v>
      </c>
      <c r="OJ21" s="621">
        <f t="shared" si="269"/>
        <v>4.9432663308770659E-5</v>
      </c>
      <c r="OK21" s="621">
        <f t="shared" si="240"/>
        <v>9.761628447678283E-6</v>
      </c>
      <c r="OL21" s="621">
        <f t="shared" si="241"/>
        <v>2.3804709886982796E-5</v>
      </c>
      <c r="OM21" s="621">
        <f t="shared" si="242"/>
        <v>3.4048254407731487E-3</v>
      </c>
      <c r="ON21" s="621">
        <f t="shared" si="243"/>
        <v>2.8495931699438209E-5</v>
      </c>
      <c r="OO21" s="621">
        <f t="shared" si="244"/>
        <v>2.8669982110629635E-3</v>
      </c>
      <c r="OP21" s="621">
        <f t="shared" si="245"/>
        <v>2.3994705933091908E-5</v>
      </c>
      <c r="OQ21" s="621">
        <f t="shared" si="246"/>
        <v>4.6421744061919869E-3</v>
      </c>
      <c r="OR21" s="621">
        <f t="shared" si="247"/>
        <v>8.7638295971289154E-6</v>
      </c>
    </row>
    <row r="22" spans="2:408">
      <c r="B22" s="245" t="s">
        <v>947</v>
      </c>
      <c r="C22" s="5">
        <v>2.078E-2</v>
      </c>
      <c r="D22" s="66">
        <f>C22*0.5%</f>
        <v>1.039E-4</v>
      </c>
      <c r="E22" s="67">
        <v>45103</v>
      </c>
      <c r="F22" s="5" t="s">
        <v>210</v>
      </c>
      <c r="G22" s="5" t="s">
        <v>893</v>
      </c>
      <c r="H22" s="5">
        <v>2</v>
      </c>
      <c r="J22" s="327">
        <v>44644</v>
      </c>
      <c r="K22" s="67" t="s">
        <v>823</v>
      </c>
      <c r="L22" s="5" t="s">
        <v>945</v>
      </c>
      <c r="M22" s="5" t="s">
        <v>142</v>
      </c>
      <c r="N22" s="5" t="s">
        <v>142</v>
      </c>
      <c r="O22" s="6">
        <v>4054.6753560000002</v>
      </c>
      <c r="P22" s="6">
        <v>11.874071000000001</v>
      </c>
      <c r="Q22" s="6">
        <v>0.316944</v>
      </c>
      <c r="R22" s="6">
        <v>5.4646E-2</v>
      </c>
      <c r="S22" s="6">
        <v>8.1379490000000008</v>
      </c>
      <c r="T22" s="6">
        <v>5.1381999999999997E-2</v>
      </c>
      <c r="U22" s="6">
        <v>5.2675E-2</v>
      </c>
      <c r="V22" s="6">
        <v>3.5566E-2</v>
      </c>
      <c r="W22" s="6">
        <v>13.334414000000001</v>
      </c>
      <c r="X22" s="6">
        <v>4.7286000000000002E-2</v>
      </c>
      <c r="Y22" s="6">
        <v>66.547165000000007</v>
      </c>
      <c r="Z22" s="6">
        <v>0.79493499999999995</v>
      </c>
      <c r="AA22" s="6">
        <v>0.14371300000000001</v>
      </c>
      <c r="AB22" s="6">
        <v>9.3065999999999996E-2</v>
      </c>
      <c r="AC22" s="6">
        <v>0.19730700000000001</v>
      </c>
      <c r="AD22" s="6">
        <v>7.9493999999999995E-2</v>
      </c>
      <c r="AE22" s="6">
        <v>6.2137999999999999E-2</v>
      </c>
      <c r="AF22" s="6">
        <v>2.3331000000000001E-2</v>
      </c>
      <c r="AG22" s="6">
        <v>0.38597599999999999</v>
      </c>
      <c r="AH22" s="6">
        <v>7.0112999999999995E-2</v>
      </c>
      <c r="AI22" s="147">
        <f t="shared" si="1"/>
        <v>3988.1281910000002</v>
      </c>
      <c r="AJ22" s="147">
        <f t="shared" si="2"/>
        <v>11.900650560673816</v>
      </c>
      <c r="AK22" s="147">
        <f t="shared" si="3"/>
        <v>0.173231</v>
      </c>
      <c r="AL22" s="147">
        <f t="shared" si="4"/>
        <v>0.1079234250383113</v>
      </c>
      <c r="AM22" s="147">
        <f t="shared" si="5"/>
        <v>7.9406420000000004</v>
      </c>
      <c r="AN22" s="147">
        <f t="shared" si="6"/>
        <v>9.4654138631123777E-2</v>
      </c>
      <c r="AO22" s="147">
        <f t="shared" si="7"/>
        <v>-9.4629999999999992E-3</v>
      </c>
      <c r="AP22" s="147">
        <f t="shared" si="8"/>
        <v>4.2535584126705023E-2</v>
      </c>
      <c r="AQ22" s="147">
        <f t="shared" si="9"/>
        <v>12.948438000000001</v>
      </c>
      <c r="AR22" s="147">
        <f t="shared" si="10"/>
        <v>8.4568307095507111E-2</v>
      </c>
      <c r="AS22" s="4">
        <v>303.39491974047206</v>
      </c>
      <c r="AT22" s="4">
        <v>1.3894906939380418</v>
      </c>
      <c r="AU22" s="133">
        <f t="shared" si="11"/>
        <v>0.17438805993363934</v>
      </c>
      <c r="AV22" s="133">
        <f t="shared" si="12"/>
        <v>0.10792583253703457</v>
      </c>
      <c r="AW22" s="133">
        <f t="shared" si="13"/>
        <v>8.0467176874413227</v>
      </c>
      <c r="AX22" s="133">
        <f t="shared" si="14"/>
        <v>9.4656578022428259E-2</v>
      </c>
      <c r="AY22" s="133">
        <f t="shared" si="15"/>
        <v>-9.65261833884286E-3</v>
      </c>
      <c r="AZ22" s="133">
        <f t="shared" si="16"/>
        <v>4.2537270882566196E-2</v>
      </c>
      <c r="BA22" s="133">
        <f t="shared" si="17"/>
        <v>13.294383444245275</v>
      </c>
      <c r="BB22" s="133">
        <f t="shared" si="18"/>
        <v>8.457116971838731E-2</v>
      </c>
      <c r="BC22" s="6"/>
      <c r="BD22" s="8"/>
      <c r="BE22" s="147"/>
      <c r="BF22" s="147"/>
      <c r="BG22" s="147"/>
      <c r="BH22" s="147"/>
      <c r="BI22" s="157"/>
      <c r="BJ22" s="157"/>
      <c r="BM22" s="133"/>
      <c r="BN22" s="133"/>
      <c r="BO22" s="143">
        <f t="shared" si="254"/>
        <v>3988.1054829221321</v>
      </c>
      <c r="BP22" s="133">
        <f t="shared" si="255"/>
        <v>11.900658858746258</v>
      </c>
      <c r="BQ22" s="143">
        <f t="shared" si="271"/>
        <v>0.17438805993363934</v>
      </c>
      <c r="BR22" s="133">
        <f t="shared" si="272"/>
        <v>0.10792583253703457</v>
      </c>
      <c r="BS22" s="143">
        <f t="shared" si="256"/>
        <v>8.0467176874413227</v>
      </c>
      <c r="BT22" s="133">
        <f t="shared" si="257"/>
        <v>9.4656578022428259E-2</v>
      </c>
      <c r="BU22" s="147">
        <f t="shared" si="258"/>
        <v>13.294383444245275</v>
      </c>
      <c r="BV22" s="147">
        <f t="shared" si="21"/>
        <v>8.457116971838731E-2</v>
      </c>
      <c r="BX22" s="147">
        <f t="shared" si="22"/>
        <v>13.289454451866291</v>
      </c>
      <c r="BY22" s="147">
        <f t="shared" si="23"/>
        <v>8.4571443070260641E-2</v>
      </c>
      <c r="BZ22" s="143">
        <f t="shared" si="24"/>
        <v>5.5473665722613106</v>
      </c>
      <c r="CA22" s="147">
        <f t="shared" si="25"/>
        <v>7.2135974643787728E-3</v>
      </c>
      <c r="CB22" s="143">
        <f t="shared" si="26"/>
        <v>61.071692395642913</v>
      </c>
      <c r="CC22" s="143">
        <f t="shared" si="27"/>
        <v>27.679754987153849</v>
      </c>
      <c r="CD22" s="3">
        <v>1.4114568145845257E-12</v>
      </c>
      <c r="CE22" s="3">
        <v>4.6739383408230958E-15</v>
      </c>
      <c r="CF22" s="157">
        <f t="shared" si="28"/>
        <v>1.875749104819734E-11</v>
      </c>
      <c r="CG22" s="157">
        <f t="shared" si="29"/>
        <v>1.3456263973835984E-13</v>
      </c>
      <c r="CH22" s="157">
        <f t="shared" si="30"/>
        <v>0</v>
      </c>
      <c r="CI22" s="158" t="e">
        <f t="shared" si="31"/>
        <v>#DIV/0!</v>
      </c>
      <c r="CJ22" s="157">
        <f t="shared" si="32"/>
        <v>7.8298683514166295E-12</v>
      </c>
      <c r="CK22" s="477">
        <f t="shared" si="33"/>
        <v>2.7855526834563352E-14</v>
      </c>
      <c r="CL22" s="157">
        <f t="shared" si="34"/>
        <v>2.4614121557550997E-13</v>
      </c>
      <c r="CM22" s="157">
        <f t="shared" si="35"/>
        <v>1.5233483239072925E-13</v>
      </c>
      <c r="CN22" s="157">
        <f t="shared" si="36"/>
        <v>5.6290386611523545E-9</v>
      </c>
      <c r="CO22" s="157">
        <f t="shared" si="37"/>
        <v>2.5091904645200801E-11</v>
      </c>
      <c r="CP22" s="157">
        <f t="shared" si="38"/>
        <v>3.4932995565070691E-16</v>
      </c>
      <c r="CQ22" s="157">
        <f t="shared" si="39"/>
        <v>1.2427756951112346E-18</v>
      </c>
      <c r="CR22" s="157">
        <f t="shared" si="40"/>
        <v>2.5113983244695224E-13</v>
      </c>
      <c r="CS22" s="157">
        <f t="shared" si="41"/>
        <v>1.1194765502681179E-15</v>
      </c>
      <c r="CT22" s="66">
        <v>4.6421744061919869E-3</v>
      </c>
      <c r="CU22" s="66">
        <v>8.7638295971289154E-6</v>
      </c>
      <c r="CV22" s="3">
        <v>1.1611559367069784E+19</v>
      </c>
      <c r="CW22" s="60">
        <v>1.040942599512031E+18</v>
      </c>
      <c r="CX22" s="3">
        <v>8.6527210079182822E+17</v>
      </c>
      <c r="CY22" s="3">
        <v>8.9278178143800032E+16</v>
      </c>
      <c r="CZ22" s="6">
        <v>0.49865169925804054</v>
      </c>
      <c r="DA22" s="6">
        <v>2.7936431740382541E-2</v>
      </c>
      <c r="DB22" s="4">
        <v>24.337069265073254</v>
      </c>
      <c r="DC22" s="4">
        <v>0.74264427477540718</v>
      </c>
      <c r="DD22" s="157">
        <f t="shared" si="42"/>
        <v>1.9495907012970426E-10</v>
      </c>
      <c r="DE22" s="157">
        <f t="shared" si="43"/>
        <v>1.2067233784270091E-10</v>
      </c>
      <c r="DF22" s="147">
        <f t="shared" si="44"/>
        <v>0.36682233934803737</v>
      </c>
      <c r="DG22" s="147">
        <f t="shared" si="45"/>
        <v>0.22705665075041523</v>
      </c>
      <c r="DH22" s="159">
        <f t="shared" si="46"/>
        <v>3.6682233934803737E-5</v>
      </c>
      <c r="DI22" s="167">
        <f t="shared" si="47"/>
        <v>2.2705665075041521E-5</v>
      </c>
      <c r="DJ22" s="157">
        <f t="shared" si="48"/>
        <v>2.8102837334088679E-10</v>
      </c>
      <c r="DK22" s="157">
        <f t="shared" si="49"/>
        <v>9.0234698572255822E-12</v>
      </c>
      <c r="DL22" s="147">
        <f t="shared" si="50"/>
        <v>0.47946578056084982</v>
      </c>
      <c r="DM22" s="147">
        <f t="shared" si="51"/>
        <v>1.5580586176240011E-2</v>
      </c>
      <c r="DN22" s="159">
        <f t="shared" si="52"/>
        <v>4.7946578056084985E-5</v>
      </c>
      <c r="DO22" s="167">
        <f t="shared" si="53"/>
        <v>1.558058617624001E-6</v>
      </c>
      <c r="DP22" s="157">
        <f t="shared" si="54"/>
        <v>0</v>
      </c>
      <c r="DQ22" s="157" t="e">
        <f t="shared" si="55"/>
        <v>#DIV/0!</v>
      </c>
      <c r="DR22" s="143">
        <f t="shared" si="56"/>
        <v>0</v>
      </c>
      <c r="DS22" s="143" t="e">
        <f t="shared" si="57"/>
        <v>#DIV/0!</v>
      </c>
      <c r="DT22" s="147">
        <f t="shared" si="58"/>
        <v>0</v>
      </c>
      <c r="DU22" s="147" t="e">
        <f t="shared" si="59"/>
        <v>#DIV/0!</v>
      </c>
      <c r="DV22" s="133">
        <f t="shared" si="60"/>
        <v>0.69373447176175107</v>
      </c>
      <c r="DW22" s="133">
        <f t="shared" si="61"/>
        <v>0.43042653930231961</v>
      </c>
      <c r="DX22" s="133" t="e">
        <f t="shared" si="62"/>
        <v>#DIV/0!</v>
      </c>
      <c r="DY22" s="133" t="e">
        <f t="shared" si="63"/>
        <v>#DIV/0!</v>
      </c>
      <c r="DZ22" s="133">
        <f t="shared" si="64"/>
        <v>0.76506469120476328</v>
      </c>
      <c r="EA22" s="133">
        <f t="shared" si="65"/>
        <v>0.47461771487371551</v>
      </c>
      <c r="EB22" s="133" t="e">
        <f t="shared" si="66"/>
        <v>#DIV/0!</v>
      </c>
      <c r="EC22" s="133" t="e">
        <f t="shared" si="67"/>
        <v>#DIV/0!</v>
      </c>
      <c r="ED22" s="157">
        <f t="shared" si="68"/>
        <v>8.9364582465956274E-4</v>
      </c>
      <c r="EE22" s="157">
        <f t="shared" si="69"/>
        <v>2.8969040988562089E-5</v>
      </c>
      <c r="EF22" s="147">
        <f t="shared" si="70"/>
        <v>350.20569882412127</v>
      </c>
      <c r="EG22" s="147">
        <f t="shared" si="71"/>
        <v>268.64160966186438</v>
      </c>
      <c r="EH22" s="157">
        <f t="shared" si="72"/>
        <v>1.2881669587358592E-3</v>
      </c>
      <c r="EI22" s="157">
        <f t="shared" si="73"/>
        <v>7.9734761432073784E-4</v>
      </c>
      <c r="EJ22" s="143">
        <f t="shared" si="74"/>
        <v>1739.6266035676483</v>
      </c>
      <c r="EK22" s="143">
        <f t="shared" si="75"/>
        <v>858.78133716830007</v>
      </c>
      <c r="EL22" s="143">
        <f t="shared" si="76"/>
        <v>858.78393790714267</v>
      </c>
      <c r="EM22" s="133">
        <f t="shared" si="77"/>
        <v>1739.6266035676483</v>
      </c>
      <c r="EN22" s="133">
        <f t="shared" si="78"/>
        <v>858.78133716830007</v>
      </c>
      <c r="EO22" s="133">
        <f t="shared" si="79"/>
        <v>858.78393790714267</v>
      </c>
      <c r="EP22" s="501">
        <f>CL22/$CL$17</f>
        <v>0.1164849091225508</v>
      </c>
      <c r="EQ22" s="143">
        <f t="shared" si="292"/>
        <v>1739.6266035676483</v>
      </c>
      <c r="ER22" s="143">
        <f t="shared" si="292"/>
        <v>858.78133716830007</v>
      </c>
      <c r="ES22" s="147">
        <f t="shared" si="81"/>
        <v>1.3122288846789293E-2</v>
      </c>
      <c r="ET22" s="147">
        <f t="shared" si="82"/>
        <v>9.223246606020686E-5</v>
      </c>
      <c r="EU22" s="143">
        <f t="shared" si="83"/>
        <v>300.09550033576181</v>
      </c>
      <c r="EV22" s="143">
        <f t="shared" si="84"/>
        <v>2.1092774570582038</v>
      </c>
      <c r="EW22" s="157">
        <f t="shared" si="85"/>
        <v>4.372704299833693E-5</v>
      </c>
      <c r="EX22" s="157">
        <f t="shared" si="86"/>
        <v>2.7062244852498475E-5</v>
      </c>
      <c r="EY22" s="157">
        <f t="shared" si="87"/>
        <v>3.3322725561734517E-3</v>
      </c>
      <c r="EZ22" s="157">
        <f t="shared" si="88"/>
        <v>2.3421502073994221E-5</v>
      </c>
      <c r="FA22" s="66">
        <v>0.39314399999999999</v>
      </c>
      <c r="FB22" s="66">
        <v>7.6239999999999997E-3</v>
      </c>
      <c r="FC22" s="66">
        <v>0.17869599999999999</v>
      </c>
      <c r="FD22" s="66">
        <v>2.8029999999999999E-3</v>
      </c>
      <c r="FE22" s="66">
        <v>0.31356000000000001</v>
      </c>
      <c r="FF22" s="66">
        <v>3.96E-3</v>
      </c>
      <c r="FI22" s="66">
        <v>2.0534E-2</v>
      </c>
      <c r="FJ22" s="66">
        <v>2.444E-3</v>
      </c>
      <c r="FK22" s="66">
        <v>6.1139999999999996E-3</v>
      </c>
      <c r="FL22" s="66">
        <v>9.2299999999999999E-4</v>
      </c>
      <c r="FM22" s="66">
        <v>6.4099999999999999E-3</v>
      </c>
      <c r="FN22" s="66">
        <v>9.3999999999999997E-4</v>
      </c>
      <c r="FQ22" s="159">
        <f t="shared" si="89"/>
        <v>0.37261</v>
      </c>
      <c r="FR22" s="159">
        <f t="shared" si="90"/>
        <v>8.0061546325311504E-3</v>
      </c>
      <c r="FS22" s="159">
        <f t="shared" si="91"/>
        <v>0.17258199999999999</v>
      </c>
      <c r="FT22" s="159">
        <f t="shared" si="92"/>
        <v>3.9640406153317858E-3</v>
      </c>
      <c r="FU22" s="159">
        <f t="shared" si="93"/>
        <v>0.30714999999999998</v>
      </c>
      <c r="FV22" s="159">
        <f t="shared" si="94"/>
        <v>4.0700368548699899E-3</v>
      </c>
      <c r="FW22" s="159">
        <f t="shared" si="95"/>
        <v>0</v>
      </c>
      <c r="FX22" s="159">
        <f t="shared" si="96"/>
        <v>0</v>
      </c>
      <c r="FY22" s="159">
        <f t="shared" si="97"/>
        <v>0.30610047149332265</v>
      </c>
      <c r="FZ22" s="159">
        <f t="shared" si="98"/>
        <v>2.9021093686965427E-2</v>
      </c>
      <c r="GA22" s="159">
        <f t="shared" si="99"/>
        <v>0.36048842132886444</v>
      </c>
      <c r="GB22" s="159">
        <f t="shared" si="100"/>
        <v>8.0882169727177575E-3</v>
      </c>
      <c r="GC22" s="159">
        <f t="shared" si="101"/>
        <v>0.11068848466405015</v>
      </c>
      <c r="GD22" s="159">
        <f t="shared" si="102"/>
        <v>7.0815115991157869E-3</v>
      </c>
      <c r="GE22" s="159">
        <f t="shared" si="103"/>
        <v>-9.3421863899762078E-2</v>
      </c>
      <c r="GF22" s="159">
        <f t="shared" si="104"/>
        <v>8.857237793261849E-3</v>
      </c>
      <c r="GG22" s="3">
        <v>1.5604065291985949E-12</v>
      </c>
      <c r="GH22" s="3">
        <v>1.54849054114113E-14</v>
      </c>
      <c r="GI22" s="6">
        <v>1</v>
      </c>
      <c r="GJ22" s="6">
        <v>5.0000000000000001E-3</v>
      </c>
      <c r="GK22" s="157">
        <f t="shared" si="105"/>
        <v>5.625084863420541E-13</v>
      </c>
      <c r="GL22" s="157">
        <f t="shared" si="106"/>
        <v>1.4083956938054932E-14</v>
      </c>
      <c r="GM22" s="157">
        <f t="shared" si="107"/>
        <v>1.7271903417688241E-13</v>
      </c>
      <c r="GN22" s="157">
        <f t="shared" si="108"/>
        <v>1.1215476421200588E-14</v>
      </c>
      <c r="GO22" s="157">
        <f t="shared" si="109"/>
        <v>4.7764117430894901E-13</v>
      </c>
      <c r="GP22" s="157">
        <f t="shared" si="110"/>
        <v>4.5594681177069329E-14</v>
      </c>
      <c r="GQ22" s="157">
        <f t="shared" si="111"/>
        <v>-1.4577608639909127E-13</v>
      </c>
      <c r="GR22" s="157">
        <f t="shared" si="112"/>
        <v>-1.3915496695241561E-14</v>
      </c>
      <c r="GS22" s="157">
        <f t="shared" si="113"/>
        <v>2.5096343356968934E-17</v>
      </c>
      <c r="GT22" s="157">
        <f t="shared" si="114"/>
        <v>6.2835642095912019E-19</v>
      </c>
      <c r="GU22" s="157">
        <f t="shared" si="115"/>
        <v>7.7058680735196394E-18</v>
      </c>
      <c r="GV22" s="157">
        <f t="shared" si="116"/>
        <v>5.0037902364820518E-19</v>
      </c>
      <c r="GW22" s="157">
        <f t="shared" si="117"/>
        <v>2.1309984121011226E-17</v>
      </c>
      <c r="GX22" s="157">
        <f t="shared" si="118"/>
        <v>2.0342089086218192E-18</v>
      </c>
      <c r="GY22" s="147">
        <f t="shared" si="119"/>
        <v>3.2567834171999039</v>
      </c>
      <c r="GZ22" s="147">
        <f t="shared" si="120"/>
        <v>8.5759116023391674E-2</v>
      </c>
      <c r="HA22" s="4">
        <v>26.169770272470501</v>
      </c>
      <c r="HB22" s="4">
        <v>0.31897682079735301</v>
      </c>
      <c r="HC22" s="228">
        <f t="shared" si="121"/>
        <v>364.27158166580966</v>
      </c>
      <c r="HD22" s="228">
        <f t="shared" si="122"/>
        <v>10.226317164736958</v>
      </c>
      <c r="HE22" s="239">
        <f t="shared" si="123"/>
        <v>3.4230193024972767E-13</v>
      </c>
      <c r="HF22" s="229">
        <f t="shared" si="124"/>
        <v>1.4599423438812081E-14</v>
      </c>
      <c r="HG22" s="362">
        <f t="shared" si="125"/>
        <v>1.3162316378572778</v>
      </c>
      <c r="HH22" s="362">
        <f t="shared" si="126"/>
        <v>5.652266877279815E-2</v>
      </c>
      <c r="HI22" s="4">
        <v>7.5091582159801398</v>
      </c>
      <c r="HJ22" s="4">
        <v>0.114829942558394</v>
      </c>
      <c r="HK22" s="228">
        <f t="shared" si="127"/>
        <v>340.41251180729785</v>
      </c>
      <c r="HL22" s="228">
        <f t="shared" si="128"/>
        <v>22.741568506171987</v>
      </c>
      <c r="HM22" s="239">
        <f t="shared" si="129"/>
        <v>3.6629342698752943E-13</v>
      </c>
      <c r="HN22" s="229">
        <f t="shared" si="130"/>
        <v>1.5622678024465487E-14</v>
      </c>
      <c r="HO22" s="362">
        <f t="shared" si="131"/>
        <v>1.4084846000968021</v>
      </c>
      <c r="HP22" s="362">
        <f t="shared" si="132"/>
        <v>0.10463629943749626</v>
      </c>
      <c r="HQ22" s="6">
        <v>1.11613116912226</v>
      </c>
      <c r="HR22" s="6">
        <v>3.5153924948669403E-2</v>
      </c>
      <c r="HS22" s="6">
        <f t="shared" si="133"/>
        <v>1.4709846302180285</v>
      </c>
      <c r="HT22" s="6">
        <f t="shared" si="134"/>
        <v>0.1449012612728921</v>
      </c>
      <c r="HU22" s="6">
        <v>1.11613116912226</v>
      </c>
      <c r="HV22" s="6">
        <v>3.5153924948669403E-2</v>
      </c>
      <c r="HW22" s="6">
        <f t="shared" si="135"/>
        <v>1.9646797010432175</v>
      </c>
      <c r="HX22" s="6">
        <f t="shared" si="136"/>
        <v>0.22771434499373527</v>
      </c>
      <c r="HY22" s="3">
        <v>4.1373E-2</v>
      </c>
      <c r="HZ22" s="3">
        <v>9.5699999999999995E-4</v>
      </c>
      <c r="IA22" s="3">
        <v>1.7963E-2</v>
      </c>
      <c r="IB22" s="3">
        <v>5.8200000000000005E-4</v>
      </c>
      <c r="IC22" s="3">
        <v>2.4009999999999999E-3</v>
      </c>
      <c r="ID22" s="3">
        <v>4.0200000000000001E-4</v>
      </c>
      <c r="IE22" s="3">
        <v>0.10365000000000001</v>
      </c>
      <c r="IF22" s="3">
        <v>2.8180000000000002E-3</v>
      </c>
      <c r="IG22" s="3">
        <v>1.8263999999999999E-2</v>
      </c>
      <c r="IH22" s="3">
        <v>8.6600000000000002E-4</v>
      </c>
      <c r="II22" s="3">
        <v>8.3940000000000004E-3</v>
      </c>
      <c r="IJ22" s="3">
        <v>2.1100000000000001E-4</v>
      </c>
      <c r="IK22" s="3">
        <v>7.5579999999999996E-3</v>
      </c>
      <c r="IL22" s="3">
        <v>5.2400000000000005E-4</v>
      </c>
      <c r="IM22" s="3">
        <v>1.317E-3</v>
      </c>
      <c r="IN22" s="3">
        <v>4.35E-4</v>
      </c>
      <c r="IO22" s="3">
        <v>6.1700000000000004E-4</v>
      </c>
      <c r="IP22" s="3">
        <v>1.3300000000000001E-4</v>
      </c>
      <c r="IQ22" s="3">
        <v>2.12E-4</v>
      </c>
      <c r="IR22" s="3">
        <v>9.6000000000000002E-5</v>
      </c>
      <c r="IS22" s="3">
        <v>7.5199999999999996E-4</v>
      </c>
      <c r="IT22" s="3">
        <v>3.1300000000000002E-4</v>
      </c>
      <c r="IU22" s="3">
        <v>4.2900000000000002E-4</v>
      </c>
      <c r="IV22" s="3">
        <v>1.3200000000000001E-4</v>
      </c>
      <c r="IW22" s="3">
        <v>9.8999999999999994E-5</v>
      </c>
      <c r="IX22" s="3">
        <v>1.5699999999999999E-4</v>
      </c>
      <c r="IY22" s="3">
        <v>3.1500000000000001E-4</v>
      </c>
      <c r="IZ22" s="3">
        <v>9.6000000000000002E-5</v>
      </c>
      <c r="JA22" s="157">
        <f t="shared" si="137"/>
        <v>4.0056000000000001E-2</v>
      </c>
      <c r="JB22" s="157">
        <f t="shared" si="138"/>
        <v>1.0512249997027278E-3</v>
      </c>
      <c r="JC22" s="157">
        <f t="shared" si="139"/>
        <v>1.7346E-2</v>
      </c>
      <c r="JD22" s="157">
        <f t="shared" si="140"/>
        <v>5.9700335007435267E-4</v>
      </c>
      <c r="JE22" s="157">
        <f t="shared" si="141"/>
        <v>2.189E-3</v>
      </c>
      <c r="JF22" s="157">
        <f t="shared" si="142"/>
        <v>4.1330376238306858E-4</v>
      </c>
      <c r="JG22" s="157">
        <f t="shared" si="143"/>
        <v>0.102898</v>
      </c>
      <c r="JH22" s="157">
        <f t="shared" si="144"/>
        <v>2.8353294341222504E-3</v>
      </c>
      <c r="JI22" s="157">
        <f t="shared" si="145"/>
        <v>1.7835E-2</v>
      </c>
      <c r="JJ22" s="157">
        <f t="shared" si="146"/>
        <v>8.7600228310204763E-4</v>
      </c>
      <c r="JK22" s="157">
        <f t="shared" si="147"/>
        <v>8.2950000000000003E-3</v>
      </c>
      <c r="JL22" s="157">
        <f t="shared" si="148"/>
        <v>2.6300190113381309E-4</v>
      </c>
      <c r="JM22" s="157">
        <f t="shared" si="149"/>
        <v>7.2429999999999994E-3</v>
      </c>
      <c r="JN22" s="157">
        <f t="shared" si="150"/>
        <v>5.3272131551121557E-4</v>
      </c>
      <c r="JO22" s="157">
        <f t="shared" si="151"/>
        <v>3.9023671069565002E-2</v>
      </c>
      <c r="JP22" s="157">
        <f t="shared" si="152"/>
        <v>1.0691422885699135E-3</v>
      </c>
      <c r="JQ22" s="157">
        <f t="shared" si="153"/>
        <v>3.1334042276580012E-3</v>
      </c>
      <c r="JR22" s="157">
        <f t="shared" si="154"/>
        <v>2.7490785298221608E-3</v>
      </c>
      <c r="JS22" s="157">
        <f t="shared" si="155"/>
        <v>9.1490331572174011E-2</v>
      </c>
      <c r="JT22" s="157">
        <f t="shared" si="156"/>
        <v>3.5606558849616554E-3</v>
      </c>
      <c r="JU22" s="157">
        <f t="shared" si="157"/>
        <v>3.3766116249649997E-3</v>
      </c>
      <c r="JV22" s="157">
        <f t="shared" si="158"/>
        <v>2.8669883682625246E-3</v>
      </c>
      <c r="JW22" s="157">
        <f t="shared" si="159"/>
        <v>2.6605660500419997E-3</v>
      </c>
      <c r="JX22" s="157">
        <f t="shared" si="160"/>
        <v>1.0958617159507866E-3</v>
      </c>
      <c r="JY22" s="157">
        <f t="shared" si="161"/>
        <v>2.4804068693969998E-3</v>
      </c>
      <c r="JZ22" s="157">
        <f t="shared" si="162"/>
        <v>1.0451759572857871E-3</v>
      </c>
      <c r="KA22" s="3">
        <v>1.4998540391159256E-12</v>
      </c>
      <c r="KB22" s="3">
        <v>4.2289117827840867E-14</v>
      </c>
      <c r="KC22" s="5">
        <v>1</v>
      </c>
      <c r="KD22" s="5">
        <v>0</v>
      </c>
      <c r="KE22" s="157">
        <f t="shared" si="163"/>
        <v>5.8529810674818364E-14</v>
      </c>
      <c r="KF22" s="157">
        <f t="shared" si="164"/>
        <v>2.3010452420898719E-15</v>
      </c>
      <c r="KG22" s="157">
        <f t="shared" si="165"/>
        <v>2.6113103374949224E-18</v>
      </c>
      <c r="KH22" s="157">
        <f t="shared" si="166"/>
        <v>1.0266124491244699E-19</v>
      </c>
      <c r="KI22" s="6">
        <v>1.2430056234832578</v>
      </c>
      <c r="KJ22" s="6">
        <v>0.11113867994607306</v>
      </c>
      <c r="KK22" s="157">
        <f t="shared" si="167"/>
        <v>3.1245413886612161E-14</v>
      </c>
      <c r="KL22" s="157">
        <f t="shared" si="260"/>
        <v>4.1473782046061362E-15</v>
      </c>
      <c r="KM22" s="494">
        <f t="shared" si="168"/>
        <v>0.19081730637986399</v>
      </c>
      <c r="KN22" s="494">
        <f>KM22*SQRT(I_moleerr/I_mole)^2+(MVerr/MV)^2+(Sample_Masserr/Sample_Mass)</f>
        <v>3.0328246264361394E-2</v>
      </c>
      <c r="KO22" s="4">
        <v>20.162258156415799</v>
      </c>
      <c r="KP22" s="4">
        <v>0.66285498057307002</v>
      </c>
      <c r="KQ22" s="229">
        <f t="shared" si="170"/>
        <v>2697.2208727805146</v>
      </c>
      <c r="KR22" s="229">
        <f t="shared" si="171"/>
        <v>138.56172835241668</v>
      </c>
      <c r="KS22" s="364">
        <f t="shared" si="172"/>
        <v>0.17776289120385513</v>
      </c>
      <c r="KT22" s="364">
        <f t="shared" si="173"/>
        <v>1.0805670836914319E-2</v>
      </c>
      <c r="KU22" s="147">
        <f t="shared" si="174"/>
        <v>9.0523047125409137E-2</v>
      </c>
      <c r="KV22" s="147">
        <f t="shared" si="175"/>
        <v>3.5830931620355624E-3</v>
      </c>
      <c r="KW22" s="157">
        <f t="shared" si="176"/>
        <v>1.3577135786412618E-13</v>
      </c>
      <c r="KX22" s="157">
        <f t="shared" si="177"/>
        <v>6.5981652930460631E-15</v>
      </c>
      <c r="KY22" s="157">
        <f t="shared" si="178"/>
        <v>6.0574457056778349E-18</v>
      </c>
      <c r="KZ22" s="157">
        <f t="shared" si="179"/>
        <v>2.9437746407868323E-19</v>
      </c>
      <c r="LA22" s="6">
        <v>1.2485542932379501</v>
      </c>
      <c r="LB22" s="6">
        <v>5.9627651953476503E-2</v>
      </c>
      <c r="LC22" s="157">
        <f t="shared" si="180"/>
        <v>5.088715756805272E-11</v>
      </c>
      <c r="LD22" s="157">
        <f t="shared" si="181"/>
        <v>6.1547127105677882E-12</v>
      </c>
      <c r="LE22" s="159">
        <f t="shared" si="182"/>
        <v>0.3362935845692</v>
      </c>
      <c r="LF22" s="159">
        <f t="shared" si="183"/>
        <v>4.5674120905251823E-2</v>
      </c>
      <c r="LG22" s="471"/>
      <c r="LH22" s="471"/>
      <c r="LM22" s="157">
        <f t="shared" si="184"/>
        <v>3.9904607364901973E-15</v>
      </c>
      <c r="LN22" s="157">
        <f t="shared" si="185"/>
        <v>1.6474790942339412E-15</v>
      </c>
      <c r="LO22" s="157">
        <f t="shared" si="186"/>
        <v>1.7803459899192286E-19</v>
      </c>
      <c r="LP22" s="157">
        <f t="shared" si="187"/>
        <v>7.3502359566575827E-20</v>
      </c>
      <c r="LQ22" s="157">
        <f t="shared" si="188"/>
        <v>4.5318734165821014E-14</v>
      </c>
      <c r="LR22" s="157">
        <f t="shared" si="189"/>
        <v>1.9146042682497075E-14</v>
      </c>
      <c r="LS22" s="147">
        <f t="shared" si="190"/>
        <v>0.5191130363845109</v>
      </c>
      <c r="LT22" s="147">
        <f t="shared" si="191"/>
        <v>0.21932775866588031</v>
      </c>
      <c r="LW22" s="214" t="str">
        <f t="shared" si="192"/>
        <v>45z1 crush 2</v>
      </c>
      <c r="LX22" s="214" t="str">
        <f t="shared" si="193"/>
        <v>MN2022a</v>
      </c>
      <c r="LY22" s="212">
        <f t="shared" si="194"/>
        <v>0.36682233934803737</v>
      </c>
      <c r="LZ22" s="212">
        <f t="shared" si="195"/>
        <v>0.22705665075041523</v>
      </c>
      <c r="MA22" s="212">
        <f t="shared" si="196"/>
        <v>0.47946578056084982</v>
      </c>
      <c r="MB22" s="212">
        <f t="shared" si="197"/>
        <v>1.5580586176240011E-2</v>
      </c>
      <c r="MC22" s="212">
        <f t="shared" si="198"/>
        <v>0</v>
      </c>
      <c r="MD22" s="212"/>
      <c r="ME22" s="212">
        <f t="shared" si="200"/>
        <v>1.4709846302180285</v>
      </c>
      <c r="MF22" s="212">
        <f t="shared" si="201"/>
        <v>0.1449012612728921</v>
      </c>
      <c r="MG22" s="212">
        <f t="shared" si="202"/>
        <v>1.9646797010432175</v>
      </c>
      <c r="MH22" s="212">
        <f t="shared" si="203"/>
        <v>0.22771434499373527</v>
      </c>
      <c r="MI22" s="212">
        <f t="shared" si="204"/>
        <v>1.3162316378572778</v>
      </c>
      <c r="MJ22" s="212">
        <f t="shared" si="205"/>
        <v>5.652266877279815E-2</v>
      </c>
      <c r="MK22" s="212">
        <f t="shared" si="206"/>
        <v>1.4084846000968021</v>
      </c>
      <c r="ML22" s="212">
        <f t="shared" si="207"/>
        <v>0.10463629943749626</v>
      </c>
      <c r="MM22" s="212">
        <f t="shared" si="261"/>
        <v>0.19081730637986399</v>
      </c>
      <c r="MN22" s="212">
        <f t="shared" si="208"/>
        <v>3.0328246264361394E-2</v>
      </c>
      <c r="MO22" s="212">
        <f t="shared" si="209"/>
        <v>0.17776289120385513</v>
      </c>
      <c r="MP22" s="212">
        <f t="shared" si="210"/>
        <v>1.0805670836914319E-2</v>
      </c>
      <c r="MQ22" s="211"/>
      <c r="MR22" s="211"/>
      <c r="MS22" s="211"/>
      <c r="MT22" s="211"/>
      <c r="MU22" s="506">
        <f t="shared" si="273"/>
        <v>0.76506469120476328</v>
      </c>
      <c r="MV22" s="506">
        <f t="shared" si="274"/>
        <v>0.47461771487371551</v>
      </c>
      <c r="MW22" s="109">
        <f t="shared" si="211"/>
        <v>2.7452045405985601E-3</v>
      </c>
      <c r="MX22" s="109">
        <f t="shared" si="212"/>
        <v>1.4783520948375689E-4</v>
      </c>
      <c r="MY22" s="109">
        <f t="shared" si="213"/>
        <v>2.9376123535849478E-3</v>
      </c>
      <c r="MZ22" s="109">
        <f t="shared" si="214"/>
        <v>2.3819985681844004E-4</v>
      </c>
      <c r="NA22" s="513">
        <f t="shared" si="215"/>
        <v>3.9797898852480683E-4</v>
      </c>
      <c r="NB22" s="513">
        <f t="shared" si="216"/>
        <v>6.4562776434294852E-5</v>
      </c>
      <c r="NC22" s="506">
        <f t="shared" si="275"/>
        <v>0.69373447176175107</v>
      </c>
      <c r="ND22" s="506">
        <f t="shared" si="276"/>
        <v>0.43042653930231961</v>
      </c>
      <c r="NE22" s="109">
        <f t="shared" si="217"/>
        <v>1.2180333472396974E-3</v>
      </c>
      <c r="NF22" s="109">
        <f t="shared" si="218"/>
        <v>6.5025821937837015E-5</v>
      </c>
      <c r="NG22" s="513">
        <f t="shared" si="219"/>
        <v>1.3034037191085198E-3</v>
      </c>
      <c r="NH22" s="513">
        <f t="shared" si="220"/>
        <v>6.958339715734087E-5</v>
      </c>
      <c r="NI22" s="109">
        <f t="shared" si="221"/>
        <v>1.1118244361423972E-4</v>
      </c>
      <c r="NJ22" s="109">
        <f t="shared" si="221"/>
        <v>1.8036749319587053E-5</v>
      </c>
      <c r="NK22" s="621">
        <f t="shared" si="222"/>
        <v>9.0267040655425117E-10</v>
      </c>
      <c r="NL22" s="621">
        <f t="shared" si="223"/>
        <v>7.8932589810467982E-12</v>
      </c>
      <c r="NM22" s="621">
        <f t="shared" si="224"/>
        <v>1.1845101808253608E-11</v>
      </c>
      <c r="NN22" s="621">
        <f t="shared" si="225"/>
        <v>7.331078138517973E-12</v>
      </c>
      <c r="NO22" s="621">
        <f t="shared" si="226"/>
        <v>2.7088732729318357E-7</v>
      </c>
      <c r="NP22" s="621">
        <f t="shared" si="227"/>
        <v>1.8145415958135458E-9</v>
      </c>
      <c r="NQ22" s="621">
        <f t="shared" si="228"/>
        <v>4.1482221564023174E-9</v>
      </c>
      <c r="NR22" s="621">
        <f t="shared" si="229"/>
        <v>1.8802790557631147E-9</v>
      </c>
      <c r="NS22" s="621">
        <f t="shared" si="230"/>
        <v>2.7074771031117912E-7</v>
      </c>
      <c r="NT22" s="621">
        <f t="shared" si="231"/>
        <v>1.2105903453138092E-9</v>
      </c>
      <c r="NU22" s="621">
        <f t="shared" si="232"/>
        <v>2.2985619552884937E-11</v>
      </c>
      <c r="NV22" s="621">
        <f t="shared" si="233"/>
        <v>2.1971696009565611E-12</v>
      </c>
      <c r="NW22" s="621">
        <f t="shared" si="234"/>
        <v>1.5799713626683163E-13</v>
      </c>
      <c r="NX22" s="621">
        <f t="shared" si="235"/>
        <v>3.0172478050990619E-14</v>
      </c>
      <c r="NY22" s="621">
        <f t="shared" si="236"/>
        <v>1.2872905095107092E-12</v>
      </c>
      <c r="NZ22" s="621">
        <f t="shared" si="237"/>
        <v>7.3188647135841885E-14</v>
      </c>
      <c r="OA22" s="622">
        <f t="shared" si="262"/>
        <v>300.09550033576181</v>
      </c>
      <c r="OB22" s="622">
        <f t="shared" si="238"/>
        <v>2.1092774570582038</v>
      </c>
      <c r="OC22" s="622">
        <f t="shared" si="239"/>
        <v>299.94082928308228</v>
      </c>
      <c r="OD22" s="622">
        <f t="shared" si="263"/>
        <v>2.9457780667730842</v>
      </c>
      <c r="OE22" s="621">
        <f t="shared" si="264"/>
        <v>2.5464022511414285E-2</v>
      </c>
      <c r="OF22" s="621">
        <f t="shared" si="265"/>
        <v>2.4375996351684612E-3</v>
      </c>
      <c r="OG22" s="621">
        <f t="shared" si="266"/>
        <v>1.7503302990728531E-4</v>
      </c>
      <c r="OH22" s="621">
        <f t="shared" si="267"/>
        <v>3.3460820454268457E-5</v>
      </c>
      <c r="OI22" s="621">
        <f t="shared" si="268"/>
        <v>1.4260914063026194E-3</v>
      </c>
      <c r="OJ22" s="621">
        <f t="shared" si="269"/>
        <v>8.203350855924843E-5</v>
      </c>
      <c r="OK22" s="621">
        <f t="shared" si="240"/>
        <v>4.372704299833693E-5</v>
      </c>
      <c r="OL22" s="621">
        <f t="shared" si="241"/>
        <v>2.7062244852498475E-5</v>
      </c>
      <c r="OM22" s="621">
        <f t="shared" si="242"/>
        <v>3.3322725561734517E-3</v>
      </c>
      <c r="ON22" s="621">
        <f t="shared" si="243"/>
        <v>2.3421502073994221E-5</v>
      </c>
      <c r="OO22" s="621">
        <f t="shared" si="244"/>
        <v>1.3122288846789293E-2</v>
      </c>
      <c r="OP22" s="621">
        <f t="shared" si="245"/>
        <v>9.223246606020686E-5</v>
      </c>
      <c r="OQ22" s="621">
        <f t="shared" si="246"/>
        <v>4.6421744061919869E-3</v>
      </c>
      <c r="OR22" s="621">
        <f t="shared" si="247"/>
        <v>8.7638295971289154E-6</v>
      </c>
    </row>
    <row r="23" spans="2:408">
      <c r="B23" s="245" t="s">
        <v>965</v>
      </c>
      <c r="C23" s="5">
        <v>8.8999999999999995E-4</v>
      </c>
      <c r="D23" s="66">
        <f>C23*0.5%</f>
        <v>4.4499999999999997E-6</v>
      </c>
      <c r="E23" s="67">
        <v>45112</v>
      </c>
      <c r="F23" s="5" t="s">
        <v>210</v>
      </c>
      <c r="G23" s="5" t="s">
        <v>893</v>
      </c>
      <c r="H23" s="5">
        <v>2</v>
      </c>
      <c r="J23" s="327">
        <v>44644</v>
      </c>
      <c r="K23" s="67" t="s">
        <v>823</v>
      </c>
      <c r="L23" s="5" t="s">
        <v>949</v>
      </c>
      <c r="M23" s="5" t="s">
        <v>952</v>
      </c>
      <c r="N23" s="5">
        <v>180</v>
      </c>
      <c r="O23" s="6">
        <v>272.23820899999998</v>
      </c>
      <c r="P23" s="6">
        <v>0.27129799999999998</v>
      </c>
      <c r="Q23" s="6">
        <v>1.0050399999999999</v>
      </c>
      <c r="R23" s="6">
        <v>9.9630999999999997E-2</v>
      </c>
      <c r="S23" s="6">
        <v>9.4392940000000003</v>
      </c>
      <c r="T23" s="6">
        <v>9.7822000000000006E-2</v>
      </c>
      <c r="U23" s="6">
        <v>6.6664000000000001E-2</v>
      </c>
      <c r="V23" s="6">
        <v>3.4507000000000003E-2</v>
      </c>
      <c r="W23" s="6">
        <v>1.1004419999999999</v>
      </c>
      <c r="X23" s="6">
        <v>9.8300999999999999E-2</v>
      </c>
      <c r="Y23" s="6">
        <v>62.030597999999998</v>
      </c>
      <c r="Z23" s="6">
        <v>0.355267</v>
      </c>
      <c r="AA23" s="6">
        <v>8.2128000000000007E-2</v>
      </c>
      <c r="AB23" s="6">
        <v>6.1796999999999998E-2</v>
      </c>
      <c r="AC23" s="6">
        <v>6.9752999999999996E-2</v>
      </c>
      <c r="AD23" s="6">
        <v>8.2728999999999997E-2</v>
      </c>
      <c r="AE23" s="6">
        <v>5.1269000000000002E-2</v>
      </c>
      <c r="AF23" s="6">
        <v>3.0238000000000001E-2</v>
      </c>
      <c r="AG23" s="6">
        <v>0.30959500000000001</v>
      </c>
      <c r="AH23" s="6">
        <v>0.11730599999999999</v>
      </c>
      <c r="AI23" s="147">
        <f t="shared" si="1"/>
        <v>210.20761099999999</v>
      </c>
      <c r="AJ23" s="147">
        <f t="shared" si="2"/>
        <v>0.4470092237225089</v>
      </c>
      <c r="AK23" s="147">
        <f t="shared" si="3"/>
        <v>0.92291199999999995</v>
      </c>
      <c r="AL23" s="147">
        <f t="shared" si="4"/>
        <v>0.11723994784202182</v>
      </c>
      <c r="AM23" s="147">
        <f t="shared" si="5"/>
        <v>9.3695409999999999</v>
      </c>
      <c r="AN23" s="147">
        <f t="shared" si="6"/>
        <v>0.12811413319770773</v>
      </c>
      <c r="AO23" s="147">
        <f t="shared" si="7"/>
        <v>1.5394999999999999E-2</v>
      </c>
      <c r="AP23" s="147">
        <f t="shared" si="8"/>
        <v>4.588103849086244E-2</v>
      </c>
      <c r="AQ23" s="147">
        <f t="shared" si="9"/>
        <v>0.79084699999999986</v>
      </c>
      <c r="AR23" s="147">
        <f t="shared" si="10"/>
        <v>0.15304830687400628</v>
      </c>
      <c r="AS23" s="4">
        <v>304.12046242532097</v>
      </c>
      <c r="AT23" s="4">
        <v>0.91447361557367624</v>
      </c>
      <c r="AU23" s="133">
        <f t="shared" si="11"/>
        <v>0.92964290373762914</v>
      </c>
      <c r="AV23" s="133">
        <f t="shared" si="12"/>
        <v>0.11724306772915841</v>
      </c>
      <c r="AW23" s="133">
        <f t="shared" si="13"/>
        <v>9.506207287873103</v>
      </c>
      <c r="AX23" s="133">
        <f t="shared" si="14"/>
        <v>0.12811772514207528</v>
      </c>
      <c r="AY23" s="133">
        <f t="shared" si="15"/>
        <v>1.5731832535628973E-2</v>
      </c>
      <c r="AZ23" s="133">
        <f t="shared" si="16"/>
        <v>4.5883207678495866E-2</v>
      </c>
      <c r="BA23" s="133">
        <f t="shared" si="17"/>
        <v>0.81391795379924792</v>
      </c>
      <c r="BB23" s="133">
        <f t="shared" si="18"/>
        <v>0.15305237820607084</v>
      </c>
      <c r="BC23" s="6"/>
      <c r="BD23" s="8"/>
      <c r="BE23" s="147">
        <v>6.3390000000000004</v>
      </c>
      <c r="BF23" s="147">
        <f t="shared" si="249"/>
        <v>0.31695000000000007</v>
      </c>
      <c r="BG23" s="147">
        <f t="shared" si="250"/>
        <v>4.5304247700499669</v>
      </c>
      <c r="BH23" s="147">
        <f t="shared" si="251"/>
        <v>0.22652123850249836</v>
      </c>
      <c r="BI23" s="157">
        <f>BG23/100*Sample_Mass/MW_Ca</f>
        <v>1.0060074963434308E-6</v>
      </c>
      <c r="BJ23" s="157">
        <f t="shared" si="252"/>
        <v>5.0300374817171549E-8</v>
      </c>
      <c r="BK23" s="133">
        <f>BI23*J*alpha/Ca_Constant/Ar_Sensitivity</f>
        <v>408.19651100647678</v>
      </c>
      <c r="BL23" s="133">
        <f t="shared" si="253"/>
        <v>20.409825550323845</v>
      </c>
      <c r="BM23" s="133"/>
      <c r="BN23" s="133"/>
      <c r="BO23" s="143">
        <f t="shared" si="254"/>
        <v>210.08655682085546</v>
      </c>
      <c r="BP23" s="133">
        <f t="shared" si="255"/>
        <v>0.44726985620032395</v>
      </c>
      <c r="BQ23" s="143">
        <f t="shared" si="271"/>
        <v>0.92964290373762914</v>
      </c>
      <c r="BR23" s="133">
        <f t="shared" si="272"/>
        <v>0.11724306772915841</v>
      </c>
      <c r="BS23" s="143">
        <f t="shared" si="256"/>
        <v>9.506207287873103</v>
      </c>
      <c r="BT23" s="133">
        <f t="shared" si="257"/>
        <v>0.12811772514207528</v>
      </c>
      <c r="BU23" s="147">
        <f t="shared" si="258"/>
        <v>0.67152711296504874</v>
      </c>
      <c r="BV23" s="147">
        <f t="shared" si="21"/>
        <v>0.15321787870029341</v>
      </c>
      <c r="BX23" s="147">
        <f t="shared" si="22"/>
        <v>0.66302933382548013</v>
      </c>
      <c r="BY23" s="147">
        <f t="shared" si="23"/>
        <v>0.15321880373621874</v>
      </c>
      <c r="BZ23" s="143">
        <f t="shared" si="24"/>
        <v>9.3799598286933232</v>
      </c>
      <c r="CA23" s="147">
        <f t="shared" si="25"/>
        <v>1.7688762271935284E-2</v>
      </c>
      <c r="CB23" s="143">
        <f t="shared" si="26"/>
        <v>14.161388675426082</v>
      </c>
      <c r="CC23" s="143">
        <f t="shared" si="27"/>
        <v>45.278365673947789</v>
      </c>
      <c r="CD23" s="3">
        <v>1.5903158759700325E-12</v>
      </c>
      <c r="CE23" s="3">
        <v>4.0102150310807229E-15</v>
      </c>
      <c r="CF23" s="157">
        <f t="shared" si="28"/>
        <v>1.0544260758164955E-12</v>
      </c>
      <c r="CG23" s="157">
        <f t="shared" si="29"/>
        <v>2.4368080257148292E-13</v>
      </c>
      <c r="CH23" s="157">
        <f t="shared" si="30"/>
        <v>6.4916139196917619E-10</v>
      </c>
      <c r="CI23" s="158">
        <f t="shared" si="31"/>
        <v>3.2499321628264897E-11</v>
      </c>
      <c r="CJ23" s="157">
        <f t="shared" si="32"/>
        <v>1.4917099031532139E-11</v>
      </c>
      <c r="CK23" s="477">
        <f t="shared" si="33"/>
        <v>4.6971001120182514E-14</v>
      </c>
      <c r="CL23" s="157">
        <f t="shared" si="34"/>
        <v>1.4784258687968323E-12</v>
      </c>
      <c r="CM23" s="157">
        <f t="shared" si="35"/>
        <v>1.8649077889201679E-13</v>
      </c>
      <c r="CN23" s="157">
        <f t="shared" si="36"/>
        <v>3.3410398664008676E-10</v>
      </c>
      <c r="CO23" s="157">
        <f t="shared" si="37"/>
        <v>1.1026066451947369E-12</v>
      </c>
      <c r="CP23" s="157">
        <f t="shared" si="38"/>
        <v>6.6552709563495022E-16</v>
      </c>
      <c r="CQ23" s="157">
        <f t="shared" si="39"/>
        <v>2.0956135250429674E-18</v>
      </c>
      <c r="CR23" s="157">
        <f t="shared" si="40"/>
        <v>1.4906065542543828E-14</v>
      </c>
      <c r="CS23" s="157">
        <f t="shared" si="41"/>
        <v>4.9192849627508E-17</v>
      </c>
      <c r="CT23" s="66">
        <v>4.6415697482769403E-3</v>
      </c>
      <c r="CU23" s="66">
        <v>8.8270588249523457E-6</v>
      </c>
      <c r="CV23" s="3">
        <v>1.1611559367069784E+19</v>
      </c>
      <c r="CW23" s="60">
        <v>1.040942599512031E+18</v>
      </c>
      <c r="CX23" s="3">
        <v>8.6527210079182822E+17</v>
      </c>
      <c r="CY23" s="3">
        <v>8.9278178143800032E+16</v>
      </c>
      <c r="CZ23" s="6">
        <v>0.49865169925804054</v>
      </c>
      <c r="DA23" s="6">
        <v>2.7936431740382541E-2</v>
      </c>
      <c r="DB23" s="4">
        <v>24.337069265073254</v>
      </c>
      <c r="DC23" s="4">
        <v>0.74264427477540718</v>
      </c>
      <c r="DD23" s="157">
        <f t="shared" si="42"/>
        <v>1.1711572970544157E-9</v>
      </c>
      <c r="DE23" s="157">
        <f t="shared" si="43"/>
        <v>1.4813575499434186E-10</v>
      </c>
      <c r="DF23" s="147">
        <f t="shared" si="44"/>
        <v>51.449729603845689</v>
      </c>
      <c r="DG23" s="147">
        <f t="shared" si="45"/>
        <v>6.5127861012331731</v>
      </c>
      <c r="DH23" s="159">
        <f t="shared" si="46"/>
        <v>5.144972960384569E-3</v>
      </c>
      <c r="DI23" s="167">
        <f t="shared" si="47"/>
        <v>6.5127861012331735E-4</v>
      </c>
      <c r="DJ23" s="157">
        <f t="shared" si="48"/>
        <v>5.3547186194079322E-10</v>
      </c>
      <c r="DK23" s="157">
        <f t="shared" si="49"/>
        <v>1.7170895728418689E-11</v>
      </c>
      <c r="DL23" s="147">
        <f t="shared" si="50"/>
        <v>21.330431372344883</v>
      </c>
      <c r="DM23" s="133">
        <f t="shared" si="51"/>
        <v>0.6922646443127668</v>
      </c>
      <c r="DN23" s="159">
        <f t="shared" si="52"/>
        <v>2.1330431372344884E-3</v>
      </c>
      <c r="DO23" s="167">
        <f t="shared" si="53"/>
        <v>6.9226464431276685E-5</v>
      </c>
      <c r="DP23" s="157">
        <f t="shared" si="54"/>
        <v>1.0060074963434311E-6</v>
      </c>
      <c r="DQ23" s="157">
        <f t="shared" si="55"/>
        <v>7.6166503710000784E-8</v>
      </c>
      <c r="DR23" s="143">
        <f t="shared" si="56"/>
        <v>45304.247700499684</v>
      </c>
      <c r="DS23" s="143">
        <f t="shared" si="57"/>
        <v>3437.5346467349441</v>
      </c>
      <c r="DT23" s="147">
        <f t="shared" si="58"/>
        <v>4.5304247700499687</v>
      </c>
      <c r="DU23" s="147">
        <f t="shared" si="59"/>
        <v>0.34375346467349444</v>
      </c>
      <c r="DV23" s="133">
        <f t="shared" si="60"/>
        <v>2.1871500265384811</v>
      </c>
      <c r="DW23" s="133">
        <f t="shared" si="61"/>
        <v>0.27767354756679252</v>
      </c>
      <c r="DX23" s="133">
        <f t="shared" si="62"/>
        <v>1.1641635885530279E-3</v>
      </c>
      <c r="DY23" s="133">
        <f t="shared" si="63"/>
        <v>5.879507535861259E-3</v>
      </c>
      <c r="DZ23" s="133">
        <f t="shared" si="64"/>
        <v>2.4120341827943892</v>
      </c>
      <c r="EA23" s="133">
        <f t="shared" si="65"/>
        <v>0.30638166502150543</v>
      </c>
      <c r="EB23" s="133">
        <f t="shared" si="66"/>
        <v>1.1356491325928853E-3</v>
      </c>
      <c r="EC23" s="133">
        <f t="shared" si="67"/>
        <v>5.9010229845034559E-3</v>
      </c>
      <c r="ED23" s="157">
        <f t="shared" si="68"/>
        <v>2.783725271486251E-5</v>
      </c>
      <c r="EE23" s="157">
        <f t="shared" si="69"/>
        <v>8.9736790025291673E-7</v>
      </c>
      <c r="EF23" s="147">
        <f t="shared" si="70"/>
        <v>15.233148791315699</v>
      </c>
      <c r="EG23" s="147">
        <f t="shared" si="71"/>
        <v>48.742990819051677</v>
      </c>
      <c r="EH23" s="157">
        <f t="shared" si="72"/>
        <v>1.2727637508671258E-5</v>
      </c>
      <c r="EI23" s="157">
        <f t="shared" si="73"/>
        <v>1.6104240120339458E-6</v>
      </c>
      <c r="EJ23" s="143">
        <f t="shared" si="74"/>
        <v>123.113214330487</v>
      </c>
      <c r="EK23" s="143">
        <f t="shared" si="75"/>
        <v>382.06964418776772</v>
      </c>
      <c r="EL23" s="143">
        <f t="shared" si="76"/>
        <v>382.06971166694836</v>
      </c>
      <c r="EM23" s="133">
        <f t="shared" si="77"/>
        <v>123.113214330487</v>
      </c>
      <c r="EN23" s="133">
        <f t="shared" si="78"/>
        <v>382.06964418776772</v>
      </c>
      <c r="EO23" s="133">
        <f t="shared" si="79"/>
        <v>382.06971166694836</v>
      </c>
      <c r="EP23" s="501">
        <f>CL23/$CL$17</f>
        <v>0.69965650640250532</v>
      </c>
      <c r="EQ23" s="143">
        <f t="shared" si="292"/>
        <v>123.113214330487</v>
      </c>
      <c r="ER23" s="143">
        <f t="shared" si="292"/>
        <v>382.06964418776772</v>
      </c>
      <c r="ES23" s="147">
        <f t="shared" si="81"/>
        <v>1.4021142901383696</v>
      </c>
      <c r="ET23" s="147">
        <f t="shared" si="82"/>
        <v>0.32402697743918191</v>
      </c>
      <c r="EU23" s="143">
        <f t="shared" si="83"/>
        <v>316.8586156041078</v>
      </c>
      <c r="EV23" s="143">
        <f t="shared" si="84"/>
        <v>73.225656575849072</v>
      </c>
      <c r="EW23" s="157">
        <f t="shared" si="85"/>
        <v>4.4250470749080447E-3</v>
      </c>
      <c r="EX23" s="157">
        <f t="shared" si="86"/>
        <v>5.5814981097394422E-4</v>
      </c>
      <c r="EY23" s="157">
        <f t="shared" si="87"/>
        <v>3.1559817241940758E-3</v>
      </c>
      <c r="EZ23" s="157">
        <f t="shared" si="88"/>
        <v>7.2934369625673328E-4</v>
      </c>
      <c r="FA23" s="66">
        <v>0.41803899999999999</v>
      </c>
      <c r="FB23" s="66">
        <v>2.4480000000000001E-3</v>
      </c>
      <c r="FC23" s="66">
        <v>0.12293800000000001</v>
      </c>
      <c r="FD23" s="66">
        <v>2.209E-3</v>
      </c>
      <c r="FE23" s="66">
        <v>2.7591999999999998E-2</v>
      </c>
      <c r="FF23" s="66">
        <v>1.0939999999999999E-3</v>
      </c>
      <c r="FI23" s="66">
        <v>4.6849999999999999E-3</v>
      </c>
      <c r="FJ23" s="66">
        <v>8.9400000000000005E-4</v>
      </c>
      <c r="FK23" s="66">
        <v>2.9819999999999998E-3</v>
      </c>
      <c r="FL23" s="66">
        <v>7.1599999999999995E-4</v>
      </c>
      <c r="FM23" s="66">
        <v>5.189E-3</v>
      </c>
      <c r="FN23" s="66">
        <v>6.0800000000000003E-4</v>
      </c>
      <c r="FQ23" s="159">
        <f t="shared" si="89"/>
        <v>0.413354</v>
      </c>
      <c r="FR23" s="159">
        <f t="shared" si="90"/>
        <v>2.6061350694083375E-3</v>
      </c>
      <c r="FS23" s="159">
        <f t="shared" si="91"/>
        <v>0.11995600000000001</v>
      </c>
      <c r="FT23" s="159">
        <f t="shared" si="92"/>
        <v>3.123997759282167E-3</v>
      </c>
      <c r="FU23" s="159">
        <f t="shared" si="93"/>
        <v>2.2402999999999999E-2</v>
      </c>
      <c r="FV23" s="159">
        <f t="shared" si="94"/>
        <v>1.2515989773086266E-3</v>
      </c>
      <c r="FW23" s="159">
        <f t="shared" si="95"/>
        <v>0</v>
      </c>
      <c r="FX23" s="159">
        <f t="shared" si="96"/>
        <v>0</v>
      </c>
      <c r="FY23" s="159">
        <f t="shared" si="97"/>
        <v>2.1620060590799368E-2</v>
      </c>
      <c r="FZ23" s="159">
        <f t="shared" si="98"/>
        <v>2.7448862710088167E-3</v>
      </c>
      <c r="GA23" s="159">
        <f t="shared" si="99"/>
        <v>0.41249784560060432</v>
      </c>
      <c r="GB23" s="159">
        <f t="shared" si="100"/>
        <v>2.6084008790270012E-3</v>
      </c>
      <c r="GC23" s="159">
        <f t="shared" si="101"/>
        <v>0.11558442374854037</v>
      </c>
      <c r="GD23" s="159">
        <f t="shared" si="102"/>
        <v>3.1729173901464702E-3</v>
      </c>
      <c r="GE23" s="159">
        <f t="shared" si="103"/>
        <v>-6.5984424923119676E-3</v>
      </c>
      <c r="GF23" s="159">
        <f t="shared" si="104"/>
        <v>8.3773928991189093E-4</v>
      </c>
      <c r="GG23" s="3">
        <v>1.7782159136499011E-12</v>
      </c>
      <c r="GH23" s="3">
        <v>7.5535622364420377E-15</v>
      </c>
      <c r="GI23" s="6">
        <v>1</v>
      </c>
      <c r="GJ23" s="6">
        <v>5.0000000000000001E-3</v>
      </c>
      <c r="GK23" s="157">
        <f t="shared" si="105"/>
        <v>7.3351023339329444E-13</v>
      </c>
      <c r="GL23" s="157">
        <f t="shared" si="106"/>
        <v>6.6837970544054923E-15</v>
      </c>
      <c r="GM23" s="157">
        <f t="shared" si="107"/>
        <v>2.0553406167970806E-13</v>
      </c>
      <c r="GN23" s="157">
        <f t="shared" si="108"/>
        <v>5.8010361513542596E-15</v>
      </c>
      <c r="GO23" s="157">
        <f t="shared" si="109"/>
        <v>3.8445135796634519E-14</v>
      </c>
      <c r="GP23" s="157">
        <f t="shared" si="110"/>
        <v>4.8875132475596894E-15</v>
      </c>
      <c r="GQ23" s="157">
        <f t="shared" si="111"/>
        <v>-1.1733455445132856E-14</v>
      </c>
      <c r="GR23" s="157">
        <f t="shared" si="112"/>
        <v>-1.4916690431552174E-15</v>
      </c>
      <c r="GS23" s="157">
        <f t="shared" si="113"/>
        <v>3.2725594582220425E-17</v>
      </c>
      <c r="GT23" s="157">
        <f t="shared" si="114"/>
        <v>2.9819792984146122E-19</v>
      </c>
      <c r="GU23" s="157">
        <f t="shared" si="115"/>
        <v>9.1699121145876867E-18</v>
      </c>
      <c r="GV23" s="157">
        <f t="shared" si="116"/>
        <v>2.5881350885573488E-19</v>
      </c>
      <c r="GW23" s="157">
        <f t="shared" si="117"/>
        <v>1.7152315952277655E-18</v>
      </c>
      <c r="GX23" s="157">
        <f t="shared" si="118"/>
        <v>2.1805664021428049E-19</v>
      </c>
      <c r="GY23" s="147">
        <f t="shared" si="119"/>
        <v>3.5688013334566064</v>
      </c>
      <c r="GZ23" s="147">
        <f t="shared" si="120"/>
        <v>3.3315775809763186E-2</v>
      </c>
      <c r="HA23" s="4">
        <v>26.169770272470501</v>
      </c>
      <c r="HB23" s="4">
        <v>0.31897682079735301</v>
      </c>
      <c r="HC23" s="228">
        <f t="shared" si="121"/>
        <v>532.20396528207039</v>
      </c>
      <c r="HD23" s="228">
        <f t="shared" si="122"/>
        <v>8.2707723561113653</v>
      </c>
      <c r="HE23" s="239">
        <f t="shared" si="123"/>
        <v>4.4641935780071718E-13</v>
      </c>
      <c r="HF23" s="229">
        <f t="shared" si="124"/>
        <v>1.5907778447313003E-14</v>
      </c>
      <c r="HG23" s="362">
        <f t="shared" si="125"/>
        <v>40.079429624391587</v>
      </c>
      <c r="HH23" s="362">
        <f t="shared" si="126"/>
        <v>1.442187607068893</v>
      </c>
      <c r="HI23" s="4">
        <v>7.5091582159801398</v>
      </c>
      <c r="HJ23" s="4">
        <v>0.114829942558394</v>
      </c>
      <c r="HK23" s="228">
        <f t="shared" si="127"/>
        <v>544.99412815466167</v>
      </c>
      <c r="HL23" s="228">
        <f t="shared" si="128"/>
        <v>17.5786225511639</v>
      </c>
      <c r="HM23" s="239">
        <f t="shared" si="129"/>
        <v>4.3594259117007127E-13</v>
      </c>
      <c r="HN23" s="229">
        <f t="shared" si="130"/>
        <v>1.5534447677729941E-14</v>
      </c>
      <c r="HO23" s="362">
        <f t="shared" si="131"/>
        <v>39.13882787062176</v>
      </c>
      <c r="HP23" s="362">
        <f t="shared" si="132"/>
        <v>1.7908520632904585</v>
      </c>
      <c r="HQ23" s="6">
        <v>1.11613116912226</v>
      </c>
      <c r="HR23" s="6">
        <v>3.5153924948669403E-2</v>
      </c>
      <c r="HS23" s="6">
        <f t="shared" si="133"/>
        <v>44.785844706158528</v>
      </c>
      <c r="HT23" s="6">
        <f t="shared" si="134"/>
        <v>4.2862725987327783</v>
      </c>
      <c r="HU23" s="6">
        <v>1.11613116912226</v>
      </c>
      <c r="HV23" s="6">
        <v>3.5153924948669403E-2</v>
      </c>
      <c r="HW23" s="6">
        <f t="shared" si="135"/>
        <v>54.587210100541441</v>
      </c>
      <c r="HX23" s="6">
        <f t="shared" si="136"/>
        <v>5.4624936980151233</v>
      </c>
      <c r="HY23" s="3">
        <v>3.8150999999999997E-2</v>
      </c>
      <c r="HZ23" s="3">
        <v>1.774E-3</v>
      </c>
      <c r="IA23" s="3">
        <v>3.9119999999999997E-3</v>
      </c>
      <c r="IB23" s="3">
        <v>2.72E-4</v>
      </c>
      <c r="IC23" s="3">
        <v>6.1499999999999999E-4</v>
      </c>
      <c r="ID23" s="3">
        <v>1.92E-4</v>
      </c>
      <c r="IE23" s="3">
        <v>0.19439400000000001</v>
      </c>
      <c r="IF23" s="3">
        <v>2.7230000000000002E-3</v>
      </c>
      <c r="IG23" s="3">
        <v>6.7609999999999996E-3</v>
      </c>
      <c r="IH23" s="3">
        <v>5.3399999999999997E-4</v>
      </c>
      <c r="II23" s="3">
        <v>6.4619999999999999E-3</v>
      </c>
      <c r="IJ23" s="3">
        <v>4.3300000000000001E-4</v>
      </c>
      <c r="IK23" s="3">
        <v>7.6379999999999998E-3</v>
      </c>
      <c r="IL23" s="3">
        <v>3.2400000000000001E-4</v>
      </c>
      <c r="IM23" s="3">
        <v>3.8499999999999998E-4</v>
      </c>
      <c r="IN23" s="3">
        <v>3.3E-4</v>
      </c>
      <c r="IO23" s="3">
        <v>2.4600000000000002E-4</v>
      </c>
      <c r="IP23" s="3">
        <v>1.22E-4</v>
      </c>
      <c r="IQ23" s="3">
        <v>2.0599999999999999E-4</v>
      </c>
      <c r="IR23" s="3">
        <v>1.08E-4</v>
      </c>
      <c r="IS23" s="3">
        <v>8.2100000000000001E-4</v>
      </c>
      <c r="IT23" s="3">
        <v>3.0299999999999999E-4</v>
      </c>
      <c r="IU23" s="3">
        <v>4.2700000000000002E-4</v>
      </c>
      <c r="IV23" s="3">
        <v>1.4999999999999999E-4</v>
      </c>
      <c r="IW23" s="3">
        <v>2.7399999999999999E-4</v>
      </c>
      <c r="IX23" s="3">
        <v>1.06E-4</v>
      </c>
      <c r="IY23" s="3">
        <v>1.8000000000000001E-4</v>
      </c>
      <c r="IZ23" s="3">
        <v>8.1000000000000004E-5</v>
      </c>
      <c r="JA23" s="157">
        <f t="shared" si="137"/>
        <v>3.7765999999999994E-2</v>
      </c>
      <c r="JB23" s="157">
        <f t="shared" si="138"/>
        <v>1.804432320703661E-3</v>
      </c>
      <c r="JC23" s="157">
        <f t="shared" si="139"/>
        <v>3.6659999999999996E-3</v>
      </c>
      <c r="JD23" s="157">
        <f t="shared" si="140"/>
        <v>2.9810736320996838E-4</v>
      </c>
      <c r="JE23" s="157">
        <f t="shared" si="141"/>
        <v>4.0899999999999997E-4</v>
      </c>
      <c r="JF23" s="157">
        <f t="shared" si="142"/>
        <v>2.2029071700822983E-4</v>
      </c>
      <c r="JG23" s="157">
        <f t="shared" si="143"/>
        <v>0.19357300000000002</v>
      </c>
      <c r="JH23" s="157">
        <f t="shared" si="144"/>
        <v>2.7398061975256573E-3</v>
      </c>
      <c r="JI23" s="157">
        <f t="shared" si="145"/>
        <v>6.3339999999999994E-3</v>
      </c>
      <c r="JJ23" s="157">
        <f t="shared" si="146"/>
        <v>5.5466746794813912E-4</v>
      </c>
      <c r="JK23" s="157">
        <f t="shared" si="147"/>
        <v>6.1879999999999999E-3</v>
      </c>
      <c r="JL23" s="157">
        <f t="shared" si="148"/>
        <v>4.4578582301369797E-4</v>
      </c>
      <c r="JM23" s="157">
        <f t="shared" si="149"/>
        <v>7.4580000000000002E-3</v>
      </c>
      <c r="JN23" s="157">
        <f t="shared" si="150"/>
        <v>3.3397155567503053E-4</v>
      </c>
      <c r="JO23" s="157">
        <f t="shared" si="151"/>
        <v>3.7573116248264996E-2</v>
      </c>
      <c r="JP23" s="157">
        <f t="shared" si="152"/>
        <v>1.8074205025382997E-3</v>
      </c>
      <c r="JQ23" s="157">
        <f t="shared" si="153"/>
        <v>1.0104715984979996E-3</v>
      </c>
      <c r="JR23" s="157">
        <f t="shared" si="154"/>
        <v>1.4610253267537262E-3</v>
      </c>
      <c r="JS23" s="157">
        <f t="shared" si="155"/>
        <v>0.19144155350069403</v>
      </c>
      <c r="JT23" s="157">
        <f t="shared" si="156"/>
        <v>2.9706017900796213E-3</v>
      </c>
      <c r="JU23" s="157">
        <f t="shared" si="157"/>
        <v>3.6325468956649996E-3</v>
      </c>
      <c r="JV23" s="157">
        <f t="shared" si="158"/>
        <v>1.5571616626803722E-3</v>
      </c>
      <c r="JW23" s="157">
        <f t="shared" si="159"/>
        <v>5.1352437252020003E-3</v>
      </c>
      <c r="JX23" s="157">
        <f t="shared" si="160"/>
        <v>7.2127675623473236E-4</v>
      </c>
      <c r="JY23" s="157">
        <f t="shared" si="161"/>
        <v>6.5681413474570002E-3</v>
      </c>
      <c r="JZ23" s="157">
        <f t="shared" si="162"/>
        <v>5.8416709482081962E-4</v>
      </c>
      <c r="KA23" s="3">
        <v>1.7696448643015688E-12</v>
      </c>
      <c r="KB23" s="3">
        <v>3.8892524257744769E-14</v>
      </c>
      <c r="KC23" s="5">
        <v>1</v>
      </c>
      <c r="KD23" s="5">
        <v>0</v>
      </c>
      <c r="KE23" s="157">
        <f t="shared" si="163"/>
        <v>6.6491072204547971E-14</v>
      </c>
      <c r="KF23" s="157">
        <f t="shared" si="164"/>
        <v>3.5165025749916264E-15</v>
      </c>
      <c r="KG23" s="157">
        <f t="shared" si="165"/>
        <v>2.9665024061586243E-18</v>
      </c>
      <c r="KH23" s="157">
        <f t="shared" si="166"/>
        <v>1.5688893267522672E-19</v>
      </c>
      <c r="KI23" s="6">
        <v>1.2430056234832578</v>
      </c>
      <c r="KJ23" s="6">
        <v>0.11113867994607306</v>
      </c>
      <c r="KK23" s="157">
        <f t="shared" si="167"/>
        <v>3.5495434665561771E-14</v>
      </c>
      <c r="KL23" s="157">
        <f t="shared" si="260"/>
        <v>4.8759612480281572E-15</v>
      </c>
      <c r="KM23" s="494">
        <f t="shared" si="168"/>
        <v>5.0612700994559372</v>
      </c>
      <c r="KN23" s="494">
        <f>KM23*SQRT(I_moleerr/I_mole)^2+(MVerr/MV)^2+(Sample_Masserr/Sample_Mass)</f>
        <v>0.70026002719178493</v>
      </c>
      <c r="KO23" s="4">
        <v>20.162258156415799</v>
      </c>
      <c r="KP23" s="4">
        <v>0.66285498057307002</v>
      </c>
      <c r="KQ23" s="229">
        <f t="shared" si="170"/>
        <v>4523.3501528344887</v>
      </c>
      <c r="KR23" s="229">
        <f t="shared" si="171"/>
        <v>282.03971029135568</v>
      </c>
      <c r="KS23" s="364">
        <f t="shared" si="172"/>
        <v>4.7156268366662903</v>
      </c>
      <c r="KT23" s="364">
        <f t="shared" si="173"/>
        <v>0.33147364247411409</v>
      </c>
      <c r="KU23" s="147">
        <f t="shared" si="174"/>
        <v>0.18957456681729395</v>
      </c>
      <c r="KV23" s="147">
        <f t="shared" si="175"/>
        <v>2.9831224918589897E-3</v>
      </c>
      <c r="KW23" s="157">
        <f t="shared" si="176"/>
        <v>3.3547965857041883E-13</v>
      </c>
      <c r="KX23" s="157">
        <f t="shared" si="177"/>
        <v>9.0680855020150334E-15</v>
      </c>
      <c r="KY23" s="157">
        <f t="shared" si="178"/>
        <v>1.4967441212330904E-17</v>
      </c>
      <c r="KZ23" s="157">
        <f t="shared" si="179"/>
        <v>4.045730738770138E-19</v>
      </c>
      <c r="LA23" s="6">
        <v>1.2485542932379501</v>
      </c>
      <c r="LB23" s="6">
        <v>5.9627651953476503E-2</v>
      </c>
      <c r="LC23" s="157">
        <f t="shared" si="180"/>
        <v>1.2573790610265473E-10</v>
      </c>
      <c r="LD23" s="157">
        <f t="shared" si="181"/>
        <v>1.4334883805063257E-11</v>
      </c>
      <c r="LE23" s="159">
        <f t="shared" si="182"/>
        <v>19.401358911639626</v>
      </c>
      <c r="LF23" s="159">
        <f t="shared" si="183"/>
        <v>2.2168725711215966</v>
      </c>
      <c r="LG23" s="471"/>
      <c r="LH23" s="471"/>
      <c r="LM23" s="157">
        <f t="shared" si="184"/>
        <v>9.0875576852405767E-15</v>
      </c>
      <c r="LN23" s="157">
        <f t="shared" si="185"/>
        <v>1.2919348039698715E-15</v>
      </c>
      <c r="LO23" s="157">
        <f t="shared" si="186"/>
        <v>4.0544182618140321E-19</v>
      </c>
      <c r="LP23" s="157">
        <f t="shared" si="187"/>
        <v>5.763973384003342E-20</v>
      </c>
      <c r="LQ23" s="157">
        <f t="shared" si="188"/>
        <v>1.0320527832488126E-13</v>
      </c>
      <c r="LR23" s="157">
        <f t="shared" si="189"/>
        <v>1.7345721029242617E-14</v>
      </c>
      <c r="LS23" s="147">
        <f t="shared" si="190"/>
        <v>27.602067310020352</v>
      </c>
      <c r="LT23" s="147">
        <f t="shared" si="191"/>
        <v>4.6411345155747243</v>
      </c>
      <c r="LW23" s="214" t="str">
        <f t="shared" si="192"/>
        <v>45z1 crushed residue</v>
      </c>
      <c r="LX23" s="214" t="str">
        <f t="shared" si="193"/>
        <v>MN2022a</v>
      </c>
      <c r="LY23" s="212">
        <f t="shared" si="194"/>
        <v>51.449729603845689</v>
      </c>
      <c r="LZ23" s="212">
        <f t="shared" si="195"/>
        <v>6.5127861012331731</v>
      </c>
      <c r="MA23" s="212">
        <f t="shared" si="196"/>
        <v>21.330431372344883</v>
      </c>
      <c r="MB23" s="212">
        <f t="shared" si="197"/>
        <v>0.6922646443127668</v>
      </c>
      <c r="MC23" s="212">
        <f t="shared" si="198"/>
        <v>45304.247700499684</v>
      </c>
      <c r="MD23" s="212">
        <f t="shared" si="199"/>
        <v>3437.5346467349441</v>
      </c>
      <c r="ME23" s="212">
        <f t="shared" si="200"/>
        <v>44.785844706158528</v>
      </c>
      <c r="MF23" s="212">
        <f t="shared" si="201"/>
        <v>4.2862725987327783</v>
      </c>
      <c r="MG23" s="212">
        <f t="shared" si="202"/>
        <v>54.587210100541441</v>
      </c>
      <c r="MH23" s="212">
        <f t="shared" si="203"/>
        <v>5.4624936980151233</v>
      </c>
      <c r="MI23" s="212">
        <f t="shared" si="204"/>
        <v>40.079429624391587</v>
      </c>
      <c r="MJ23" s="212">
        <f t="shared" si="205"/>
        <v>1.442187607068893</v>
      </c>
      <c r="MK23" s="212">
        <f t="shared" si="206"/>
        <v>39.13882787062176</v>
      </c>
      <c r="ML23" s="212">
        <f t="shared" si="207"/>
        <v>1.7908520632904585</v>
      </c>
      <c r="MM23" s="212">
        <f t="shared" si="261"/>
        <v>5.0612700994559372</v>
      </c>
      <c r="MN23" s="212">
        <f t="shared" si="208"/>
        <v>0.70026002719178493</v>
      </c>
      <c r="MO23" s="212">
        <f t="shared" si="209"/>
        <v>4.7156268366662903</v>
      </c>
      <c r="MP23" s="212">
        <f t="shared" si="210"/>
        <v>0.33147364247411409</v>
      </c>
      <c r="MQ23" s="211"/>
      <c r="MR23" s="211"/>
      <c r="MS23" s="211"/>
      <c r="MT23" s="211"/>
      <c r="MU23" s="506">
        <f t="shared" si="273"/>
        <v>2.4120341827943892</v>
      </c>
      <c r="MV23" s="506">
        <f t="shared" si="274"/>
        <v>0.30638166502150543</v>
      </c>
      <c r="MW23" s="109">
        <f>(Br79ppb_SC/10^3)/Cl_ppm</f>
        <v>1.8789788600503863E-3</v>
      </c>
      <c r="MX23" s="109">
        <f t="shared" si="212"/>
        <v>9.1049588754054368E-5</v>
      </c>
      <c r="MY23" s="109">
        <f t="shared" si="213"/>
        <v>1.8348821543930727E-3</v>
      </c>
      <c r="MZ23" s="109">
        <f t="shared" si="214"/>
        <v>1.02932334115098E-4</v>
      </c>
      <c r="NA23" s="513">
        <f t="shared" si="215"/>
        <v>2.3727931287962251E-4</v>
      </c>
      <c r="NB23" s="513">
        <f t="shared" si="216"/>
        <v>3.3720242624168703E-5</v>
      </c>
      <c r="NC23" s="506">
        <f t="shared" si="275"/>
        <v>2.1871500265384811</v>
      </c>
      <c r="ND23" s="506">
        <f t="shared" si="276"/>
        <v>0.27767354756679252</v>
      </c>
      <c r="NE23" s="109">
        <f t="shared" si="217"/>
        <v>8.3369340114845748E-4</v>
      </c>
      <c r="NF23" s="109">
        <f t="shared" si="218"/>
        <v>3.9965805618937366E-5</v>
      </c>
      <c r="NG23" s="513">
        <f t="shared" si="219"/>
        <v>8.1412791624571514E-4</v>
      </c>
      <c r="NH23" s="513">
        <f t="shared" si="220"/>
        <v>3.9027870443504673E-5</v>
      </c>
      <c r="NI23" s="109">
        <f t="shared" si="221"/>
        <v>6.6288157379493863E-5</v>
      </c>
      <c r="NJ23" s="109">
        <f t="shared" si="221"/>
        <v>9.4203439938297925E-6</v>
      </c>
      <c r="NK23" s="621">
        <f t="shared" si="222"/>
        <v>1.1847483997938153E-9</v>
      </c>
      <c r="NL23" s="621">
        <f t="shared" si="223"/>
        <v>2.7386272832604693E-10</v>
      </c>
      <c r="NM23" s="621">
        <f t="shared" si="224"/>
        <v>1.6611526615694746E-9</v>
      </c>
      <c r="NN23" s="621">
        <f t="shared" si="225"/>
        <v>2.0970474849224578E-10</v>
      </c>
      <c r="NO23" s="621">
        <f t="shared" si="226"/>
        <v>3.7539773779785033E-7</v>
      </c>
      <c r="NP23" s="621">
        <f t="shared" si="227"/>
        <v>2.2489819439983779E-9</v>
      </c>
      <c r="NQ23" s="621">
        <f t="shared" si="228"/>
        <v>2.5304585658777897E-8</v>
      </c>
      <c r="NR23" s="621">
        <f t="shared" si="229"/>
        <v>8.090675754011845E-8</v>
      </c>
      <c r="NS23" s="621">
        <f t="shared" si="230"/>
        <v>3.5581535362517384E-7</v>
      </c>
      <c r="NT23" s="621">
        <f t="shared" si="231"/>
        <v>2.7636683094567466E-9</v>
      </c>
      <c r="NU23" s="621">
        <f t="shared" si="232"/>
        <v>4.3196781793971372E-11</v>
      </c>
      <c r="NV23" s="621">
        <f t="shared" si="233"/>
        <v>5.4958335961633328E-12</v>
      </c>
      <c r="NW23" s="621">
        <f t="shared" si="234"/>
        <v>8.1324129157229398E-13</v>
      </c>
      <c r="NX23" s="621">
        <f t="shared" si="235"/>
        <v>4.3840171127133933E-13</v>
      </c>
      <c r="NY23" s="621">
        <f t="shared" si="236"/>
        <v>1.2594304011782177E-11</v>
      </c>
      <c r="NZ23" s="621">
        <f t="shared" si="237"/>
        <v>1.1388269450222651E-12</v>
      </c>
      <c r="OA23" s="622">
        <f t="shared" si="262"/>
        <v>316.8586156041078</v>
      </c>
      <c r="OB23" s="622">
        <f t="shared" si="238"/>
        <v>73.225656575849072</v>
      </c>
      <c r="OC23" s="622">
        <f t="shared" si="239"/>
        <v>300.32988749940262</v>
      </c>
      <c r="OD23" s="622">
        <f t="shared" si="263"/>
        <v>69.462495625700342</v>
      </c>
      <c r="OE23" s="621">
        <f t="shared" si="264"/>
        <v>3.6460721788262401E-2</v>
      </c>
      <c r="OF23" s="621">
        <f t="shared" si="265"/>
        <v>9.6169549661558502E-3</v>
      </c>
      <c r="OG23" s="621">
        <f t="shared" si="266"/>
        <v>6.8642531335245895E-4</v>
      </c>
      <c r="OH23" s="621">
        <f t="shared" si="267"/>
        <v>4.0262236100618035E-4</v>
      </c>
      <c r="OI23" s="621">
        <f t="shared" si="268"/>
        <v>1.0630361698715098E-2</v>
      </c>
      <c r="OJ23" s="621">
        <f t="shared" si="269"/>
        <v>2.6386003459648514E-3</v>
      </c>
      <c r="OK23" s="621">
        <f t="shared" si="240"/>
        <v>4.4250470749080447E-3</v>
      </c>
      <c r="OL23" s="621">
        <f t="shared" si="241"/>
        <v>5.5814981097394422E-4</v>
      </c>
      <c r="OM23" s="621">
        <f t="shared" si="242"/>
        <v>3.1559817241940758E-3</v>
      </c>
      <c r="ON23" s="621">
        <f t="shared" si="243"/>
        <v>7.2934369625673328E-4</v>
      </c>
      <c r="OO23" s="621">
        <f t="shared" si="244"/>
        <v>1.4021142901383696</v>
      </c>
      <c r="OP23" s="621">
        <f t="shared" si="245"/>
        <v>0.32402697743918191</v>
      </c>
      <c r="OQ23" s="621">
        <f t="shared" si="246"/>
        <v>4.6415697482769403E-3</v>
      </c>
      <c r="OR23" s="621">
        <f t="shared" si="247"/>
        <v>8.8270588249523457E-6</v>
      </c>
    </row>
    <row r="24" spans="2:408" s="594" customFormat="1" ht="17.399999999999999">
      <c r="B24" s="574" t="s">
        <v>1002</v>
      </c>
      <c r="C24" s="575"/>
      <c r="D24" s="576"/>
      <c r="E24" s="577"/>
      <c r="F24" s="575" t="s">
        <v>210</v>
      </c>
      <c r="G24" s="575" t="s">
        <v>893</v>
      </c>
      <c r="H24" s="575">
        <v>2</v>
      </c>
      <c r="I24" s="575"/>
      <c r="J24" s="578">
        <v>44644</v>
      </c>
      <c r="K24" s="577"/>
      <c r="L24" s="575"/>
      <c r="M24" s="575"/>
      <c r="N24" s="575"/>
      <c r="O24" s="579"/>
      <c r="P24" s="579"/>
      <c r="Q24" s="579"/>
      <c r="R24" s="579"/>
      <c r="S24" s="579"/>
      <c r="T24" s="579"/>
      <c r="U24" s="579"/>
      <c r="V24" s="579"/>
      <c r="W24" s="579"/>
      <c r="X24" s="579"/>
      <c r="Y24" s="579"/>
      <c r="Z24" s="579"/>
      <c r="AA24" s="579"/>
      <c r="AB24" s="579"/>
      <c r="AC24" s="579"/>
      <c r="AD24" s="579"/>
      <c r="AE24" s="579"/>
      <c r="AF24" s="579"/>
      <c r="AG24" s="579"/>
      <c r="AH24" s="579"/>
      <c r="AI24" s="580"/>
      <c r="AJ24" s="580"/>
      <c r="AK24" s="580"/>
      <c r="AL24" s="580"/>
      <c r="AM24" s="580"/>
      <c r="AN24" s="580"/>
      <c r="AO24" s="580"/>
      <c r="AP24" s="580"/>
      <c r="AQ24" s="580"/>
      <c r="AR24" s="580"/>
      <c r="AS24" s="581"/>
      <c r="AT24" s="581"/>
      <c r="AU24" s="582"/>
      <c r="AV24" s="582"/>
      <c r="AW24" s="582"/>
      <c r="AX24" s="582"/>
      <c r="AY24" s="582"/>
      <c r="AZ24" s="582"/>
      <c r="BA24" s="582"/>
      <c r="BB24" s="582"/>
      <c r="BC24" s="579"/>
      <c r="BD24" s="583"/>
      <c r="BE24" s="580"/>
      <c r="BF24" s="580"/>
      <c r="BG24" s="580"/>
      <c r="BH24" s="580"/>
      <c r="BI24" s="586"/>
      <c r="BJ24" s="586"/>
      <c r="BK24" s="582"/>
      <c r="BL24" s="582"/>
      <c r="BM24" s="582"/>
      <c r="BN24" s="582"/>
      <c r="BO24" s="584"/>
      <c r="BP24" s="582"/>
      <c r="BQ24" s="584"/>
      <c r="BR24" s="582"/>
      <c r="BS24" s="584"/>
      <c r="BT24" s="582"/>
      <c r="BU24" s="580"/>
      <c r="BV24" s="580"/>
      <c r="BW24" s="575"/>
      <c r="BX24" s="580"/>
      <c r="BY24" s="580"/>
      <c r="BZ24" s="584"/>
      <c r="CA24" s="580"/>
      <c r="CB24" s="584"/>
      <c r="CC24" s="584"/>
      <c r="CD24" s="585"/>
      <c r="CE24" s="585"/>
      <c r="CF24" s="586"/>
      <c r="CG24" s="586"/>
      <c r="CH24" s="586"/>
      <c r="CI24" s="587"/>
      <c r="CJ24" s="586"/>
      <c r="CK24" s="588"/>
      <c r="CL24" s="586"/>
      <c r="CM24" s="586"/>
      <c r="CN24" s="586"/>
      <c r="CO24" s="586"/>
      <c r="CP24" s="586"/>
      <c r="CQ24" s="586"/>
      <c r="CR24" s="586"/>
      <c r="CS24" s="586"/>
      <c r="CT24" s="576"/>
      <c r="CU24" s="576"/>
      <c r="CV24" s="585"/>
      <c r="CW24" s="589"/>
      <c r="CX24" s="585"/>
      <c r="CY24" s="585"/>
      <c r="CZ24" s="579"/>
      <c r="DA24" s="579"/>
      <c r="DB24" s="581"/>
      <c r="DC24" s="581"/>
      <c r="DD24" s="586"/>
      <c r="DE24" s="586"/>
      <c r="DF24" s="580"/>
      <c r="DG24" s="580"/>
      <c r="DH24" s="590"/>
      <c r="DI24" s="591"/>
      <c r="DJ24" s="586"/>
      <c r="DK24" s="586"/>
      <c r="DL24" s="580"/>
      <c r="DM24" s="582"/>
      <c r="DN24" s="590"/>
      <c r="DO24" s="591"/>
      <c r="DP24" s="586"/>
      <c r="DQ24" s="586"/>
      <c r="DR24" s="584"/>
      <c r="DS24" s="584"/>
      <c r="DT24" s="580"/>
      <c r="DU24" s="580"/>
      <c r="DV24" s="582"/>
      <c r="DW24" s="582"/>
      <c r="DX24" s="582"/>
      <c r="DY24" s="582"/>
      <c r="DZ24" s="582"/>
      <c r="EA24" s="582"/>
      <c r="EB24" s="582"/>
      <c r="EC24" s="582"/>
      <c r="ED24" s="586"/>
      <c r="EE24" s="586"/>
      <c r="EF24" s="580"/>
      <c r="EG24" s="580"/>
      <c r="EH24" s="586"/>
      <c r="EI24" s="586"/>
      <c r="EJ24" s="584"/>
      <c r="EK24" s="584"/>
      <c r="EL24" s="584"/>
      <c r="EM24" s="582"/>
      <c r="EN24" s="582"/>
      <c r="EO24" s="582"/>
      <c r="EP24" s="592"/>
      <c r="EQ24" s="584"/>
      <c r="ER24" s="584"/>
      <c r="ES24" s="580"/>
      <c r="ET24" s="580"/>
      <c r="EU24" s="584"/>
      <c r="EV24" s="584"/>
      <c r="EW24" s="586"/>
      <c r="EX24" s="586"/>
      <c r="EY24" s="586"/>
      <c r="EZ24" s="586"/>
      <c r="FA24" s="576"/>
      <c r="FB24" s="576"/>
      <c r="FC24" s="576"/>
      <c r="FD24" s="576"/>
      <c r="FE24" s="576"/>
      <c r="FF24" s="576"/>
      <c r="FG24" s="575"/>
      <c r="FH24" s="575"/>
      <c r="FI24" s="576"/>
      <c r="FJ24" s="576"/>
      <c r="FK24" s="576"/>
      <c r="FL24" s="576"/>
      <c r="FM24" s="576"/>
      <c r="FN24" s="576"/>
      <c r="FO24" s="575"/>
      <c r="FP24" s="575"/>
      <c r="FQ24" s="590"/>
      <c r="FR24" s="590"/>
      <c r="FS24" s="590"/>
      <c r="FT24" s="590"/>
      <c r="FU24" s="590"/>
      <c r="FV24" s="590"/>
      <c r="FW24" s="590"/>
      <c r="FX24" s="590"/>
      <c r="FY24" s="590"/>
      <c r="FZ24" s="590"/>
      <c r="GA24" s="590"/>
      <c r="GB24" s="590"/>
      <c r="GC24" s="590"/>
      <c r="GD24" s="590"/>
      <c r="GE24" s="590"/>
      <c r="GF24" s="590"/>
      <c r="GG24" s="585"/>
      <c r="GH24" s="585"/>
      <c r="GI24" s="579"/>
      <c r="GJ24" s="579"/>
      <c r="GK24" s="586"/>
      <c r="GL24" s="586"/>
      <c r="GM24" s="586"/>
      <c r="GN24" s="586"/>
      <c r="GO24" s="586"/>
      <c r="GP24" s="586"/>
      <c r="GQ24" s="586"/>
      <c r="GR24" s="586"/>
      <c r="GS24" s="586"/>
      <c r="GT24" s="586"/>
      <c r="GU24" s="586"/>
      <c r="GV24" s="586"/>
      <c r="GW24" s="586"/>
      <c r="GX24" s="586"/>
      <c r="GY24" s="580"/>
      <c r="GZ24" s="580"/>
      <c r="HA24" s="581"/>
      <c r="HB24" s="581"/>
      <c r="HC24" s="613"/>
      <c r="HD24" s="613"/>
      <c r="HE24" s="614"/>
      <c r="HF24" s="615"/>
      <c r="HG24" s="616"/>
      <c r="HH24" s="616"/>
      <c r="HI24" s="581"/>
      <c r="HJ24" s="581"/>
      <c r="HK24" s="613"/>
      <c r="HL24" s="613"/>
      <c r="HM24" s="614"/>
      <c r="HN24" s="615"/>
      <c r="HO24" s="616"/>
      <c r="HP24" s="616"/>
      <c r="HQ24" s="579"/>
      <c r="HR24" s="579"/>
      <c r="HS24" s="579"/>
      <c r="HT24" s="579"/>
      <c r="HU24" s="579"/>
      <c r="HV24" s="579"/>
      <c r="HW24" s="579"/>
      <c r="HX24" s="579"/>
      <c r="HY24" s="585"/>
      <c r="HZ24" s="585"/>
      <c r="IA24" s="585"/>
      <c r="IB24" s="585"/>
      <c r="IC24" s="585"/>
      <c r="ID24" s="585"/>
      <c r="IE24" s="585"/>
      <c r="IF24" s="585"/>
      <c r="IG24" s="585"/>
      <c r="IH24" s="585"/>
      <c r="II24" s="585"/>
      <c r="IJ24" s="585"/>
      <c r="IK24" s="585"/>
      <c r="IL24" s="585"/>
      <c r="IM24" s="585"/>
      <c r="IN24" s="585"/>
      <c r="IO24" s="585"/>
      <c r="IP24" s="585"/>
      <c r="IQ24" s="585"/>
      <c r="IR24" s="585"/>
      <c r="IS24" s="585"/>
      <c r="IT24" s="585"/>
      <c r="IU24" s="585"/>
      <c r="IV24" s="585"/>
      <c r="IW24" s="585"/>
      <c r="IX24" s="585"/>
      <c r="IY24" s="585"/>
      <c r="IZ24" s="585"/>
      <c r="JA24" s="586"/>
      <c r="JB24" s="586"/>
      <c r="JC24" s="586"/>
      <c r="JD24" s="586"/>
      <c r="JE24" s="586"/>
      <c r="JF24" s="586"/>
      <c r="JG24" s="586"/>
      <c r="JH24" s="586"/>
      <c r="JI24" s="586"/>
      <c r="JJ24" s="586"/>
      <c r="JK24" s="586"/>
      <c r="JL24" s="586"/>
      <c r="JM24" s="586"/>
      <c r="JN24" s="586"/>
      <c r="JO24" s="586"/>
      <c r="JP24" s="586"/>
      <c r="JQ24" s="586"/>
      <c r="JR24" s="586"/>
      <c r="JS24" s="586"/>
      <c r="JT24" s="586"/>
      <c r="JU24" s="586"/>
      <c r="JV24" s="586"/>
      <c r="JW24" s="586"/>
      <c r="JX24" s="586"/>
      <c r="JY24" s="586"/>
      <c r="JZ24" s="586"/>
      <c r="KA24" s="585"/>
      <c r="KB24" s="585"/>
      <c r="KC24" s="575"/>
      <c r="KD24" s="575"/>
      <c r="KE24" s="586"/>
      <c r="KF24" s="586"/>
      <c r="KG24" s="586"/>
      <c r="KH24" s="586"/>
      <c r="KI24" s="579"/>
      <c r="KJ24" s="579"/>
      <c r="KK24" s="586"/>
      <c r="KL24" s="586"/>
      <c r="KM24" s="590"/>
      <c r="KN24" s="590"/>
      <c r="KO24" s="581"/>
      <c r="KP24" s="581"/>
      <c r="KQ24" s="615"/>
      <c r="KR24" s="615"/>
      <c r="KS24" s="590"/>
      <c r="KT24" s="590"/>
      <c r="KU24" s="580"/>
      <c r="KV24" s="580"/>
      <c r="KW24" s="586"/>
      <c r="KX24" s="586"/>
      <c r="KY24" s="586"/>
      <c r="KZ24" s="586"/>
      <c r="LA24" s="579"/>
      <c r="LB24" s="579"/>
      <c r="LC24" s="586"/>
      <c r="LD24" s="586"/>
      <c r="LE24" s="590"/>
      <c r="LF24" s="590"/>
      <c r="LG24" s="593"/>
      <c r="LH24" s="593"/>
      <c r="LI24" s="620"/>
      <c r="LJ24" s="620"/>
      <c r="LK24" s="620"/>
      <c r="LL24" s="620"/>
      <c r="LM24" s="586"/>
      <c r="LN24" s="586"/>
      <c r="LO24" s="586"/>
      <c r="LP24" s="586"/>
      <c r="LQ24" s="586"/>
      <c r="LR24" s="586"/>
      <c r="LS24" s="580"/>
      <c r="LT24" s="580"/>
      <c r="LW24" s="595" t="str">
        <f t="shared" si="192"/>
        <v>45z1 total</v>
      </c>
      <c r="LX24" s="595" t="str">
        <f t="shared" si="193"/>
        <v>MN2022a</v>
      </c>
      <c r="LY24" s="596">
        <f>SUM(LY21:LY23)</f>
        <v>51.932679564186422</v>
      </c>
      <c r="LZ24" s="596">
        <f>SQRT(SUMPRODUCT(LZ21:LZ23,LZ21:LZ23))</f>
        <v>6.5228931449936489</v>
      </c>
      <c r="MA24" s="596">
        <f>SUM(MA21:MA23)</f>
        <v>22.060143322458138</v>
      </c>
      <c r="MB24" s="596">
        <f>SQRT(SUMPRODUCT(MB21:MB23,MB21:MB23))</f>
        <v>0.69248846083491422</v>
      </c>
      <c r="MC24" s="596">
        <f>SUM(MC21:MC23)</f>
        <v>45304.247700499684</v>
      </c>
      <c r="MD24" s="596">
        <f>SQRT(SUMPRODUCT(MD21:MD23,MD21:MD23))</f>
        <v>3437.5346467349441</v>
      </c>
      <c r="ME24" s="596">
        <f>SUM(ME21:ME23)</f>
        <v>47.100418789254618</v>
      </c>
      <c r="MF24" s="596">
        <f>SQRT(SUMPRODUCT(MF21:MF23,MF21:MF23))</f>
        <v>4.2896024627622689</v>
      </c>
      <c r="MG24" s="596">
        <f>SUM(MG21:MG23)</f>
        <v>57.800130950025299</v>
      </c>
      <c r="MH24" s="596">
        <f>SQRT(SUMPRODUCT(MH21:MH23,MH21:MH23))</f>
        <v>5.4711775602489405</v>
      </c>
      <c r="MI24" s="596">
        <f>SUM(MI21:MI23)</f>
        <v>42.150502002546908</v>
      </c>
      <c r="MJ24" s="596">
        <f>SQRT(SUMPRODUCT(MJ21:MJ23,MJ21:MJ23))</f>
        <v>1.4438469075990086</v>
      </c>
      <c r="MK24" s="596">
        <f>SUM(MK21:MK23)</f>
        <v>41.442180185721803</v>
      </c>
      <c r="ML24" s="596">
        <f>SQRT(SUMPRODUCT(ML21:ML23,ML21:ML23))</f>
        <v>1.7983147928811445</v>
      </c>
      <c r="MM24" s="596">
        <f>SUM(MM21:MM23)</f>
        <v>5.3657350390132619</v>
      </c>
      <c r="MN24" s="596">
        <f>SQRT(SUMPRODUCT(MN21:MN23,MN21:MN23))</f>
        <v>0.70121669566142253</v>
      </c>
      <c r="MO24" s="596">
        <f>SUM(MO21:MO23)</f>
        <v>4.9992623671782557</v>
      </c>
      <c r="MP24" s="596">
        <f>SQRT(SUMPRODUCT(MP21:MP23,MP21:MP23))</f>
        <v>0.33173001259790247</v>
      </c>
      <c r="MQ24" s="597"/>
      <c r="MR24" s="597"/>
      <c r="MS24" s="597"/>
      <c r="MT24" s="597"/>
      <c r="MU24" s="598">
        <f>LY24/MA24</f>
        <v>2.3541406238878242</v>
      </c>
      <c r="MV24" s="598">
        <f>MU24*SQRT((LZ24/LY24)^2 + (MB24/MA24)^2)</f>
        <v>0.30478139014358663</v>
      </c>
      <c r="MW24" s="599">
        <f>(MI24/1000)/MA24</f>
        <v>1.9107084385818994E-3</v>
      </c>
      <c r="MX24" s="599">
        <f>MW24*SQRT((MJ24/MI24)^2 + (MB24/MA24)^2)</f>
        <v>8.8776323814981467E-5</v>
      </c>
      <c r="MY24" s="599">
        <f>(MK24/1000)/MA24</f>
        <v>1.8785997706339446E-3</v>
      </c>
      <c r="MZ24" s="599">
        <f>MY24*SQRT((ML24/MK24)^2 + (MB24/MA24)^2)</f>
        <v>1.0061253090196262E-4</v>
      </c>
      <c r="NA24" s="599">
        <f>(MM24/1000)/MA24</f>
        <v>2.4323210237490715E-4</v>
      </c>
      <c r="NB24" s="599">
        <f>NA24*SQRT((MN24/MM24)^2 + (MB24/MA24)^2)</f>
        <v>3.2690743935218367E-5</v>
      </c>
      <c r="NC24" s="598">
        <f>MU24*$NC$4/NC$3</f>
        <v>2.1346541291742871</v>
      </c>
      <c r="ND24" s="598">
        <f>MV24*$NC$4/ND$3</f>
        <v>0.27636533109522865</v>
      </c>
      <c r="NE24" s="599">
        <f>MW24*$NC$4/NE$3</f>
        <v>8.4777165439832902E-4</v>
      </c>
      <c r="NF24" s="599">
        <f>MX24*$NC$4/NF$3</f>
        <v>3.9389605128811302E-5</v>
      </c>
      <c r="NG24" s="599">
        <f t="shared" ref="NG24:NH24" si="293">MY24*$NC$4/NG$3</f>
        <v>8.3352520109487946E-4</v>
      </c>
      <c r="NH24" s="599">
        <f t="shared" si="293"/>
        <v>4.4641270250141183E-5</v>
      </c>
      <c r="NI24" s="599">
        <f t="shared" si="221"/>
        <v>6.7951174024820271E-5</v>
      </c>
      <c r="NJ24" s="599">
        <f t="shared" si="221"/>
        <v>9.1327353932867509E-6</v>
      </c>
      <c r="NK24" s="625">
        <f>SUM(NK21:NK23)</f>
        <v>3.3953687659720735E-9</v>
      </c>
      <c r="NL24" s="625">
        <f>SQRT(NL21^2 + NL22^2 + NL23^2)</f>
        <v>2.7427790702906865E-10</v>
      </c>
      <c r="NM24" s="625">
        <f>SUM(NM21:NM23)</f>
        <v>1.6767476535721302E-9</v>
      </c>
      <c r="NN24" s="625">
        <f>SQRT(NN21^2 + NN22^2 + NN23^2)</f>
        <v>2.1003201707116485E-10</v>
      </c>
      <c r="NO24" s="625">
        <f>SUM(NO21:NO23)</f>
        <v>1.0304310315658982E-6</v>
      </c>
      <c r="NP24" s="625">
        <f>SQRT(NP21^2 + NP22^2 + NP23^2)</f>
        <v>3.8788072704498347E-9</v>
      </c>
      <c r="NQ24" s="625">
        <f>SUM(NQ21:NQ23)</f>
        <v>2.7099561221150443E-8</v>
      </c>
      <c r="NR24" s="625">
        <f>SQRT(NR21^2 + NR22^2 + NR23^2)</f>
        <v>8.0993119617002606E-8</v>
      </c>
      <c r="NS24" s="625">
        <f>SUM(NS21:NS23)</f>
        <v>1.0106648308458387E-6</v>
      </c>
      <c r="NT24" s="625">
        <f>SQRT(NT21^2 + NT22^2 + NT23^2)</f>
        <v>3.4814466685146178E-9</v>
      </c>
      <c r="NU24" s="625">
        <f>SUM(NU21:NU23)</f>
        <v>9.6770624290441806E-11</v>
      </c>
      <c r="NV24" s="625">
        <f>SQRT(NV21^2 + NV22^2 + NV23^2)</f>
        <v>6.6855434622099647E-12</v>
      </c>
      <c r="NW24" s="625">
        <f>SUM(NW21:NW23)</f>
        <v>1.1792547579994769E-12</v>
      </c>
      <c r="NX24" s="625">
        <f>SQRT(NX21^2 + NX22^2 + NX23^2)</f>
        <v>4.4051545500065741E-13</v>
      </c>
      <c r="NY24" s="625">
        <f>SUM(NY21:NY23)</f>
        <v>1.5235793822635186E-11</v>
      </c>
      <c r="NZ24" s="625">
        <f>SQRT(NZ21^2 + NZ22^2 + NZ23^2)</f>
        <v>1.1429289341042082E-12</v>
      </c>
      <c r="OA24" s="626">
        <f>NO24/NK24</f>
        <v>303.48133077406453</v>
      </c>
      <c r="OB24" s="626">
        <f>OA24*SQRT((NP24/NO24)^2+(NL24/NK24)^2)</f>
        <v>24.541825934899709</v>
      </c>
      <c r="OC24" s="626">
        <f t="shared" si="239"/>
        <v>297.65981267619145</v>
      </c>
      <c r="OD24" s="626">
        <f t="shared" si="263"/>
        <v>24.066813408233006</v>
      </c>
      <c r="OE24" s="625">
        <f t="shared" si="264"/>
        <v>2.8500770007742284E-2</v>
      </c>
      <c r="OF24" s="625">
        <f>OE24*SQRT((NV24/NU24)^2 + (NL24/NK24)^2)</f>
        <v>3.0294526582669234E-3</v>
      </c>
      <c r="OG24" s="625">
        <f t="shared" si="266"/>
        <v>3.4731271896525898E-4</v>
      </c>
      <c r="OH24" s="625">
        <f t="shared" si="267"/>
        <v>1.327389401120252E-4</v>
      </c>
      <c r="OI24" s="625">
        <f t="shared" si="268"/>
        <v>4.487228007551418E-3</v>
      </c>
      <c r="OJ24" s="625">
        <f t="shared" si="269"/>
        <v>4.9467116218036118E-4</v>
      </c>
      <c r="OK24" s="625"/>
      <c r="OL24" s="625"/>
      <c r="OM24" s="625"/>
      <c r="ON24" s="625"/>
      <c r="OO24" s="625"/>
      <c r="OP24" s="625"/>
      <c r="OQ24" s="625"/>
      <c r="OR24" s="625"/>
    </row>
    <row r="25" spans="2:408" s="547" customFormat="1" ht="17.399999999999999">
      <c r="B25" s="548" t="s">
        <v>1003</v>
      </c>
      <c r="C25" s="546">
        <v>9.8999999999999999E-4</v>
      </c>
      <c r="D25" s="549">
        <f t="shared" ref="D25" si="294">C25*0.5%</f>
        <v>4.95E-6</v>
      </c>
      <c r="E25" s="550">
        <v>45112</v>
      </c>
      <c r="F25" s="546" t="s">
        <v>210</v>
      </c>
      <c r="G25" s="546" t="s">
        <v>893</v>
      </c>
      <c r="H25" s="546">
        <v>2</v>
      </c>
      <c r="I25" s="546"/>
      <c r="J25" s="551">
        <v>44644</v>
      </c>
      <c r="K25" s="550" t="s">
        <v>823</v>
      </c>
      <c r="L25" s="546" t="s">
        <v>949</v>
      </c>
      <c r="M25" s="546" t="s">
        <v>952</v>
      </c>
      <c r="N25" s="546">
        <v>180</v>
      </c>
      <c r="O25" s="552">
        <v>994.03799100000003</v>
      </c>
      <c r="P25" s="552">
        <v>2.2337750000000001</v>
      </c>
      <c r="Q25" s="552">
        <v>15.964407</v>
      </c>
      <c r="R25" s="552">
        <v>7.0923E-2</v>
      </c>
      <c r="S25" s="552">
        <v>3.9648650000000001</v>
      </c>
      <c r="T25" s="552">
        <v>9.5200000000000007E-2</v>
      </c>
      <c r="U25" s="552">
        <v>9.3914999999999998E-2</v>
      </c>
      <c r="V25" s="552">
        <v>3.8161E-2</v>
      </c>
      <c r="W25" s="552">
        <v>2.4606949999999999</v>
      </c>
      <c r="X25" s="552">
        <v>5.0368999999999997E-2</v>
      </c>
      <c r="Y25" s="552">
        <v>67.399073000000001</v>
      </c>
      <c r="Z25" s="552">
        <v>0.191688</v>
      </c>
      <c r="AA25" s="552">
        <v>7.6344999999999996E-2</v>
      </c>
      <c r="AB25" s="552">
        <v>6.9444000000000006E-2</v>
      </c>
      <c r="AC25" s="552">
        <v>0.166958</v>
      </c>
      <c r="AD25" s="552">
        <v>9.4793000000000002E-2</v>
      </c>
      <c r="AE25" s="552">
        <v>2.8189999999999999E-3</v>
      </c>
      <c r="AF25" s="552">
        <v>2.4625999999999999E-2</v>
      </c>
      <c r="AG25" s="552">
        <v>0.30279200000000001</v>
      </c>
      <c r="AH25" s="552">
        <v>0.117852</v>
      </c>
      <c r="AI25" s="553">
        <f t="shared" si="1"/>
        <v>926.63891799999999</v>
      </c>
      <c r="AJ25" s="553">
        <f t="shared" si="2"/>
        <v>2.2419846208145588</v>
      </c>
      <c r="AK25" s="553">
        <f t="shared" si="3"/>
        <v>15.888062</v>
      </c>
      <c r="AL25" s="553">
        <f t="shared" si="4"/>
        <v>9.9259967081396921E-2</v>
      </c>
      <c r="AM25" s="553">
        <f t="shared" si="5"/>
        <v>3.7979069999999999</v>
      </c>
      <c r="AN25" s="553">
        <f t="shared" si="6"/>
        <v>0.13434564692985032</v>
      </c>
      <c r="AO25" s="553">
        <f t="shared" si="7"/>
        <v>9.1095999999999996E-2</v>
      </c>
      <c r="AP25" s="553">
        <f t="shared" si="8"/>
        <v>4.5416976968970534E-2</v>
      </c>
      <c r="AQ25" s="553">
        <f t="shared" si="9"/>
        <v>2.1579029999999997</v>
      </c>
      <c r="AR25" s="553">
        <f t="shared" si="10"/>
        <v>0.12816446490739936</v>
      </c>
      <c r="AS25" s="554">
        <v>304.12046242532097</v>
      </c>
      <c r="AT25" s="554">
        <v>0.91447361557367624</v>
      </c>
      <c r="AU25" s="555">
        <f t="shared" si="11"/>
        <v>16.003935469951074</v>
      </c>
      <c r="AV25" s="555">
        <f t="shared" si="12"/>
        <v>9.9263292781543444E-2</v>
      </c>
      <c r="AW25" s="555">
        <f t="shared" si="13"/>
        <v>3.8533041482036601</v>
      </c>
      <c r="AX25" s="555">
        <f t="shared" si="14"/>
        <v>0.13434924873249349</v>
      </c>
      <c r="AY25" s="555">
        <f t="shared" si="15"/>
        <v>9.3089120926642233E-2</v>
      </c>
      <c r="AZ25" s="555">
        <f t="shared" si="16"/>
        <v>4.5419124301622753E-2</v>
      </c>
      <c r="BA25" s="555">
        <f t="shared" si="17"/>
        <v>2.2208543425684848</v>
      </c>
      <c r="BB25" s="555">
        <f t="shared" si="18"/>
        <v>0.12816788316583264</v>
      </c>
      <c r="BC25" s="552"/>
      <c r="BD25" s="556"/>
      <c r="BE25" s="553">
        <v>0.872</v>
      </c>
      <c r="BF25" s="553">
        <f t="shared" si="249"/>
        <v>4.36E-2</v>
      </c>
      <c r="BG25" s="553">
        <f t="shared" si="250"/>
        <v>0.62321034855396296</v>
      </c>
      <c r="BH25" s="553">
        <f t="shared" si="251"/>
        <v>3.116051742769815E-2</v>
      </c>
      <c r="BI25" s="559">
        <f>BG25/100*Sample_Mass/MW_Ca</f>
        <v>1.539366878913232E-7</v>
      </c>
      <c r="BJ25" s="559">
        <f t="shared" si="252"/>
        <v>7.6968343945661607E-9</v>
      </c>
      <c r="BK25" s="555">
        <f>BI25*J*alpha/Ca_Constant/Ar_Sensitivity</f>
        <v>58.83123848749927</v>
      </c>
      <c r="BL25" s="555">
        <f t="shared" si="253"/>
        <v>2.9415619243749638</v>
      </c>
      <c r="BM25" s="555"/>
      <c r="BN25" s="555"/>
      <c r="BO25" s="557">
        <f t="shared" si="254"/>
        <v>924.55495300267944</v>
      </c>
      <c r="BP25" s="555">
        <f t="shared" si="255"/>
        <v>2.2420218804309129</v>
      </c>
      <c r="BQ25" s="557">
        <f t="shared" si="271"/>
        <v>16.003935469951074</v>
      </c>
      <c r="BR25" s="555">
        <f t="shared" si="272"/>
        <v>9.9263292781543444E-2</v>
      </c>
      <c r="BS25" s="557">
        <f t="shared" si="256"/>
        <v>3.8533041482036601</v>
      </c>
      <c r="BT25" s="555">
        <f t="shared" si="257"/>
        <v>0.13434924873249349</v>
      </c>
      <c r="BU25" s="553">
        <f t="shared" si="258"/>
        <v>2.2003322918167592</v>
      </c>
      <c r="BV25" s="553">
        <f t="shared" si="21"/>
        <v>0.1281719905503077</v>
      </c>
      <c r="BW25" s="546"/>
      <c r="BX25" s="553">
        <f>IF(Rad_Type="Continuous", BU25-((EXP(lambda_36Ar*(Run_Date-Rad_Date))-1)*Cl3638_PR*BZ25),BU25*Ar36_DecayFactor)</f>
        <v>2.1972161478514081</v>
      </c>
      <c r="BY25" s="553">
        <f>IF(K:K="Continuous", SQRT(BV25^2+(((EXP(lambda_36Ar*(Run_Date-Rad_Date))-1)*Cl3638_PR)*CA25^2)), Ar36_ICerr*Ar36_DecayFactor)</f>
        <v>0.1281728414810222</v>
      </c>
      <c r="BZ25" s="557">
        <f>IF(Rad_Type="Continuous", BS25-(Ar3836_Air*BU25)/(1-lambda_36Ar*(Run_Date-Rad_Date)),Ar38_IC-(Ar3836_Air*Ar36_IC)/Ar36_DecayFactor)</f>
        <v>3.4396404913982721</v>
      </c>
      <c r="CA25" s="553">
        <f>IF(Rad_Type ="Continuous", SQRT(BT25^2*(((EXP(lambda_36Ar*(Run_Date-Rad_Date))-1*Ar3836_Air)*BV25^2))),SQRT(Ar38_ICerr^2*(((EXP(lambda_36Ar*(Ar36_DecayFactor))-1*Ar3836_Air)*Ar36_ICerr^2))))</f>
        <v>1.5516978294863489E-2</v>
      </c>
      <c r="CB25" s="557">
        <f t="shared" si="26"/>
        <v>275.27758131258838</v>
      </c>
      <c r="CC25" s="557">
        <f t="shared" si="27"/>
        <v>37.941375073055674</v>
      </c>
      <c r="CD25" s="558">
        <v>1.5903158759700325E-12</v>
      </c>
      <c r="CE25" s="558">
        <v>4.0102150310807229E-15</v>
      </c>
      <c r="CF25" s="559">
        <f t="shared" si="28"/>
        <v>3.4942677228658123E-12</v>
      </c>
      <c r="CG25" s="559">
        <f t="shared" si="29"/>
        <v>2.04025661627048E-13</v>
      </c>
      <c r="CH25" s="559">
        <f t="shared" si="30"/>
        <v>9.3560252569649291E-11</v>
      </c>
      <c r="CI25" s="560">
        <f t="shared" si="31"/>
        <v>4.6839580688235165E-12</v>
      </c>
      <c r="CJ25" s="559">
        <f t="shared" si="32"/>
        <v>5.4701148811000361E-12</v>
      </c>
      <c r="CK25" s="561">
        <f t="shared" si="33"/>
        <v>2.8270397000801256E-14</v>
      </c>
      <c r="CL25" s="559">
        <f t="shared" si="34"/>
        <v>2.5451312655863118E-11</v>
      </c>
      <c r="CM25" s="559">
        <f t="shared" si="35"/>
        <v>1.7040759719993931E-13</v>
      </c>
      <c r="CN25" s="559">
        <f t="shared" si="36"/>
        <v>1.4703344199668884E-9</v>
      </c>
      <c r="CO25" s="559">
        <f t="shared" si="37"/>
        <v>5.1439020006057473E-12</v>
      </c>
      <c r="CP25" s="559">
        <f t="shared" si="38"/>
        <v>2.4404944030421912E-16</v>
      </c>
      <c r="CQ25" s="559">
        <f t="shared" si="39"/>
        <v>1.2612851390943743E-18</v>
      </c>
      <c r="CR25" s="559">
        <f t="shared" si="40"/>
        <v>6.5599041346054241E-14</v>
      </c>
      <c r="CS25" s="559">
        <f t="shared" si="41"/>
        <v>2.2949543999833295E-16</v>
      </c>
      <c r="CT25" s="549">
        <v>4.371823925853429E-3</v>
      </c>
      <c r="CU25" s="549">
        <v>8.8046670435703146E-6</v>
      </c>
      <c r="CV25" s="558">
        <v>1.1611559367069784E+19</v>
      </c>
      <c r="CW25" s="562">
        <v>1.040942599512031E+18</v>
      </c>
      <c r="CX25" s="558">
        <v>8.6527210079182822E+17</v>
      </c>
      <c r="CY25" s="558">
        <v>8.9278178143800032E+16</v>
      </c>
      <c r="CZ25" s="552">
        <v>0.49865169925804054</v>
      </c>
      <c r="DA25" s="552">
        <v>2.7936431740382541E-2</v>
      </c>
      <c r="DB25" s="554">
        <v>24.337069265073254</v>
      </c>
      <c r="DC25" s="554">
        <v>0.74264427477540718</v>
      </c>
      <c r="DD25" s="559">
        <f t="shared" si="42"/>
        <v>2.1405633244278563E-8</v>
      </c>
      <c r="DE25" s="559">
        <f t="shared" si="43"/>
        <v>2.4637352357854723E-10</v>
      </c>
      <c r="DF25" s="553">
        <f t="shared" si="44"/>
        <v>845.37764674219852</v>
      </c>
      <c r="DG25" s="553">
        <f t="shared" si="45"/>
        <v>10.608542473850907</v>
      </c>
      <c r="DH25" s="563">
        <f t="shared" si="46"/>
        <v>8.4537764674219848E-2</v>
      </c>
      <c r="DI25" s="564">
        <f t="shared" si="47"/>
        <v>1.0608542473850907E-3</v>
      </c>
      <c r="DJ25" s="559">
        <f t="shared" si="48"/>
        <v>2.0847354294615637E-10</v>
      </c>
      <c r="DK25" s="559">
        <f t="shared" si="49"/>
        <v>6.7408788433301067E-12</v>
      </c>
      <c r="DL25" s="553">
        <f t="shared" si="50"/>
        <v>7.465669210171801</v>
      </c>
      <c r="DM25" s="555">
        <f t="shared" si="51"/>
        <v>0.24426742722767239</v>
      </c>
      <c r="DN25" s="563">
        <f t="shared" si="52"/>
        <v>7.4656692101718011E-4</v>
      </c>
      <c r="DO25" s="564">
        <f t="shared" si="53"/>
        <v>2.442674272276724E-5</v>
      </c>
      <c r="DP25" s="559">
        <f t="shared" si="54"/>
        <v>1.539366878913232E-7</v>
      </c>
      <c r="DQ25" s="559">
        <f t="shared" si="55"/>
        <v>1.1655249816394421E-8</v>
      </c>
      <c r="DR25" s="557">
        <f t="shared" si="56"/>
        <v>6232.1034855396292</v>
      </c>
      <c r="DS25" s="557">
        <f t="shared" si="57"/>
        <v>472.8891937783153</v>
      </c>
      <c r="DT25" s="553">
        <f t="shared" si="58"/>
        <v>0.62321034855396296</v>
      </c>
      <c r="DU25" s="553">
        <f t="shared" si="59"/>
        <v>4.7288919377831529E-2</v>
      </c>
      <c r="DV25" s="555">
        <f t="shared" si="60"/>
        <v>102.67793669054262</v>
      </c>
      <c r="DW25" s="555">
        <f t="shared" si="61"/>
        <v>1.1828430732834734</v>
      </c>
      <c r="DX25" s="555">
        <f t="shared" si="62"/>
        <v>0.13905478633781307</v>
      </c>
      <c r="DY25" s="555">
        <f t="shared" si="63"/>
        <v>7.3331818640435514E-3</v>
      </c>
      <c r="DZ25" s="555">
        <f t="shared" si="64"/>
        <v>113.23534742074979</v>
      </c>
      <c r="EA25" s="555">
        <f t="shared" si="65"/>
        <v>1.4220472809489169</v>
      </c>
      <c r="EB25" s="555">
        <f t="shared" si="66"/>
        <v>0.13564884612454384</v>
      </c>
      <c r="EC25" s="555">
        <f t="shared" si="67"/>
        <v>7.4599468259161058E-3</v>
      </c>
      <c r="ED25" s="559">
        <f t="shared" si="68"/>
        <v>3.1466362790695638E-4</v>
      </c>
      <c r="EE25" s="559">
        <f t="shared" si="69"/>
        <v>1.0233857385665268E-5</v>
      </c>
      <c r="EF25" s="553">
        <f t="shared" si="70"/>
        <v>17.200618049819589</v>
      </c>
      <c r="EG25" s="553">
        <f t="shared" si="71"/>
        <v>2.3731520676230806</v>
      </c>
      <c r="EH25" s="559">
        <f t="shared" si="72"/>
        <v>3.0645690598098973E-6</v>
      </c>
      <c r="EI25" s="559">
        <f t="shared" si="73"/>
        <v>3.6865834317761777E-8</v>
      </c>
      <c r="EJ25" s="557">
        <f t="shared" si="74"/>
        <v>130.65829138085286</v>
      </c>
      <c r="EK25" s="557">
        <f t="shared" si="75"/>
        <v>17.447586345750999</v>
      </c>
      <c r="EL25" s="557">
        <f t="shared" si="76"/>
        <v>17.449445090462969</v>
      </c>
      <c r="EM25" s="555">
        <f t="shared" si="77"/>
        <v>130.65829138085286</v>
      </c>
      <c r="EN25" s="555">
        <f t="shared" si="78"/>
        <v>17.447586345750999</v>
      </c>
      <c r="EO25" s="555">
        <f t="shared" si="79"/>
        <v>17.449445090462969</v>
      </c>
      <c r="EP25" s="565">
        <f t="shared" si="283"/>
        <v>12.044686765830765</v>
      </c>
      <c r="EQ25" s="557">
        <f t="shared" si="284"/>
        <v>130.65829138085286</v>
      </c>
      <c r="ER25" s="557">
        <f t="shared" si="285"/>
        <v>17.447586345750999</v>
      </c>
      <c r="ES25" s="553">
        <f t="shared" si="81"/>
        <v>7.2837328660636524</v>
      </c>
      <c r="ET25" s="553">
        <f t="shared" si="82"/>
        <v>0.42525768149678822</v>
      </c>
      <c r="EU25" s="557">
        <f t="shared" si="83"/>
        <v>420.78470700607863</v>
      </c>
      <c r="EV25" s="557">
        <f t="shared" si="84"/>
        <v>24.567338231806396</v>
      </c>
      <c r="EW25" s="559">
        <f t="shared" si="85"/>
        <v>1.7309880194762952E-2</v>
      </c>
      <c r="EX25" s="559">
        <f t="shared" si="86"/>
        <v>1.1527735644915822E-4</v>
      </c>
      <c r="EY25" s="559">
        <f t="shared" si="87"/>
        <v>2.3765122243037083E-3</v>
      </c>
      <c r="EZ25" s="559">
        <f t="shared" si="88"/>
        <v>1.3875166719319086E-4</v>
      </c>
      <c r="FA25" s="549">
        <v>0.191938</v>
      </c>
      <c r="FB25" s="549">
        <v>4.0210000000000003E-3</v>
      </c>
      <c r="FC25" s="549">
        <v>6.4836000000000005E-2</v>
      </c>
      <c r="FD25" s="549">
        <v>1.0369999999999999E-3</v>
      </c>
      <c r="FE25" s="549">
        <v>4.6785E-2</v>
      </c>
      <c r="FF25" s="549">
        <v>2.1320000000000002E-3</v>
      </c>
      <c r="FG25" s="546"/>
      <c r="FH25" s="546"/>
      <c r="FI25" s="549">
        <v>3.4919999999999999E-3</v>
      </c>
      <c r="FJ25" s="549">
        <v>1.3680000000000001E-3</v>
      </c>
      <c r="FK25" s="549">
        <v>2.0960000000000002E-3</v>
      </c>
      <c r="FL25" s="549">
        <v>6.3100000000000005E-4</v>
      </c>
      <c r="FM25" s="549">
        <v>4.542E-3</v>
      </c>
      <c r="FN25" s="549">
        <v>5.5699999999999999E-4</v>
      </c>
      <c r="FO25" s="546"/>
      <c r="FP25" s="546"/>
      <c r="FQ25" s="563">
        <f t="shared" si="89"/>
        <v>0.188446</v>
      </c>
      <c r="FR25" s="563">
        <f t="shared" si="90"/>
        <v>4.2473362240350128E-3</v>
      </c>
      <c r="FS25" s="563">
        <f t="shared" si="91"/>
        <v>6.2740000000000004E-2</v>
      </c>
      <c r="FT25" s="563">
        <f t="shared" si="92"/>
        <v>1.4665394641808994E-3</v>
      </c>
      <c r="FU25" s="563">
        <f t="shared" si="93"/>
        <v>4.2243000000000003E-2</v>
      </c>
      <c r="FV25" s="563">
        <f t="shared" si="94"/>
        <v>2.2035591664396038E-3</v>
      </c>
      <c r="FW25" s="563">
        <f t="shared" si="95"/>
        <v>0</v>
      </c>
      <c r="FX25" s="563">
        <f t="shared" si="96"/>
        <v>0</v>
      </c>
      <c r="FY25" s="563">
        <f t="shared" si="97"/>
        <v>4.177080706607357E-2</v>
      </c>
      <c r="FZ25" s="563">
        <f t="shared" si="98"/>
        <v>6.7419131038727216E-3</v>
      </c>
      <c r="GA25" s="563">
        <f t="shared" si="99"/>
        <v>0.18679187604018349</v>
      </c>
      <c r="GB25" s="563">
        <f t="shared" si="100"/>
        <v>4.2557188807144479E-3</v>
      </c>
      <c r="GC25" s="563">
        <f t="shared" si="101"/>
        <v>5.4293942811239927E-2</v>
      </c>
      <c r="GD25" s="563">
        <f t="shared" si="102"/>
        <v>2.0022718775555208E-3</v>
      </c>
      <c r="GE25" s="563">
        <f t="shared" si="103"/>
        <v>-1.2748450316565655E-2</v>
      </c>
      <c r="GF25" s="563">
        <f t="shared" si="104"/>
        <v>2.0576318793019549E-3</v>
      </c>
      <c r="GG25" s="558">
        <v>1.7782159136499011E-12</v>
      </c>
      <c r="GH25" s="558">
        <v>7.5535622364420377E-15</v>
      </c>
      <c r="GI25" s="552">
        <v>1</v>
      </c>
      <c r="GJ25" s="552">
        <v>5.0000000000000001E-3</v>
      </c>
      <c r="GK25" s="559">
        <f t="shared" si="105"/>
        <v>3.3215628651517398E-13</v>
      </c>
      <c r="GL25" s="559">
        <f t="shared" si="106"/>
        <v>7.8751083600883656E-15</v>
      </c>
      <c r="GM25" s="559">
        <f t="shared" si="107"/>
        <v>9.6546353121744484E-14</v>
      </c>
      <c r="GN25" s="559">
        <f t="shared" si="108"/>
        <v>3.6163768064079917E-15</v>
      </c>
      <c r="GO25" s="559">
        <f t="shared" si="109"/>
        <v>7.4277513850891764E-14</v>
      </c>
      <c r="GP25" s="559">
        <f t="shared" si="110"/>
        <v>1.199847753411392E-14</v>
      </c>
      <c r="GQ25" s="559">
        <f t="shared" si="111"/>
        <v>-2.2669497227292169E-14</v>
      </c>
      <c r="GR25" s="559">
        <f t="shared" si="112"/>
        <v>-3.6619353434115684E-15</v>
      </c>
      <c r="GS25" s="559">
        <f t="shared" si="113"/>
        <v>1.4819168807155735E-17</v>
      </c>
      <c r="GT25" s="559">
        <f t="shared" si="114"/>
        <v>3.5134834093342178E-19</v>
      </c>
      <c r="GU25" s="559">
        <f t="shared" si="115"/>
        <v>4.3074202196713138E-18</v>
      </c>
      <c r="GV25" s="559">
        <f t="shared" si="116"/>
        <v>1.613448263560686E-19</v>
      </c>
      <c r="GW25" s="559">
        <f t="shared" si="117"/>
        <v>3.313894877259619E-18</v>
      </c>
      <c r="GX25" s="559">
        <f t="shared" si="118"/>
        <v>5.353126562002408E-19</v>
      </c>
      <c r="GY25" s="553">
        <f t="shared" si="119"/>
        <v>3.4403814931914258</v>
      </c>
      <c r="GZ25" s="553">
        <f t="shared" si="120"/>
        <v>8.2971217761741586E-2</v>
      </c>
      <c r="HA25" s="554">
        <v>26.169770272470501</v>
      </c>
      <c r="HB25" s="554">
        <v>0.31897682079735301</v>
      </c>
      <c r="HC25" s="609">
        <f t="shared" si="121"/>
        <v>430.97678898174513</v>
      </c>
      <c r="HD25" s="609">
        <f t="shared" si="122"/>
        <v>11.703176830773545</v>
      </c>
      <c r="HE25" s="610">
        <f t="shared" si="123"/>
        <v>2.1462560682271002E-13</v>
      </c>
      <c r="HF25" s="611">
        <f t="shared" si="124"/>
        <v>9.0624665914241501E-15</v>
      </c>
      <c r="HG25" s="612">
        <f t="shared" si="125"/>
        <v>17.322671199557394</v>
      </c>
      <c r="HH25" s="612">
        <f t="shared" si="126"/>
        <v>0.73655204412571562</v>
      </c>
      <c r="HI25" s="554">
        <v>7.5091582159801398</v>
      </c>
      <c r="HJ25" s="554">
        <v>0.114829942558394</v>
      </c>
      <c r="HK25" s="609">
        <f t="shared" si="127"/>
        <v>425.45323332897902</v>
      </c>
      <c r="HL25" s="609">
        <f t="shared" si="128"/>
        <v>17.353134273428157</v>
      </c>
      <c r="HM25" s="610">
        <f t="shared" si="129"/>
        <v>2.1741203877556642E-13</v>
      </c>
      <c r="HN25" s="611">
        <f t="shared" si="130"/>
        <v>9.1801223868153166E-15</v>
      </c>
      <c r="HO25" s="612">
        <f t="shared" si="131"/>
        <v>17.547567218507936</v>
      </c>
      <c r="HP25" s="612">
        <f t="shared" si="132"/>
        <v>0.91754310074851908</v>
      </c>
      <c r="HQ25" s="552">
        <v>1.11613116912226</v>
      </c>
      <c r="HR25" s="552">
        <v>3.5153924948669403E-2</v>
      </c>
      <c r="HS25" s="552">
        <f t="shared" si="133"/>
        <v>18.231897946524263</v>
      </c>
      <c r="HT25" s="552">
        <f t="shared" si="134"/>
        <v>1.7899528474388406</v>
      </c>
      <c r="HU25" s="552">
        <v>1.11613116912226</v>
      </c>
      <c r="HV25" s="552">
        <v>3.5153924948669403E-2</v>
      </c>
      <c r="HW25" s="552">
        <f t="shared" si="135"/>
        <v>23.051425087318062</v>
      </c>
      <c r="HX25" s="552">
        <f t="shared" si="136"/>
        <v>2.3755586134172733</v>
      </c>
      <c r="HY25" s="558">
        <v>1.7825000000000001E-2</v>
      </c>
      <c r="HZ25" s="558">
        <v>7.3099999999999999E-4</v>
      </c>
      <c r="IA25" s="558">
        <v>3.787E-3</v>
      </c>
      <c r="IB25" s="558">
        <v>3.7199999999999999E-4</v>
      </c>
      <c r="IC25" s="558">
        <v>5.62E-4</v>
      </c>
      <c r="ID25" s="558">
        <v>1.1900000000000001E-4</v>
      </c>
      <c r="IE25" s="558">
        <v>0.10453800000000001</v>
      </c>
      <c r="IF25" s="558">
        <v>2.5609999999999999E-3</v>
      </c>
      <c r="IG25" s="558">
        <v>4.7939999999999997E-3</v>
      </c>
      <c r="IH25" s="558">
        <v>2.0000000000000001E-4</v>
      </c>
      <c r="II25" s="558">
        <v>4.0359999999999997E-3</v>
      </c>
      <c r="IJ25" s="558">
        <v>4.5199999999999998E-4</v>
      </c>
      <c r="IK25" s="558">
        <v>4.3909999999999999E-3</v>
      </c>
      <c r="IL25" s="558">
        <v>3.79E-4</v>
      </c>
      <c r="IM25" s="558">
        <v>4.84E-4</v>
      </c>
      <c r="IN25" s="558">
        <v>2.9300000000000002E-4</v>
      </c>
      <c r="IO25" s="558">
        <v>5.1699999999999999E-4</v>
      </c>
      <c r="IP25" s="558">
        <v>2.12E-4</v>
      </c>
      <c r="IQ25" s="558">
        <v>2.0100000000000001E-4</v>
      </c>
      <c r="IR25" s="558">
        <v>1.4100000000000001E-4</v>
      </c>
      <c r="IS25" s="558">
        <v>4.0200000000000001E-4</v>
      </c>
      <c r="IT25" s="558">
        <v>2.6699999999999998E-4</v>
      </c>
      <c r="IU25" s="558">
        <v>3.5199999999999999E-4</v>
      </c>
      <c r="IV25" s="558">
        <v>1.3999999999999999E-4</v>
      </c>
      <c r="IW25" s="558">
        <v>3.0400000000000002E-4</v>
      </c>
      <c r="IX25" s="558">
        <v>1.0900000000000001E-4</v>
      </c>
      <c r="IY25" s="558">
        <v>2.5900000000000001E-4</v>
      </c>
      <c r="IZ25" s="558">
        <v>9.6000000000000002E-5</v>
      </c>
      <c r="JA25" s="559">
        <f t="shared" si="137"/>
        <v>1.7341000000000002E-2</v>
      </c>
      <c r="JB25" s="559">
        <f t="shared" si="138"/>
        <v>7.8753412624469807E-4</v>
      </c>
      <c r="JC25" s="559">
        <f t="shared" si="139"/>
        <v>3.2699999999999999E-3</v>
      </c>
      <c r="JD25" s="559">
        <f t="shared" si="140"/>
        <v>4.2816819125198922E-4</v>
      </c>
      <c r="JE25" s="559">
        <f t="shared" si="141"/>
        <v>3.6099999999999999E-4</v>
      </c>
      <c r="JF25" s="559">
        <f t="shared" si="142"/>
        <v>1.845047424864738E-4</v>
      </c>
      <c r="JG25" s="559">
        <f t="shared" si="143"/>
        <v>0.10413600000000001</v>
      </c>
      <c r="JH25" s="559">
        <f t="shared" si="144"/>
        <v>2.5748805797551079E-3</v>
      </c>
      <c r="JI25" s="559">
        <f t="shared" si="145"/>
        <v>4.4419999999999998E-3</v>
      </c>
      <c r="JJ25" s="559">
        <f t="shared" si="146"/>
        <v>2.4413111231467405E-4</v>
      </c>
      <c r="JK25" s="559">
        <f t="shared" si="147"/>
        <v>3.7319999999999996E-3</v>
      </c>
      <c r="JL25" s="559">
        <f t="shared" si="148"/>
        <v>4.6495698725796129E-4</v>
      </c>
      <c r="JM25" s="559">
        <f t="shared" si="149"/>
        <v>4.1320000000000003E-3</v>
      </c>
      <c r="JN25" s="559">
        <f t="shared" si="150"/>
        <v>3.9096930825833375E-4</v>
      </c>
      <c r="JO25" s="559">
        <f>Xe128BC-(Xe130BC*Xe128130_Air)</f>
        <v>1.7170752972185004E-2</v>
      </c>
      <c r="JP25" s="559">
        <f>SQRT(Xe128BCerr^2+(Xe130BCerr*Xe128130_Air)^2)</f>
        <v>7.9232639311319726E-4</v>
      </c>
      <c r="JQ25" s="559">
        <f>Xe129BC-(Xe130BC*Xe129130_Air)</f>
        <v>9.2612285344199994E-4</v>
      </c>
      <c r="JR25" s="559">
        <f>SQRT(Xe129BCerr^2+(Xe130BCerr*Xe129130_Air)^2)</f>
        <v>1.272159176087495E-3</v>
      </c>
      <c r="JS25" s="559">
        <f>Xe131BC-(Xe130BC*Xe131130_Air)</f>
        <v>0.102254698811126</v>
      </c>
      <c r="JT25" s="559">
        <f>SQRT(Xe131BCerr^2+(Xe130BCerr*Xe131130_Air)^2)</f>
        <v>2.7485509193217045E-3</v>
      </c>
      <c r="JU25" s="559">
        <f>Xe132BC-(Xe130BC*Xe132130_Air)</f>
        <v>2.0575878467849998E-3</v>
      </c>
      <c r="JV25" s="559">
        <f>SQRT((Xe132BCerr^2+(Xe130BCerr*Xe132130_Air)^2))</f>
        <v>1.2428700872441276E-3</v>
      </c>
      <c r="JW25" s="559">
        <f>Xe134BC-(Xe130BC*Xe134130_Air)</f>
        <v>2.8027945838579997E-3</v>
      </c>
      <c r="JX25" s="559">
        <f>SQRT(Xe134BCerr^2+(Xe130BCerr*Xe134130_Air)^2)</f>
        <v>6.646241697073371E-4</v>
      </c>
      <c r="JY25" s="559">
        <f>Xe136BC-(Xe130BC*Xe136130_Air)</f>
        <v>3.3465746367530003E-3</v>
      </c>
      <c r="JZ25" s="559">
        <f>SQRT(Xe136BCerr^2+(Xe130BCerr*Xe136130_Air)^2)</f>
        <v>5.6035671850544798E-4</v>
      </c>
      <c r="KA25" s="558">
        <v>1.7696448643015688E-12</v>
      </c>
      <c r="KB25" s="558">
        <v>3.8892524257744769E-14</v>
      </c>
      <c r="KC25" s="546">
        <v>1</v>
      </c>
      <c r="KD25" s="546">
        <v>0</v>
      </c>
      <c r="KE25" s="559">
        <f t="shared" si="163"/>
        <v>3.0386134813418087E-14</v>
      </c>
      <c r="KF25" s="559">
        <f t="shared" si="164"/>
        <v>1.5530491734396404E-15</v>
      </c>
      <c r="KG25" s="559">
        <f t="shared" si="165"/>
        <v>1.3556788761138298E-18</v>
      </c>
      <c r="KH25" s="559">
        <f t="shared" si="166"/>
        <v>6.9289364082068005E-20</v>
      </c>
      <c r="KI25" s="552">
        <v>1.2430056234832578</v>
      </c>
      <c r="KJ25" s="552">
        <v>0.11113867994607306</v>
      </c>
      <c r="KK25" s="559">
        <f t="shared" si="167"/>
        <v>1.6221261400186294E-14</v>
      </c>
      <c r="KL25" s="559">
        <f t="shared" si="260"/>
        <v>2.2173590403049357E-15</v>
      </c>
      <c r="KM25" s="563">
        <f t="shared" si="168"/>
        <v>2.0793445124847896</v>
      </c>
      <c r="KN25" s="563">
        <f t="shared" si="281"/>
        <v>0.28923519225324318</v>
      </c>
      <c r="KO25" s="554">
        <v>20.162258156415799</v>
      </c>
      <c r="KP25" s="554">
        <v>0.66285498057307002</v>
      </c>
      <c r="KQ25" s="611">
        <f t="shared" si="170"/>
        <v>3629.6116322530165</v>
      </c>
      <c r="KR25" s="611">
        <f t="shared" si="171"/>
        <v>221.37125104810889</v>
      </c>
      <c r="KS25" s="617">
        <f t="shared" si="172"/>
        <v>2.0568782466507636</v>
      </c>
      <c r="KT25" s="617">
        <f t="shared" si="173"/>
        <v>0.14236122036543075</v>
      </c>
      <c r="KU25" s="553">
        <f t="shared" si="174"/>
        <v>0.10123570527461905</v>
      </c>
      <c r="KV25" s="553">
        <f t="shared" si="175"/>
        <v>2.7594638233804413E-3</v>
      </c>
      <c r="KW25" s="559">
        <f t="shared" si="176"/>
        <v>1.7915124592317683E-13</v>
      </c>
      <c r="KX25" s="559">
        <f t="shared" si="177"/>
        <v>6.272859176731706E-15</v>
      </c>
      <c r="KY25" s="559">
        <f t="shared" si="178"/>
        <v>7.9928415120529258E-18</v>
      </c>
      <c r="KZ25" s="559">
        <f t="shared" si="179"/>
        <v>2.798639159641785E-19</v>
      </c>
      <c r="LA25" s="552">
        <v>1.2485542932379501</v>
      </c>
      <c r="LB25" s="552">
        <v>5.9627651953476503E-2</v>
      </c>
      <c r="LC25" s="559">
        <f t="shared" si="180"/>
        <v>6.7145956431613797E-11</v>
      </c>
      <c r="LD25" s="559">
        <f t="shared" si="181"/>
        <v>7.7995608599103912E-12</v>
      </c>
      <c r="LE25" s="563">
        <f t="shared" si="182"/>
        <v>9.3140936958426561</v>
      </c>
      <c r="LF25" s="563">
        <f t="shared" si="183"/>
        <v>1.0869093880901488</v>
      </c>
      <c r="LG25" s="566"/>
      <c r="LH25" s="566"/>
      <c r="LI25" s="619"/>
      <c r="LJ25" s="619"/>
      <c r="LK25" s="619"/>
      <c r="LL25" s="619"/>
      <c r="LM25" s="559">
        <f t="shared" si="184"/>
        <v>4.9599510410165619E-15</v>
      </c>
      <c r="LN25" s="559">
        <f t="shared" si="185"/>
        <v>1.1811894724418038E-15</v>
      </c>
      <c r="LO25" s="559">
        <f t="shared" si="186"/>
        <v>2.2128845587480527E-19</v>
      </c>
      <c r="LP25" s="559">
        <f t="shared" si="187"/>
        <v>5.2698825510871615E-20</v>
      </c>
      <c r="LQ25" s="559">
        <f t="shared" si="188"/>
        <v>5.6329009993222107E-14</v>
      </c>
      <c r="LR25" s="559">
        <f t="shared" si="189"/>
        <v>1.433347292012221E-14</v>
      </c>
      <c r="LS25" s="553">
        <f t="shared" si="190"/>
        <v>13.543366515217945</v>
      </c>
      <c r="LT25" s="553">
        <f t="shared" si="191"/>
        <v>3.446908604896032</v>
      </c>
      <c r="LW25" s="567" t="str">
        <f t="shared" si="192"/>
        <v>56z4 total</v>
      </c>
      <c r="LX25" s="567" t="str">
        <f t="shared" si="193"/>
        <v>MN2022a</v>
      </c>
      <c r="LY25" s="568">
        <f t="shared" si="194"/>
        <v>845.37764674219852</v>
      </c>
      <c r="LZ25" s="568">
        <f t="shared" si="195"/>
        <v>10.608542473850907</v>
      </c>
      <c r="MA25" s="568">
        <f t="shared" si="196"/>
        <v>7.465669210171801</v>
      </c>
      <c r="MB25" s="568">
        <f t="shared" si="197"/>
        <v>0.24426742722767239</v>
      </c>
      <c r="MC25" s="568">
        <f t="shared" si="198"/>
        <v>6232.1034855396292</v>
      </c>
      <c r="MD25" s="568">
        <f t="shared" si="199"/>
        <v>472.8891937783153</v>
      </c>
      <c r="ME25" s="568">
        <f t="shared" si="200"/>
        <v>18.231897946524263</v>
      </c>
      <c r="MF25" s="568">
        <f t="shared" si="201"/>
        <v>1.7899528474388406</v>
      </c>
      <c r="MG25" s="568">
        <f t="shared" si="202"/>
        <v>23.051425087318062</v>
      </c>
      <c r="MH25" s="568">
        <f t="shared" si="203"/>
        <v>2.3755586134172733</v>
      </c>
      <c r="MI25" s="568">
        <f t="shared" si="204"/>
        <v>17.322671199557394</v>
      </c>
      <c r="MJ25" s="568">
        <f t="shared" si="205"/>
        <v>0.73655204412571562</v>
      </c>
      <c r="MK25" s="568">
        <f t="shared" si="206"/>
        <v>17.547567218507936</v>
      </c>
      <c r="ML25" s="568">
        <f t="shared" si="207"/>
        <v>0.91754310074851908</v>
      </c>
      <c r="MM25" s="568">
        <f t="shared" si="261"/>
        <v>2.0793445124847896</v>
      </c>
      <c r="MN25" s="568">
        <f t="shared" si="208"/>
        <v>0.28923519225324318</v>
      </c>
      <c r="MO25" s="568">
        <f t="shared" si="209"/>
        <v>2.0568782466507636</v>
      </c>
      <c r="MP25" s="568">
        <f t="shared" si="210"/>
        <v>0.14236122036543075</v>
      </c>
      <c r="MQ25" s="569"/>
      <c r="MR25" s="569"/>
      <c r="MS25" s="569"/>
      <c r="MT25" s="569"/>
      <c r="MU25" s="570">
        <f t="shared" si="273"/>
        <v>113.23534742074979</v>
      </c>
      <c r="MV25" s="570">
        <f t="shared" si="274"/>
        <v>1.4220472809489169</v>
      </c>
      <c r="MW25" s="571">
        <f t="shared" si="211"/>
        <v>2.3203105725546555E-3</v>
      </c>
      <c r="MX25" s="571">
        <f t="shared" si="212"/>
        <v>1.2448695647504884E-4</v>
      </c>
      <c r="MY25" s="571">
        <f t="shared" si="213"/>
        <v>2.3504345992988525E-3</v>
      </c>
      <c r="MZ25" s="571">
        <f t="shared" si="214"/>
        <v>1.4497908332453851E-4</v>
      </c>
      <c r="NA25" s="572">
        <f t="shared" ref="NA25:NA37" si="295">(MM25/1000)/MA25</f>
        <v>2.7852084708651853E-4</v>
      </c>
      <c r="NB25" s="572">
        <f t="shared" ref="NB25:NB37" si="296">NA25*SQRT((MN25/MM25)^2 + (MB25/MA25)^2)</f>
        <v>3.9799361307250241E-5</v>
      </c>
      <c r="NC25" s="570">
        <f t="shared" si="275"/>
        <v>102.67793669054262</v>
      </c>
      <c r="ND25" s="570">
        <f t="shared" si="276"/>
        <v>1.1828430732834734</v>
      </c>
      <c r="NE25" s="571">
        <f t="shared" si="217"/>
        <v>1.0295100461651509E-3</v>
      </c>
      <c r="NF25" s="571">
        <f t="shared" si="218"/>
        <v>5.4752404169759103E-5</v>
      </c>
      <c r="NG25" s="572">
        <f t="shared" si="219"/>
        <v>1.0428759242208428E-3</v>
      </c>
      <c r="NH25" s="572">
        <f t="shared" si="220"/>
        <v>5.5463241290887655E-5</v>
      </c>
      <c r="NI25" s="571">
        <f t="shared" si="221"/>
        <v>7.7809706716858293E-5</v>
      </c>
      <c r="NJ25" s="571">
        <f t="shared" si="221"/>
        <v>1.111865292393517E-5</v>
      </c>
      <c r="NK25" s="623">
        <f>Ar36CC/Sample_Mass</f>
        <v>3.5295633564301135E-9</v>
      </c>
      <c r="NL25" s="623">
        <f>NK25*SQRT((Ar36CCerr/Ar36CC)^2 + (Sample_Masserr/Sample_Mass)^2)</f>
        <v>2.0684076485363181E-10</v>
      </c>
      <c r="NM25" s="623">
        <f>Ar39CC/Sample_Mass</f>
        <v>2.5708396622083957E-8</v>
      </c>
      <c r="NN25" s="623">
        <f>NM25*SQRT((Ar39ccerr/Ar39CC)^2 + (Sample_Masserr/Sample_Mass)^2)</f>
        <v>2.1482875700986462E-10</v>
      </c>
      <c r="NO25" s="623">
        <f>Ar40CC/Sample_Mass</f>
        <v>1.4851862827948369E-6</v>
      </c>
      <c r="NP25" s="623">
        <f>NO25*SQRT((Ar40CCerrr/Ar40CC)^2 + (Sample_Masserr/Sample_Mass)^2)</f>
        <v>9.0631906528010025E-9</v>
      </c>
      <c r="NQ25" s="623">
        <f>Ar40AC*Ar_Sensitivity/Sample_Mass</f>
        <v>4.4220031096973821E-7</v>
      </c>
      <c r="NR25" s="623">
        <f>NQ25*SQRT((Ar40ACerr/Ar40AC)^2 + (Ar_sensitivityerr/Ar_Sensitivity)^2 + (Sample_Masserr/Sample_Mass)^2)</f>
        <v>6.0998537206515901E-8</v>
      </c>
      <c r="NS25" s="623">
        <f>(Ar40CC-(Ar39CC/J*(EXP(lambda*96000000)-1)))/Sample_Mass</f>
        <v>1.163425411028049E-6</v>
      </c>
      <c r="NT25" s="623">
        <f>SQRT(((Ar39CC/J*(EXP(lambda*96000000)-1)/Sample_Mass)*SQRT((Jerr/J)^2 + (Ar39ccerr/Ar39CC)^2))^2 + (Ar40CCerrr/Sample_Mass)^2)</f>
        <v>5.6619802769754335E-9</v>
      </c>
      <c r="NU25" s="623">
        <f>Kr84cc/Sample_Mass</f>
        <v>7.5027791768577538E-11</v>
      </c>
      <c r="NV25" s="623">
        <f>NU25*SQRT((Kr84ccerr/Kr84cc)^2 + (Sample_Masserr/Sample_Mass)^2)</f>
        <v>1.2125478704619255E-11</v>
      </c>
      <c r="NW25" s="623">
        <f>Xe130BC*Xe_Sensitivity/Sample_Mass</f>
        <v>6.4529474344733973E-13</v>
      </c>
      <c r="NX25" s="623">
        <f>NW25*SQRT((Xe130BCerr/Xe130BC)^2 + (Sample_Masserr/Sample_Mass)^2 + (Xe_Sensitivityerr/Xe_Sensitivity)^2)</f>
        <v>3.3012647704998627E-13</v>
      </c>
      <c r="NY25" s="623">
        <f>Xe132BC*Xe_Sensitivity/Sample_Mass</f>
        <v>7.9401641285126943E-12</v>
      </c>
      <c r="NZ25" s="623">
        <f>NY25*SQRT((Xe132BCerr/Xe132BC)^2 + (Sample_Masserr/Sample_Mass)^2 + (Xe_Sensitivityerr/Xe_Sensitivity)^2)</f>
        <v>4.7166085754634936E-13</v>
      </c>
      <c r="OA25" s="624">
        <f t="shared" si="262"/>
        <v>420.78470700607863</v>
      </c>
      <c r="OB25" s="624">
        <f t="shared" si="238"/>
        <v>24.567338231806396</v>
      </c>
      <c r="OC25" s="624">
        <f t="shared" si="239"/>
        <v>329.623042155777</v>
      </c>
      <c r="OD25" s="624">
        <f t="shared" si="263"/>
        <v>19.383184688760952</v>
      </c>
      <c r="OE25" s="623">
        <f t="shared" si="264"/>
        <v>2.1256961326928121E-2</v>
      </c>
      <c r="OF25" s="623">
        <f t="shared" si="265"/>
        <v>3.6511918400527459E-3</v>
      </c>
      <c r="OG25" s="623">
        <f t="shared" si="266"/>
        <v>1.8282565810066845E-4</v>
      </c>
      <c r="OH25" s="623">
        <f t="shared" si="267"/>
        <v>9.4143460202784934E-5</v>
      </c>
      <c r="OI25" s="623">
        <f t="shared" si="268"/>
        <v>2.2496165464907735E-3</v>
      </c>
      <c r="OJ25" s="623">
        <f t="shared" si="269"/>
        <v>1.8771595515737168E-4</v>
      </c>
      <c r="OK25" s="623">
        <f t="shared" si="240"/>
        <v>1.7309880194762952E-2</v>
      </c>
      <c r="OL25" s="623">
        <f t="shared" si="241"/>
        <v>1.1527735644915822E-4</v>
      </c>
      <c r="OM25" s="623">
        <f t="shared" si="242"/>
        <v>2.3765122243037083E-3</v>
      </c>
      <c r="ON25" s="623">
        <f t="shared" si="243"/>
        <v>1.3875166719319086E-4</v>
      </c>
      <c r="OO25" s="623">
        <f t="shared" si="244"/>
        <v>7.2837328660636524</v>
      </c>
      <c r="OP25" s="623">
        <f t="shared" si="245"/>
        <v>0.42525768149678822</v>
      </c>
      <c r="OQ25" s="623">
        <f t="shared" si="246"/>
        <v>4.371823925853429E-3</v>
      </c>
      <c r="OR25" s="623">
        <f t="shared" si="247"/>
        <v>8.8046670435703146E-6</v>
      </c>
    </row>
    <row r="26" spans="2:408">
      <c r="B26" s="245" t="s">
        <v>956</v>
      </c>
      <c r="C26" s="5">
        <v>2.1309999999999999E-2</v>
      </c>
      <c r="D26" s="66">
        <f>C26*0.5%</f>
        <v>1.0655E-4</v>
      </c>
      <c r="E26" s="67">
        <v>45103</v>
      </c>
      <c r="F26" s="5" t="s">
        <v>210</v>
      </c>
      <c r="G26" s="5" t="s">
        <v>893</v>
      </c>
      <c r="H26" s="5">
        <v>2</v>
      </c>
      <c r="J26" s="327">
        <v>44644</v>
      </c>
      <c r="K26" s="67" t="s">
        <v>823</v>
      </c>
      <c r="L26" s="5" t="s">
        <v>945</v>
      </c>
      <c r="M26" s="5" t="s">
        <v>142</v>
      </c>
      <c r="N26" s="5" t="s">
        <v>142</v>
      </c>
      <c r="O26" s="6">
        <v>19829.982661999999</v>
      </c>
      <c r="P26" s="6">
        <v>64.515998999999994</v>
      </c>
      <c r="Q26" s="6">
        <v>63.531044999999999</v>
      </c>
      <c r="R26" s="6">
        <v>0.16051299999999999</v>
      </c>
      <c r="S26" s="6">
        <v>111.779723</v>
      </c>
      <c r="T26" s="6">
        <v>0.31310199999999999</v>
      </c>
      <c r="U26" s="6">
        <v>2.0174999999999998E-2</v>
      </c>
      <c r="V26" s="6">
        <v>2.4694000000000001E-2</v>
      </c>
      <c r="W26" s="6">
        <v>45.230580000000003</v>
      </c>
      <c r="X26" s="6">
        <v>8.8687000000000002E-2</v>
      </c>
      <c r="Y26" s="6">
        <v>59.824499000000003</v>
      </c>
      <c r="Z26" s="6">
        <v>0.36086699999999999</v>
      </c>
      <c r="AA26" s="6">
        <v>0.11108800000000001</v>
      </c>
      <c r="AB26" s="6">
        <v>8.3196999999999993E-2</v>
      </c>
      <c r="AC26" s="6">
        <v>-3.0838000000000001E-2</v>
      </c>
      <c r="AD26" s="6">
        <v>8.8838E-2</v>
      </c>
      <c r="AE26" s="6">
        <v>-5.666E-3</v>
      </c>
      <c r="AF26" s="6">
        <v>2.2498000000000001E-2</v>
      </c>
      <c r="AG26" s="6">
        <v>0.31005899999999997</v>
      </c>
      <c r="AH26" s="6">
        <v>8.9913000000000007E-2</v>
      </c>
      <c r="AI26" s="147">
        <f t="shared" si="1"/>
        <v>19770.158163</v>
      </c>
      <c r="AJ26" s="147">
        <f t="shared" si="2"/>
        <v>64.517008237825848</v>
      </c>
      <c r="AK26" s="147">
        <f t="shared" si="3"/>
        <v>63.419956999999997</v>
      </c>
      <c r="AL26" s="147">
        <f t="shared" si="4"/>
        <v>0.18079315246435634</v>
      </c>
      <c r="AM26" s="147">
        <f t="shared" si="5"/>
        <v>111.81056100000001</v>
      </c>
      <c r="AN26" s="147">
        <f t="shared" si="6"/>
        <v>0.32546129208862917</v>
      </c>
      <c r="AO26" s="147">
        <f t="shared" si="7"/>
        <v>2.5840999999999999E-2</v>
      </c>
      <c r="AP26" s="147">
        <f t="shared" si="8"/>
        <v>3.3405892294623714E-2</v>
      </c>
      <c r="AQ26" s="147">
        <f t="shared" si="9"/>
        <v>44.920521000000001</v>
      </c>
      <c r="AR26" s="147">
        <f t="shared" si="10"/>
        <v>0.1262922465474425</v>
      </c>
      <c r="AS26" s="4">
        <v>303.39491974047206</v>
      </c>
      <c r="AT26" s="4">
        <v>1.3894906939380418</v>
      </c>
      <c r="AU26" s="133">
        <f t="shared" si="11"/>
        <v>63.843557228814873</v>
      </c>
      <c r="AV26" s="133">
        <f t="shared" si="12"/>
        <v>0.1808081395089991</v>
      </c>
      <c r="AW26" s="133">
        <f t="shared" si="13"/>
        <v>113.30419112729638</v>
      </c>
      <c r="AX26" s="133">
        <f t="shared" si="14"/>
        <v>0.32548746570445397</v>
      </c>
      <c r="AY26" s="133">
        <f t="shared" si="15"/>
        <v>2.6358798530491213E-2</v>
      </c>
      <c r="AZ26" s="133">
        <f t="shared" si="16"/>
        <v>3.3407217027045071E-2</v>
      </c>
      <c r="BA26" s="133">
        <f t="shared" si="17"/>
        <v>46.120669588816206</v>
      </c>
      <c r="BB26" s="133">
        <f t="shared" si="18"/>
        <v>0.12630293092943576</v>
      </c>
      <c r="BC26" s="6"/>
      <c r="BD26" s="8"/>
      <c r="BE26" s="147"/>
      <c r="BF26" s="147"/>
      <c r="BG26" s="147"/>
      <c r="BH26" s="147"/>
      <c r="BI26" s="157"/>
      <c r="BJ26" s="157"/>
      <c r="BM26" s="133"/>
      <c r="BN26" s="133"/>
      <c r="BO26" s="143">
        <f t="shared" si="254"/>
        <v>19761.844724169965</v>
      </c>
      <c r="BP26" s="133">
        <f t="shared" si="255"/>
        <v>64.51701253377351</v>
      </c>
      <c r="BQ26" s="143">
        <f t="shared" si="271"/>
        <v>63.843557228814873</v>
      </c>
      <c r="BR26" s="133">
        <f t="shared" si="272"/>
        <v>0.1808081395089991</v>
      </c>
      <c r="BS26" s="143">
        <f t="shared" si="256"/>
        <v>113.30419112729638</v>
      </c>
      <c r="BT26" s="133">
        <f t="shared" si="257"/>
        <v>0.32548746570445397</v>
      </c>
      <c r="BU26" s="147">
        <f t="shared" si="258"/>
        <v>46.120669588816206</v>
      </c>
      <c r="BV26" s="147">
        <f t="shared" si="21"/>
        <v>0.12630293092943576</v>
      </c>
      <c r="BX26" s="147">
        <f>IF(Rad_Type="Continuous", BU26-((EXP(lambda_36Ar*(Run_Date-Rad_Date))-1)*Cl3638_PR*BZ26),BU26*Ar36_DecayFactor)</f>
        <v>46.027699776374796</v>
      </c>
      <c r="BY26" s="147">
        <f>IF(K:K="Continuous", SQRT(BV26^2+(((EXP(lambda_36Ar*(Run_Date-Rad_Date))-1)*Cl3638_PR)*CA26^2)), Ar36_ICerr*Ar36_DecayFactor)</f>
        <v>0.12630775787595097</v>
      </c>
      <c r="BZ26" s="143">
        <f>IF(Rad_Type="Continuous", BS26-(Ar3836_Air*BU26)/(1-lambda_36Ar*(Run_Date-Rad_Date)),Ar38_IC-(Ar3836_Air*Ar36_IC)/Ar36_DecayFactor)</f>
        <v>104.63348086434287</v>
      </c>
      <c r="CA26" s="147">
        <f>IF(Rad_Type ="Continuous", SQRT(BT26^2*(((EXP(lambda_36Ar*(Run_Date-Rad_Date))-1*Ar3836_Air)*BV26^2))),SQRT(Ar38_ICerr^2*(((EXP(lambda_36Ar*(Ar36_DecayFactor))-1*Ar3836_Air)*Ar36_ICerr^2))))</f>
        <v>3.7044732588118044E-2</v>
      </c>
      <c r="CB26" s="143">
        <f t="shared" si="26"/>
        <v>6160.6594402512128</v>
      </c>
      <c r="CC26" s="143">
        <f t="shared" si="27"/>
        <v>74.535371378084236</v>
      </c>
      <c r="CD26" s="3">
        <v>1.4114568145845257E-12</v>
      </c>
      <c r="CE26" s="3">
        <v>4.6739383408230958E-15</v>
      </c>
      <c r="CF26" s="157">
        <f t="shared" si="28"/>
        <v>6.4966110509014857E-11</v>
      </c>
      <c r="CG26" s="157">
        <f t="shared" si="29"/>
        <v>2.7939973901098064E-13</v>
      </c>
      <c r="CH26" s="157">
        <f t="shared" si="30"/>
        <v>0</v>
      </c>
      <c r="CI26" s="158" t="e">
        <f t="shared" si="31"/>
        <v>#DIV/0!</v>
      </c>
      <c r="CJ26" s="157">
        <f t="shared" si="32"/>
        <v>1.4768563959967633E-10</v>
      </c>
      <c r="CK26" s="477">
        <f t="shared" si="33"/>
        <v>4.9183764133455951E-13</v>
      </c>
      <c r="CL26" s="157">
        <f t="shared" si="34"/>
        <v>9.0112423917927918E-11</v>
      </c>
      <c r="CM26" s="157">
        <f t="shared" si="35"/>
        <v>3.9264688657470677E-13</v>
      </c>
      <c r="CN26" s="157">
        <f t="shared" si="36"/>
        <v>2.7892990404690955E-8</v>
      </c>
      <c r="CO26" s="157">
        <f t="shared" si="37"/>
        <v>1.2970689235137567E-10</v>
      </c>
      <c r="CP26" s="157">
        <f t="shared" si="38"/>
        <v>6.5890019622446193E-15</v>
      </c>
      <c r="CQ26" s="157">
        <f t="shared" si="39"/>
        <v>2.1943360517584968E-17</v>
      </c>
      <c r="CR26" s="157">
        <f t="shared" si="40"/>
        <v>1.244447117590855E-12</v>
      </c>
      <c r="CS26" s="157">
        <f t="shared" si="41"/>
        <v>5.7868793281737523E-15</v>
      </c>
      <c r="CT26" s="66">
        <v>4.4841535443164368E-3</v>
      </c>
      <c r="CU26" s="66">
        <v>7.0159316313890042E-6</v>
      </c>
      <c r="CV26" s="3">
        <v>1.1611559367069784E+19</v>
      </c>
      <c r="CW26" s="60">
        <v>1.040942599512031E+18</v>
      </c>
      <c r="CX26" s="3">
        <v>8.6527210079182822E+17</v>
      </c>
      <c r="CY26" s="3">
        <v>8.9278178143800032E+16</v>
      </c>
      <c r="CZ26" s="6">
        <v>0.49865169925804054</v>
      </c>
      <c r="DA26" s="6">
        <v>2.7936431740382541E-2</v>
      </c>
      <c r="DB26" s="4">
        <v>24.337069265073254</v>
      </c>
      <c r="DC26" s="4">
        <v>0.74264427477540718</v>
      </c>
      <c r="DD26" s="157">
        <f t="shared" si="42"/>
        <v>7.388984462897592E-8</v>
      </c>
      <c r="DE26" s="157">
        <f t="shared" si="43"/>
        <v>7.572305848371362E-10</v>
      </c>
      <c r="DF26" s="147">
        <f t="shared" si="44"/>
        <v>135.56862094120552</v>
      </c>
      <c r="DG26" s="147">
        <f t="shared" si="45"/>
        <v>1.5458602344815271</v>
      </c>
      <c r="DH26" s="159">
        <f t="shared" si="46"/>
        <v>1.3556862094120553E-2</v>
      </c>
      <c r="DI26" s="167">
        <f t="shared" si="47"/>
        <v>1.5458602344815272E-4</v>
      </c>
      <c r="DJ26" s="157">
        <f t="shared" si="48"/>
        <v>5.4875053352104858E-9</v>
      </c>
      <c r="DK26" s="157">
        <f t="shared" si="49"/>
        <v>1.7596763548453945E-10</v>
      </c>
      <c r="DL26" s="147">
        <f t="shared" si="50"/>
        <v>9.1294475199069627</v>
      </c>
      <c r="DM26" s="133">
        <f t="shared" si="51"/>
        <v>0.29629104064350537</v>
      </c>
      <c r="DN26" s="159">
        <f t="shared" si="52"/>
        <v>9.1294475199069623E-4</v>
      </c>
      <c r="DO26" s="167">
        <f t="shared" si="53"/>
        <v>2.9629104064350538E-5</v>
      </c>
      <c r="DP26" s="157">
        <f t="shared" si="54"/>
        <v>0</v>
      </c>
      <c r="DQ26" s="157" t="e">
        <f t="shared" si="55"/>
        <v>#DIV/0!</v>
      </c>
      <c r="DR26" s="143">
        <f t="shared" si="56"/>
        <v>0</v>
      </c>
      <c r="DS26" s="143" t="e">
        <f t="shared" si="57"/>
        <v>#DIV/0!</v>
      </c>
      <c r="DT26" s="147">
        <f t="shared" si="58"/>
        <v>0</v>
      </c>
      <c r="DU26" s="147" t="e">
        <f t="shared" si="59"/>
        <v>#DIV/0!</v>
      </c>
      <c r="DV26" s="133">
        <f t="shared" si="60"/>
        <v>13.465106658733063</v>
      </c>
      <c r="DW26" s="133">
        <f t="shared" si="61"/>
        <v>0.13902006213220433</v>
      </c>
      <c r="DX26" s="133" t="e">
        <f t="shared" si="62"/>
        <v>#DIV/0!</v>
      </c>
      <c r="DY26" s="133" t="e">
        <f t="shared" si="63"/>
        <v>#DIV/0!</v>
      </c>
      <c r="DZ26" s="133">
        <f t="shared" si="64"/>
        <v>14.849597486112401</v>
      </c>
      <c r="EA26" s="133">
        <f t="shared" si="65"/>
        <v>0.17038010117751889</v>
      </c>
      <c r="EB26" s="133" t="e">
        <f t="shared" si="66"/>
        <v>#DIV/0!</v>
      </c>
      <c r="EC26" s="133" t="e">
        <f t="shared" si="67"/>
        <v>#DIV/0!</v>
      </c>
      <c r="ED26" s="157">
        <f t="shared" si="68"/>
        <v>2.267782975272718E-4</v>
      </c>
      <c r="EE26" s="157">
        <f t="shared" si="69"/>
        <v>7.3481563639673569E-6</v>
      </c>
      <c r="EF26" s="147">
        <f t="shared" si="70"/>
        <v>96.496180784091521</v>
      </c>
      <c r="EG26" s="147">
        <f t="shared" si="71"/>
        <v>1.1990274492110007</v>
      </c>
      <c r="EH26" s="157">
        <f t="shared" si="72"/>
        <v>1.6841923593690233E-5</v>
      </c>
      <c r="EI26" s="157">
        <f t="shared" si="73"/>
        <v>1.8953530634603168E-7</v>
      </c>
      <c r="EJ26" s="143">
        <f t="shared" si="74"/>
        <v>647.95529485606983</v>
      </c>
      <c r="EK26" s="143">
        <f t="shared" si="75"/>
        <v>6.7856088905840837</v>
      </c>
      <c r="EL26" s="143">
        <f t="shared" si="76"/>
        <v>6.8391909328907374</v>
      </c>
      <c r="EM26" s="133">
        <f t="shared" si="77"/>
        <v>647.95529485606983</v>
      </c>
      <c r="EN26" s="133">
        <f t="shared" si="78"/>
        <v>6.7856088905840837</v>
      </c>
      <c r="EO26" s="133">
        <f t="shared" si="79"/>
        <v>6.8391909328907374</v>
      </c>
      <c r="EP26" s="501">
        <f>CL26/$CL$17</f>
        <v>42.645184335950717</v>
      </c>
      <c r="EQ26" s="143">
        <f>EM26</f>
        <v>647.95529485606983</v>
      </c>
      <c r="ER26" s="143">
        <f>EN26</f>
        <v>6.7856088905840837</v>
      </c>
      <c r="ES26" s="147">
        <f t="shared" si="81"/>
        <v>1.3870681684941519</v>
      </c>
      <c r="ET26" s="147">
        <f t="shared" si="82"/>
        <v>5.9156298373635521E-3</v>
      </c>
      <c r="EU26" s="143">
        <f t="shared" si="83"/>
        <v>429.34678074687042</v>
      </c>
      <c r="EV26" s="143">
        <f t="shared" si="84"/>
        <v>1.8310971907887756</v>
      </c>
      <c r="EW26" s="157">
        <f t="shared" si="85"/>
        <v>3.2306476505571482E-3</v>
      </c>
      <c r="EX26" s="157">
        <f t="shared" si="86"/>
        <v>1.3962582521699291E-5</v>
      </c>
      <c r="EY26" s="157">
        <f t="shared" si="87"/>
        <v>2.3291195947957254E-3</v>
      </c>
      <c r="EZ26" s="157">
        <f t="shared" si="88"/>
        <v>9.9333325374482422E-6</v>
      </c>
      <c r="FA26" s="66">
        <v>4.2008599999999996</v>
      </c>
      <c r="FB26" s="66">
        <v>1.4142999999999999E-2</v>
      </c>
      <c r="FC26" s="66">
        <v>1.3512420000000001</v>
      </c>
      <c r="FD26" s="66">
        <v>1.0808E-2</v>
      </c>
      <c r="FE26" s="66">
        <v>0.84384099999999995</v>
      </c>
      <c r="FF26" s="66">
        <v>6.9950000000000003E-3</v>
      </c>
      <c r="FI26" s="66">
        <v>8.763E-3</v>
      </c>
      <c r="FJ26" s="66">
        <v>1.454E-3</v>
      </c>
      <c r="FK26" s="66">
        <v>5.1640000000000002E-3</v>
      </c>
      <c r="FL26" s="66">
        <v>1.134E-3</v>
      </c>
      <c r="FM26" s="66">
        <v>5.6109999999999997E-3</v>
      </c>
      <c r="FN26" s="66">
        <v>5.8500000000000002E-4</v>
      </c>
      <c r="FQ26" s="159">
        <f t="shared" si="89"/>
        <v>4.1920969999999995</v>
      </c>
      <c r="FR26" s="159">
        <f t="shared" si="90"/>
        <v>1.4217544267559007E-2</v>
      </c>
      <c r="FS26" s="159">
        <f t="shared" si="91"/>
        <v>1.3460780000000001</v>
      </c>
      <c r="FT26" s="159">
        <f t="shared" si="92"/>
        <v>1.5284820182128411E-2</v>
      </c>
      <c r="FU26" s="159">
        <f t="shared" si="93"/>
        <v>0.83822999999999992</v>
      </c>
      <c r="FV26" s="159">
        <f t="shared" si="94"/>
        <v>7.0194194916673846E-3</v>
      </c>
      <c r="FW26" s="159">
        <f t="shared" si="95"/>
        <v>0</v>
      </c>
      <c r="FX26" s="159">
        <f t="shared" si="96"/>
        <v>0</v>
      </c>
      <c r="FY26" s="159">
        <f t="shared" si="97"/>
        <v>0.83581020100178371</v>
      </c>
      <c r="FZ26" s="159">
        <f t="shared" si="98"/>
        <v>8.5470189797491533E-2</v>
      </c>
      <c r="GA26" s="159">
        <f t="shared" si="99"/>
        <v>4.1589989160403285</v>
      </c>
      <c r="GB26" s="159">
        <f t="shared" si="100"/>
        <v>1.461486278649092E-2</v>
      </c>
      <c r="GC26" s="159">
        <f t="shared" si="101"/>
        <v>1.1770771773574396</v>
      </c>
      <c r="GD26" s="159">
        <f t="shared" si="102"/>
        <v>2.3071535571905288E-2</v>
      </c>
      <c r="GE26" s="159">
        <f t="shared" si="103"/>
        <v>-0.25508927334574444</v>
      </c>
      <c r="GF26" s="159">
        <f t="shared" si="104"/>
        <v>2.6085501926194417E-2</v>
      </c>
      <c r="GG26" s="3">
        <v>1.5604065291985949E-12</v>
      </c>
      <c r="GH26" s="3">
        <v>1.54849054114113E-14</v>
      </c>
      <c r="GI26" s="6">
        <v>1</v>
      </c>
      <c r="GJ26" s="6">
        <v>5.0000000000000001E-3</v>
      </c>
      <c r="GK26" s="157">
        <f t="shared" si="105"/>
        <v>6.4897290635192076E-12</v>
      </c>
      <c r="GL26" s="157">
        <f t="shared" si="106"/>
        <v>7.5634436592567736E-14</v>
      </c>
      <c r="GM26" s="157">
        <f t="shared" si="107"/>
        <v>1.8367189129192013E-12</v>
      </c>
      <c r="GN26" s="157">
        <f t="shared" si="108"/>
        <v>4.1383928323662822E-14</v>
      </c>
      <c r="GO26" s="157">
        <f t="shared" si="109"/>
        <v>1.3042036948139733E-12</v>
      </c>
      <c r="GP26" s="157">
        <f t="shared" si="110"/>
        <v>1.3415333955987256E-13</v>
      </c>
      <c r="GQ26" s="157">
        <f t="shared" si="111"/>
        <v>-3.9804296765722472E-13</v>
      </c>
      <c r="GR26" s="157">
        <f t="shared" si="112"/>
        <v>-4.0943599233673098E-14</v>
      </c>
      <c r="GS26" s="157">
        <f t="shared" si="113"/>
        <v>2.8953957642647952E-16</v>
      </c>
      <c r="GT26" s="157">
        <f t="shared" si="114"/>
        <v>3.3744340552655299E-18</v>
      </c>
      <c r="GU26" s="157">
        <f t="shared" si="115"/>
        <v>8.1945303240863946E-17</v>
      </c>
      <c r="GV26" s="157">
        <f t="shared" si="116"/>
        <v>1.8463459667404608E-18</v>
      </c>
      <c r="GW26" s="157">
        <f t="shared" si="117"/>
        <v>5.8187110998670091E-17</v>
      </c>
      <c r="GX26" s="157">
        <f t="shared" si="118"/>
        <v>5.9852577407780537E-18</v>
      </c>
      <c r="GY26" s="147">
        <f t="shared" si="119"/>
        <v>3.5333272924188024</v>
      </c>
      <c r="GZ26" s="147">
        <f t="shared" si="120"/>
        <v>4.1686768611752148E-2</v>
      </c>
      <c r="HA26" s="4">
        <v>26.169770272470501</v>
      </c>
      <c r="HB26" s="4">
        <v>0.31897682079735301</v>
      </c>
      <c r="HC26" s="228">
        <f t="shared" si="121"/>
        <v>595.54092675335357</v>
      </c>
      <c r="HD26" s="228">
        <f t="shared" si="122"/>
        <v>10.23713088805418</v>
      </c>
      <c r="HE26" s="239">
        <f t="shared" si="123"/>
        <v>4.0883475974844443E-12</v>
      </c>
      <c r="HF26" s="229">
        <f t="shared" si="124"/>
        <v>1.4874921719581462E-13</v>
      </c>
      <c r="HG26" s="362">
        <f t="shared" si="125"/>
        <v>15.329672755954808</v>
      </c>
      <c r="HH26" s="362">
        <f t="shared" si="126"/>
        <v>0.56299227419712983</v>
      </c>
      <c r="HI26" s="4">
        <v>7.5091582159801398</v>
      </c>
      <c r="HJ26" s="4">
        <v>0.114829942558394</v>
      </c>
      <c r="HK26" s="228">
        <f t="shared" si="127"/>
        <v>603.79126396624463</v>
      </c>
      <c r="HL26" s="228">
        <f t="shared" si="128"/>
        <v>16.564160070443524</v>
      </c>
      <c r="HM26" s="239">
        <f t="shared" si="129"/>
        <v>4.0324835127655151E-12</v>
      </c>
      <c r="HN26" s="229">
        <f t="shared" si="130"/>
        <v>1.4671667503222405E-13</v>
      </c>
      <c r="HO26" s="362">
        <f t="shared" si="131"/>
        <v>15.120204720976803</v>
      </c>
      <c r="HP26" s="362">
        <f t="shared" si="132"/>
        <v>0.6425449955689696</v>
      </c>
      <c r="HQ26" s="6">
        <v>1.11613116912226</v>
      </c>
      <c r="HR26" s="6">
        <v>3.5153924948669403E-2</v>
      </c>
      <c r="HS26" s="6">
        <f t="shared" si="133"/>
        <v>16.548846042599575</v>
      </c>
      <c r="HT26" s="6">
        <f t="shared" si="134"/>
        <v>1.588381429991887</v>
      </c>
      <c r="HU26" s="6">
        <v>1.11613116912226</v>
      </c>
      <c r="HV26" s="6">
        <v>3.5153924948669403E-2</v>
      </c>
      <c r="HW26" s="6">
        <f t="shared" si="135"/>
        <v>20.373063966103494</v>
      </c>
      <c r="HX26" s="6">
        <f t="shared" si="136"/>
        <v>2.0090865188357996</v>
      </c>
      <c r="HY26" s="3">
        <v>0.50234500000000004</v>
      </c>
      <c r="HZ26" s="3">
        <v>5.7980000000000002E-3</v>
      </c>
      <c r="IA26" s="3">
        <v>4.4865000000000002E-2</v>
      </c>
      <c r="IB26" s="3">
        <v>1.7060000000000001E-3</v>
      </c>
      <c r="IC26" s="3">
        <v>6.3369999999999998E-3</v>
      </c>
      <c r="ID26" s="3">
        <v>3.7500000000000001E-4</v>
      </c>
      <c r="IE26" s="3">
        <v>0.228328</v>
      </c>
      <c r="IF26" s="3">
        <v>4.8809999999999999E-3</v>
      </c>
      <c r="IG26" s="3">
        <v>5.0092999999999999E-2</v>
      </c>
      <c r="IH26" s="3">
        <v>1.4840000000000001E-3</v>
      </c>
      <c r="II26" s="3">
        <v>1.9379E-2</v>
      </c>
      <c r="IJ26" s="3">
        <v>9.5799999999999998E-4</v>
      </c>
      <c r="IK26" s="3">
        <v>1.721E-2</v>
      </c>
      <c r="IL26" s="3">
        <v>9.810000000000001E-4</v>
      </c>
      <c r="IM26" s="3">
        <v>4.73E-4</v>
      </c>
      <c r="IN26" s="3">
        <v>2.1100000000000001E-4</v>
      </c>
      <c r="IO26" s="3">
        <v>3.5100000000000002E-4</v>
      </c>
      <c r="IP26" s="3">
        <v>1.46E-4</v>
      </c>
      <c r="IQ26" s="3">
        <v>2.5599999999999999E-4</v>
      </c>
      <c r="IR26" s="3">
        <v>8.2000000000000001E-5</v>
      </c>
      <c r="IS26" s="3">
        <v>5.3499999999999999E-4</v>
      </c>
      <c r="IT26" s="3">
        <v>2.3599999999999999E-4</v>
      </c>
      <c r="IU26" s="3">
        <v>3.9199999999999999E-4</v>
      </c>
      <c r="IV26" s="3">
        <v>2.1599999999999999E-4</v>
      </c>
      <c r="IW26" s="3">
        <v>2.5399999999999999E-4</v>
      </c>
      <c r="IX26" s="3">
        <v>1.6000000000000001E-4</v>
      </c>
      <c r="IY26" s="3">
        <v>1.2400000000000001E-4</v>
      </c>
      <c r="IZ26" s="3">
        <v>1.22E-4</v>
      </c>
      <c r="JA26" s="157">
        <f t="shared" si="137"/>
        <v>0.5018720000000001</v>
      </c>
      <c r="JB26" s="157">
        <f t="shared" si="138"/>
        <v>5.8018380708185924E-3</v>
      </c>
      <c r="JC26" s="157">
        <f t="shared" si="139"/>
        <v>4.4514000000000005E-2</v>
      </c>
      <c r="JD26" s="157">
        <f t="shared" si="140"/>
        <v>1.7122359650468741E-3</v>
      </c>
      <c r="JE26" s="157">
        <f t="shared" si="141"/>
        <v>6.0809999999999996E-3</v>
      </c>
      <c r="JF26" s="157">
        <f t="shared" si="142"/>
        <v>3.8386065179958211E-4</v>
      </c>
      <c r="JG26" s="157">
        <f t="shared" si="143"/>
        <v>0.227793</v>
      </c>
      <c r="JH26" s="157">
        <f t="shared" si="144"/>
        <v>4.8867020576253669E-3</v>
      </c>
      <c r="JI26" s="157">
        <f t="shared" si="145"/>
        <v>4.9700999999999995E-2</v>
      </c>
      <c r="JJ26" s="157">
        <f t="shared" si="146"/>
        <v>1.4996372894803597E-3</v>
      </c>
      <c r="JK26" s="157">
        <f t="shared" si="147"/>
        <v>1.9125E-2</v>
      </c>
      <c r="JL26" s="157">
        <f t="shared" si="148"/>
        <v>9.7126927265305787E-4</v>
      </c>
      <c r="JM26" s="157">
        <f t="shared" si="149"/>
        <v>1.7086E-2</v>
      </c>
      <c r="JN26" s="157">
        <f t="shared" si="150"/>
        <v>9.8855702920974697E-4</v>
      </c>
      <c r="JO26" s="157">
        <f>Xe128BC-(Xe130BC*Xe128130_Air)</f>
        <v>0.49900421003838508</v>
      </c>
      <c r="JP26" s="157">
        <f>SQRT(Xe128BCerr^2+(Xe130BCerr*Xe128130_Air)^2)</f>
        <v>5.8046615890960584E-3</v>
      </c>
      <c r="JQ26" s="157">
        <f>Xe129BC-(Xe130BC*Xe129130_Air)</f>
        <v>5.0316816392820055E-3</v>
      </c>
      <c r="JR26" s="157">
        <f>SQRT(Xe129BCerr^2+(Xe130BCerr*Xe129130_Air)^2)</f>
        <v>3.0237952397633825E-3</v>
      </c>
      <c r="JS26" s="157">
        <f>Xe131BC-(Xe130BC*Xe131130_Air)</f>
        <v>0.19610271598464601</v>
      </c>
      <c r="JT26" s="157">
        <f>SQRT(Xe131BCerr^2+(Xe130BCerr*Xe131130_Air)^2)</f>
        <v>5.2803032440635845E-3</v>
      </c>
      <c r="JU26" s="157">
        <f>Xe132BC-(Xe130BC*Xe132130_Air)</f>
        <v>9.535874504984998E-3</v>
      </c>
      <c r="JV26" s="157">
        <f>SQRT((Xe132BCerr^2+(Xe130BCerr*Xe132130_Air)^2))</f>
        <v>2.9457090364273593E-3</v>
      </c>
      <c r="JW26" s="157">
        <f>Xe134BC-(Xe130BC*Xe134130_Air)</f>
        <v>3.4726505940179987E-3</v>
      </c>
      <c r="JX26" s="157">
        <f>SQRT(Xe134BCerr^2+(Xe130BCerr*Xe134130_Air)^2)</f>
        <v>1.3854974652962565E-3</v>
      </c>
      <c r="JY26" s="157">
        <f>Xe136BC-(Xe130BC*Xe136130_Air)</f>
        <v>3.8556076623130018E-3</v>
      </c>
      <c r="JZ26" s="157">
        <f>SQRT(Xe136BCerr^2+(Xe130BCerr*Xe136130_Air)^2)</f>
        <v>1.294118411396362E-3</v>
      </c>
      <c r="KA26" s="3">
        <v>1.4998540391159256E-12</v>
      </c>
      <c r="KB26" s="3">
        <v>4.2289117827840867E-14</v>
      </c>
      <c r="KC26" s="5">
        <v>1</v>
      </c>
      <c r="KD26" s="5">
        <v>0</v>
      </c>
      <c r="KE26" s="157">
        <f t="shared" si="163"/>
        <v>7.4843347996192354E-13</v>
      </c>
      <c r="KF26" s="157">
        <f t="shared" si="164"/>
        <v>2.2827839749990336E-14</v>
      </c>
      <c r="KG26" s="157">
        <f t="shared" si="165"/>
        <v>3.3391395950520642E-17</v>
      </c>
      <c r="KH26" s="157">
        <f t="shared" si="166"/>
        <v>1.0184651760415045E-18</v>
      </c>
      <c r="KI26" s="6">
        <v>1.2430056234832578</v>
      </c>
      <c r="KJ26" s="6">
        <v>0.11113867994607306</v>
      </c>
      <c r="KK26" s="157">
        <f t="shared" si="167"/>
        <v>3.9954193561177657E-13</v>
      </c>
      <c r="KL26" s="157">
        <f t="shared" si="260"/>
        <v>5.2099163656730344E-14</v>
      </c>
      <c r="KM26" s="494">
        <f t="shared" si="168"/>
        <v>2.3793369107388407</v>
      </c>
      <c r="KN26" s="494">
        <f>KM26*SQRT(I_moleerr/I_mole)^2+(MVerr/MV)^2+(Sample_Masserr/Sample_Mass)</f>
        <v>0.3152589542131724</v>
      </c>
      <c r="KO26" s="4">
        <v>20.162258156415799</v>
      </c>
      <c r="KP26" s="4">
        <v>0.66285498057307002</v>
      </c>
      <c r="KQ26" s="229">
        <f t="shared" si="170"/>
        <v>3978.5446152883846</v>
      </c>
      <c r="KR26" s="229">
        <f t="shared" si="171"/>
        <v>178.91177603931769</v>
      </c>
      <c r="KS26" s="364">
        <f t="shared" si="172"/>
        <v>2.2946701376239851</v>
      </c>
      <c r="KT26" s="364">
        <f t="shared" si="173"/>
        <v>0.12725626566628842</v>
      </c>
      <c r="KU26" s="147">
        <f t="shared" si="174"/>
        <v>0.19484018731763947</v>
      </c>
      <c r="KV26" s="147">
        <f t="shared" si="175"/>
        <v>5.3045240753924802E-3</v>
      </c>
      <c r="KW26" s="157">
        <f t="shared" si="176"/>
        <v>2.922318419304651E-13</v>
      </c>
      <c r="KX26" s="157">
        <f t="shared" si="177"/>
        <v>1.145379659825135E-14</v>
      </c>
      <c r="KY26" s="157">
        <f t="shared" si="178"/>
        <v>1.3037937778714227E-17</v>
      </c>
      <c r="KZ26" s="157">
        <f t="shared" si="179"/>
        <v>5.110116899236926E-19</v>
      </c>
      <c r="LA26" s="6">
        <v>1.2485542932379501</v>
      </c>
      <c r="LB26" s="6">
        <v>5.9627651953476503E-2</v>
      </c>
      <c r="LC26" s="157">
        <f t="shared" si="180"/>
        <v>1.0952860765817723E-10</v>
      </c>
      <c r="LD26" s="157">
        <f t="shared" si="181"/>
        <v>1.2868067031980583E-11</v>
      </c>
      <c r="LE26" s="159">
        <f t="shared" si="182"/>
        <v>0.70582989694389975</v>
      </c>
      <c r="LF26" s="159">
        <f t="shared" si="183"/>
        <v>8.7925060596338159E-2</v>
      </c>
      <c r="LG26" s="471"/>
      <c r="LH26" s="471"/>
      <c r="LM26" s="157">
        <f t="shared" si="184"/>
        <v>5.2084690198762137E-15</v>
      </c>
      <c r="LN26" s="157">
        <f t="shared" si="185"/>
        <v>2.0832266384641789E-15</v>
      </c>
      <c r="LO26" s="157">
        <f t="shared" si="186"/>
        <v>2.3237609753582228E-19</v>
      </c>
      <c r="LP26" s="157">
        <f t="shared" si="187"/>
        <v>9.2943257353000317E-20</v>
      </c>
      <c r="LQ26" s="157">
        <f t="shared" si="188"/>
        <v>5.9151370859068805E-14</v>
      </c>
      <c r="LR26" s="157">
        <f t="shared" si="189"/>
        <v>2.4245704527739194E-14</v>
      </c>
      <c r="LS26" s="147">
        <f t="shared" si="190"/>
        <v>0.66071029237869128</v>
      </c>
      <c r="LT26" s="147">
        <f t="shared" si="191"/>
        <v>0.27084035559669511</v>
      </c>
      <c r="LW26" s="214" t="str">
        <f t="shared" si="192"/>
        <v>60z3 crush</v>
      </c>
      <c r="LX26" s="214" t="str">
        <f t="shared" si="193"/>
        <v>MN2022a</v>
      </c>
      <c r="LY26" s="212">
        <f t="shared" si="194"/>
        <v>135.56862094120552</v>
      </c>
      <c r="LZ26" s="212">
        <f t="shared" si="195"/>
        <v>1.5458602344815271</v>
      </c>
      <c r="MA26" s="212">
        <f t="shared" si="196"/>
        <v>9.1294475199069627</v>
      </c>
      <c r="MB26" s="212">
        <f t="shared" si="197"/>
        <v>0.29629104064350537</v>
      </c>
      <c r="MC26" s="212">
        <f t="shared" si="198"/>
        <v>0</v>
      </c>
      <c r="MD26" s="212"/>
      <c r="ME26" s="212">
        <f t="shared" si="200"/>
        <v>16.548846042599575</v>
      </c>
      <c r="MF26" s="212">
        <f t="shared" si="201"/>
        <v>1.588381429991887</v>
      </c>
      <c r="MG26" s="212">
        <f t="shared" si="202"/>
        <v>20.373063966103494</v>
      </c>
      <c r="MH26" s="212">
        <f t="shared" si="203"/>
        <v>2.0090865188357996</v>
      </c>
      <c r="MI26" s="212">
        <f t="shared" si="204"/>
        <v>15.329672755954808</v>
      </c>
      <c r="MJ26" s="212">
        <f t="shared" si="205"/>
        <v>0.56299227419712983</v>
      </c>
      <c r="MK26" s="212">
        <f t="shared" si="206"/>
        <v>15.120204720976803</v>
      </c>
      <c r="ML26" s="212">
        <f t="shared" si="207"/>
        <v>0.6425449955689696</v>
      </c>
      <c r="MM26" s="212">
        <f t="shared" si="261"/>
        <v>2.3793369107388407</v>
      </c>
      <c r="MN26" s="212">
        <f t="shared" si="208"/>
        <v>0.3152589542131724</v>
      </c>
      <c r="MO26" s="212">
        <f t="shared" si="209"/>
        <v>2.2946701376239851</v>
      </c>
      <c r="MP26" s="212">
        <f t="shared" si="210"/>
        <v>0.12725626566628842</v>
      </c>
      <c r="MQ26" s="211"/>
      <c r="MR26" s="211"/>
      <c r="MS26" s="211"/>
      <c r="MT26" s="211"/>
      <c r="MU26" s="506">
        <f t="shared" si="273"/>
        <v>14.849597486112401</v>
      </c>
      <c r="MV26" s="506">
        <f t="shared" si="274"/>
        <v>0.17038010117751889</v>
      </c>
      <c r="MW26" s="109">
        <f t="shared" si="211"/>
        <v>1.679145722950717E-3</v>
      </c>
      <c r="MX26" s="109">
        <f t="shared" si="212"/>
        <v>8.2296368222091151E-5</v>
      </c>
      <c r="MY26" s="109">
        <f t="shared" si="213"/>
        <v>1.6562015048563301E-3</v>
      </c>
      <c r="MZ26" s="109">
        <f t="shared" si="214"/>
        <v>8.855928119686388E-5</v>
      </c>
      <c r="NA26" s="513">
        <f t="shared" si="295"/>
        <v>2.6062222336572328E-4</v>
      </c>
      <c r="NB26" s="513">
        <f t="shared" si="296"/>
        <v>3.5552907733769994E-5</v>
      </c>
      <c r="NC26" s="506">
        <f t="shared" si="275"/>
        <v>13.465106658733063</v>
      </c>
      <c r="ND26" s="506">
        <f t="shared" si="276"/>
        <v>0.13902006213220433</v>
      </c>
      <c r="NE26" s="109">
        <f t="shared" si="217"/>
        <v>7.4502845058785285E-4</v>
      </c>
      <c r="NF26" s="109">
        <f t="shared" si="218"/>
        <v>3.6132450317907088E-5</v>
      </c>
      <c r="NG26" s="513">
        <f t="shared" si="219"/>
        <v>7.3484821725660157E-4</v>
      </c>
      <c r="NH26" s="513">
        <f t="shared" si="220"/>
        <v>3.5638728534831685E-5</v>
      </c>
      <c r="NI26" s="109">
        <f t="shared" si="221"/>
        <v>7.2809410771622053E-5</v>
      </c>
      <c r="NJ26" s="109">
        <f t="shared" si="221"/>
        <v>9.9323312873482528E-6</v>
      </c>
      <c r="NK26" s="621">
        <f>Ar36CC/Sample_Mass</f>
        <v>3.0486208591747941E-9</v>
      </c>
      <c r="NL26" s="621">
        <f>NK26*SQRT((Ar36CCerr/Ar36CC)^2 + (Sample_Masserr/Sample_Mass)^2)</f>
        <v>2.0106115399880513E-11</v>
      </c>
      <c r="NM26" s="621">
        <f>Ar39CC/Sample_Mass</f>
        <v>4.2286449515686499E-9</v>
      </c>
      <c r="NN26" s="621">
        <f>NM26*SQRT((Ar39ccerr/Ar39CC)^2 + (Sample_Masserr/Sample_Mass)^2)</f>
        <v>2.8045215401342983E-11</v>
      </c>
      <c r="NO26" s="621">
        <f>Ar40CC/Sample_Mass</f>
        <v>1.3089155516044559E-6</v>
      </c>
      <c r="NP26" s="621">
        <f>NO26*SQRT((Ar40CCerrr/Ar40CC)^2 + (Sample_Masserr/Sample_Mass)^2)</f>
        <v>8.9375065770212156E-9</v>
      </c>
      <c r="NQ26" s="621">
        <f>Ar40AC*Ar_Sensitivity/Sample_Mass</f>
        <v>4.0804808771830432E-7</v>
      </c>
      <c r="NR26" s="621">
        <f>NQ26*SQRT((Ar40ACerr/Ar40AC)^2 + (Ar_sensitivityerr/Ar_Sensitivity)^2 + (Sample_Masserr/Sample_Mass)^2)</f>
        <v>5.5100355846403487E-9</v>
      </c>
      <c r="NS26" s="621">
        <f>(Ar40CC-(Ar39CC/J*(EXP(lambda*96000000)-1)))/Sample_Mass</f>
        <v>1.2573165084710553E-6</v>
      </c>
      <c r="NT26" s="621">
        <f>SQRT(((Ar39CC/J*(EXP(lambda*96000000)-1)/Sample_Mass)*SQRT((Jerr/J)^2 + (Ar39ccerr/Ar39CC)^2))^2 + (Ar40CCerrr/Sample_Mass)^2)</f>
        <v>6.0913539650138452E-9</v>
      </c>
      <c r="NU26" s="621">
        <f>Kr84cc/Sample_Mass</f>
        <v>6.1201487321162519E-11</v>
      </c>
      <c r="NV26" s="621">
        <f>NU26*SQRT((Kr84ccerr/Kr84cc)^2 + (Sample_Masserr/Sample_Mass)^2)</f>
        <v>6.3027562244280449E-12</v>
      </c>
      <c r="NW26" s="621">
        <f>Xe130BC*Xe_Sensitivity/Sample_Mass</f>
        <v>4.2799682833711607E-13</v>
      </c>
      <c r="NX26" s="621">
        <f>NW26*SQRT((Xe130BCerr/Xe130BC)^2 + (Sample_Masserr/Sample_Mass)^2 + (Xe_Sensitivityerr/Xe_Sensitivity)^2)</f>
        <v>2.9667003495631851E-14</v>
      </c>
      <c r="NY26" s="621">
        <f>Xe132BC*Xe_Sensitivity/Sample_Mass</f>
        <v>3.4980875456640362E-12</v>
      </c>
      <c r="NZ26" s="621">
        <f>NY26*SQRT((Xe132BCerr/Xe132BC)^2 + (Sample_Masserr/Sample_Mass)^2 + (Xe_Sensitivityerr/Xe_Sensitivity)^2)</f>
        <v>1.455139866007197E-13</v>
      </c>
      <c r="OA26" s="622">
        <f t="shared" si="262"/>
        <v>429.34678074687042</v>
      </c>
      <c r="OB26" s="622">
        <f t="shared" si="238"/>
        <v>1.8310971907887756</v>
      </c>
      <c r="OC26" s="622">
        <f t="shared" si="239"/>
        <v>412.42140841724341</v>
      </c>
      <c r="OD26" s="622">
        <f t="shared" si="263"/>
        <v>3.3749930548489844</v>
      </c>
      <c r="OE26" s="621">
        <f t="shared" si="264"/>
        <v>2.0075138939293566E-2</v>
      </c>
      <c r="OF26" s="621">
        <f t="shared" si="265"/>
        <v>2.0667782632781896E-3</v>
      </c>
      <c r="OG26" s="621">
        <f t="shared" si="266"/>
        <v>1.4039031027720744E-4</v>
      </c>
      <c r="OH26" s="621">
        <f t="shared" si="267"/>
        <v>9.7752351471358282E-6</v>
      </c>
      <c r="OI26" s="621">
        <f t="shared" si="268"/>
        <v>1.1474327924827308E-3</v>
      </c>
      <c r="OJ26" s="621">
        <f t="shared" si="269"/>
        <v>4.8327255097843762E-5</v>
      </c>
      <c r="OK26" s="621">
        <f t="shared" si="240"/>
        <v>3.2306476505571482E-3</v>
      </c>
      <c r="OL26" s="621">
        <f t="shared" si="241"/>
        <v>1.3962582521699291E-5</v>
      </c>
      <c r="OM26" s="621">
        <f t="shared" si="242"/>
        <v>2.3291195947957254E-3</v>
      </c>
      <c r="ON26" s="621">
        <f t="shared" si="243"/>
        <v>9.9333325374482422E-6</v>
      </c>
      <c r="OO26" s="621">
        <f t="shared" si="244"/>
        <v>1.3870681684941519</v>
      </c>
      <c r="OP26" s="621">
        <f t="shared" si="245"/>
        <v>5.9156298373635521E-3</v>
      </c>
      <c r="OQ26" s="621">
        <f t="shared" si="246"/>
        <v>4.4841535443164368E-3</v>
      </c>
      <c r="OR26" s="621">
        <f t="shared" si="247"/>
        <v>7.0159316313890042E-6</v>
      </c>
    </row>
    <row r="27" spans="2:408" s="484" customFormat="1">
      <c r="B27" s="245" t="s">
        <v>962</v>
      </c>
      <c r="C27" s="5">
        <v>7.2999999999999996E-4</v>
      </c>
      <c r="D27" s="66">
        <f t="shared" ref="D27" si="297">C27*0.5%</f>
        <v>3.6499999999999998E-6</v>
      </c>
      <c r="E27" s="67">
        <v>45112</v>
      </c>
      <c r="F27" s="5" t="s">
        <v>210</v>
      </c>
      <c r="G27" s="5" t="s">
        <v>893</v>
      </c>
      <c r="H27" s="5">
        <v>2</v>
      </c>
      <c r="I27" s="5"/>
      <c r="J27" s="327">
        <v>44644</v>
      </c>
      <c r="K27" s="67" t="s">
        <v>823</v>
      </c>
      <c r="L27" s="5" t="s">
        <v>949</v>
      </c>
      <c r="M27" s="5" t="s">
        <v>952</v>
      </c>
      <c r="N27" s="5">
        <v>180</v>
      </c>
      <c r="O27" s="6">
        <v>1074.8972329999999</v>
      </c>
      <c r="P27" s="6">
        <v>2.2137449999999999</v>
      </c>
      <c r="Q27" s="6">
        <v>58.408915999999998</v>
      </c>
      <c r="R27" s="6">
        <v>0.18759799999999999</v>
      </c>
      <c r="S27" s="6">
        <v>7.187983</v>
      </c>
      <c r="T27" s="6">
        <v>0.10054299999999999</v>
      </c>
      <c r="U27" s="6">
        <v>2.1253999999999999E-2</v>
      </c>
      <c r="V27" s="6">
        <v>2.8805999999999998E-2</v>
      </c>
      <c r="W27" s="6">
        <v>0.89068099999999994</v>
      </c>
      <c r="X27" s="6">
        <v>0.117905</v>
      </c>
      <c r="Y27" s="6">
        <v>62.030597999999998</v>
      </c>
      <c r="Z27" s="6">
        <v>0.355267</v>
      </c>
      <c r="AA27" s="6">
        <v>8.2128000000000007E-2</v>
      </c>
      <c r="AB27" s="6">
        <v>6.1796999999999998E-2</v>
      </c>
      <c r="AC27" s="6">
        <v>6.9752999999999996E-2</v>
      </c>
      <c r="AD27" s="6">
        <v>8.2728999999999997E-2</v>
      </c>
      <c r="AE27" s="6">
        <v>5.1269000000000002E-2</v>
      </c>
      <c r="AF27" s="6">
        <v>3.0238000000000001E-2</v>
      </c>
      <c r="AG27" s="6">
        <v>0.30959500000000001</v>
      </c>
      <c r="AH27" s="6">
        <v>0.11730599999999999</v>
      </c>
      <c r="AI27" s="147">
        <f t="shared" si="1"/>
        <v>1012.8666349999999</v>
      </c>
      <c r="AJ27" s="147">
        <f t="shared" si="2"/>
        <v>2.2420708209853673</v>
      </c>
      <c r="AK27" s="147">
        <f t="shared" si="3"/>
        <v>58.326788000000001</v>
      </c>
      <c r="AL27" s="147">
        <f t="shared" si="4"/>
        <v>0.19751424964543696</v>
      </c>
      <c r="AM27" s="147">
        <f t="shared" si="5"/>
        <v>7.1182299999999996</v>
      </c>
      <c r="AN27" s="147">
        <f t="shared" si="6"/>
        <v>0.1302036185749075</v>
      </c>
      <c r="AO27" s="147">
        <f t="shared" si="7"/>
        <v>-3.0015000000000003E-2</v>
      </c>
      <c r="AP27" s="147">
        <f t="shared" si="8"/>
        <v>4.1762690047457432E-2</v>
      </c>
      <c r="AQ27" s="147">
        <f t="shared" si="9"/>
        <v>0.58108599999999999</v>
      </c>
      <c r="AR27" s="147">
        <f t="shared" si="10"/>
        <v>0.16631983243437928</v>
      </c>
      <c r="AS27" s="4">
        <v>304.12046242532097</v>
      </c>
      <c r="AT27" s="4">
        <v>0.91447361557367624</v>
      </c>
      <c r="AU27" s="133">
        <f t="shared" si="11"/>
        <v>58.752171996906647</v>
      </c>
      <c r="AV27" s="133">
        <f t="shared" si="12"/>
        <v>0.19752414813251823</v>
      </c>
      <c r="AW27" s="133">
        <f t="shared" si="13"/>
        <v>7.2220581459387336</v>
      </c>
      <c r="AX27" s="133">
        <f t="shared" si="14"/>
        <v>0.13020718622768912</v>
      </c>
      <c r="AY27" s="133">
        <f t="shared" si="15"/>
        <v>-3.0671708577908654E-2</v>
      </c>
      <c r="AZ27" s="133">
        <f t="shared" si="16"/>
        <v>4.1764664533757351E-2</v>
      </c>
      <c r="BA27" s="133">
        <f t="shared" si="17"/>
        <v>0.59803770906558396</v>
      </c>
      <c r="BB27" s="133">
        <f t="shared" si="18"/>
        <v>0.16632425616022217</v>
      </c>
      <c r="BC27" s="6"/>
      <c r="BD27" s="8"/>
      <c r="BE27" s="147">
        <v>0.66800000000000004</v>
      </c>
      <c r="BF27" s="147">
        <f t="shared" si="249"/>
        <v>3.3400000000000006E-2</v>
      </c>
      <c r="BG27" s="147">
        <f t="shared" si="250"/>
        <v>0.47741343214913678</v>
      </c>
      <c r="BH27" s="147">
        <f t="shared" si="251"/>
        <v>2.3870671607456841E-2</v>
      </c>
      <c r="BI27" s="157">
        <f>BG27/100*Sample_Mass/MW_Ca</f>
        <v>8.6954043280656144E-8</v>
      </c>
      <c r="BJ27" s="157">
        <f t="shared" si="252"/>
        <v>4.3477021640328077E-9</v>
      </c>
      <c r="BK27" s="133">
        <f>BI27*J*alpha/Ca_Constant/Ar_Sensitivity</f>
        <v>34.083702762442947</v>
      </c>
      <c r="BL27" s="133">
        <f t="shared" si="253"/>
        <v>1.7041851381221473</v>
      </c>
      <c r="BM27" s="133"/>
      <c r="BN27" s="133"/>
      <c r="BO27" s="143">
        <f t="shared" si="254"/>
        <v>1005.2161748873608</v>
      </c>
      <c r="BP27" s="133">
        <f t="shared" si="255"/>
        <v>2.242218348845078</v>
      </c>
      <c r="BQ27" s="143">
        <f t="shared" si="271"/>
        <v>58.752171996906647</v>
      </c>
      <c r="BR27" s="133">
        <f t="shared" si="272"/>
        <v>0.19752414813251823</v>
      </c>
      <c r="BS27" s="143">
        <f t="shared" si="256"/>
        <v>7.2220581459387336</v>
      </c>
      <c r="BT27" s="133">
        <f t="shared" si="257"/>
        <v>0.13020718622768912</v>
      </c>
      <c r="BU27" s="147">
        <f t="shared" si="258"/>
        <v>0.58614832009672491</v>
      </c>
      <c r="BV27" s="147">
        <f t="shared" si="21"/>
        <v>0.16632531852119309</v>
      </c>
      <c r="BW27" s="5"/>
      <c r="BX27" s="147">
        <f>IF(Rad_Type="Continuous", BU27-((EXP(lambda_36Ar*(Run_Date-Rad_Date))-1)*Cl3638_PR*BZ27),BU27*Ar36_DecayFactor)</f>
        <v>0.57970532533016461</v>
      </c>
      <c r="BY27" s="147">
        <f>IF(K:K="Continuous", SQRT(BV27^2+(((EXP(lambda_36Ar*(Run_Date-Rad_Date))-1)*Cl3638_PR)*CA27^2)), Ar36_ICerr*Ar36_DecayFactor)</f>
        <v>0.1663263557126847</v>
      </c>
      <c r="BZ27" s="143">
        <f>IF(Rad_Type="Continuous", BS27-(Ar3836_Air*BU27)/(1-lambda_36Ar*(Run_Date-Rad_Date)),Ar38_IC-(Ar3836_Air*Ar36_IC)/Ar36_DecayFactor)</f>
        <v>7.111861945836</v>
      </c>
      <c r="CA27" s="147">
        <f>IF(Rad_Type ="Continuous", SQRT(BT27^2*(((EXP(lambda_36Ar*(Run_Date-Rad_Date))-1*Ar3836_Air)*BV27^2))),SQRT(Ar38_ICerr^2*(((EXP(lambda_36Ar*(Ar36_DecayFactor))-1*Ar3836_Air)*Ar36_ICerr^2))))</f>
        <v>1.9515159223839701E-2</v>
      </c>
      <c r="CB27" s="143">
        <f t="shared" si="26"/>
        <v>833.91325125229719</v>
      </c>
      <c r="CC27" s="143">
        <f t="shared" si="27"/>
        <v>49.200557008606928</v>
      </c>
      <c r="CD27" s="3">
        <v>1.5903158759700325E-12</v>
      </c>
      <c r="CE27" s="3">
        <v>4.0102150310807229E-15</v>
      </c>
      <c r="CF27" s="157">
        <f t="shared" si="28"/>
        <v>9.2191458225693334E-13</v>
      </c>
      <c r="CG27" s="157">
        <f t="shared" si="29"/>
        <v>2.6452165975675452E-13</v>
      </c>
      <c r="CH27" s="157">
        <f t="shared" si="30"/>
        <v>5.4203853614956672E-11</v>
      </c>
      <c r="CI27" s="158">
        <f t="shared" si="31"/>
        <v>2.7136371538982556E-12</v>
      </c>
      <c r="CJ27" s="157">
        <f t="shared" si="32"/>
        <v>1.1310106960170119E-11</v>
      </c>
      <c r="CK27" s="477">
        <f t="shared" si="33"/>
        <v>4.2149539597477106E-14</v>
      </c>
      <c r="CL27" s="157">
        <f t="shared" si="34"/>
        <v>9.3434511874402603E-11</v>
      </c>
      <c r="CM27" s="157">
        <f t="shared" si="35"/>
        <v>3.9266593705184417E-13</v>
      </c>
      <c r="CN27" s="157">
        <f t="shared" si="36"/>
        <v>1.5986112417052387E-9</v>
      </c>
      <c r="CO27" s="157">
        <f t="shared" si="37"/>
        <v>5.3819342010533857E-12</v>
      </c>
      <c r="CP27" s="157">
        <f t="shared" si="38"/>
        <v>5.0460096970674439E-16</v>
      </c>
      <c r="CQ27" s="157">
        <f t="shared" si="39"/>
        <v>1.880503772957906E-18</v>
      </c>
      <c r="CR27" s="157">
        <f t="shared" si="40"/>
        <v>7.1322117959566401E-14</v>
      </c>
      <c r="CS27" s="157">
        <f t="shared" si="41"/>
        <v>2.401152585571564E-16</v>
      </c>
      <c r="CT27" s="66">
        <v>4.4838781044856408E-3</v>
      </c>
      <c r="CU27" s="66">
        <v>7.3731430178318036E-6</v>
      </c>
      <c r="CV27" s="3">
        <v>1.1611559367069784E+19</v>
      </c>
      <c r="CW27" s="60">
        <v>1.040942599512031E+18</v>
      </c>
      <c r="CX27" s="3">
        <v>8.6527210079182822E+17</v>
      </c>
      <c r="CY27" s="3">
        <v>8.9278178143800032E+16</v>
      </c>
      <c r="CZ27" s="6">
        <v>0.49865169925804054</v>
      </c>
      <c r="DA27" s="6">
        <v>2.7936431740382541E-2</v>
      </c>
      <c r="DB27" s="4">
        <v>24.337069265073254</v>
      </c>
      <c r="DC27" s="4">
        <v>0.74264427477540718</v>
      </c>
      <c r="DD27" s="157">
        <f t="shared" si="42"/>
        <v>7.6618576684782492E-8</v>
      </c>
      <c r="DE27" s="157">
        <f t="shared" si="43"/>
        <v>7.8119067140582742E-10</v>
      </c>
      <c r="DF27" s="147">
        <f t="shared" si="44"/>
        <v>4103.6384887597696</v>
      </c>
      <c r="DG27" s="147">
        <f t="shared" si="45"/>
        <v>46.600267632206034</v>
      </c>
      <c r="DH27" s="159">
        <f t="shared" si="46"/>
        <v>0.41036384887597699</v>
      </c>
      <c r="DI27" s="167">
        <f t="shared" si="47"/>
        <v>4.6600267632206033E-3</v>
      </c>
      <c r="DJ27" s="157">
        <f t="shared" si="48"/>
        <v>4.2027163233859418E-10</v>
      </c>
      <c r="DK27" s="157">
        <f t="shared" si="49"/>
        <v>1.3496829779596529E-11</v>
      </c>
      <c r="DL27" s="147">
        <f t="shared" si="50"/>
        <v>20.410808467534494</v>
      </c>
      <c r="DM27" s="133">
        <f t="shared" si="51"/>
        <v>0.66338068337599465</v>
      </c>
      <c r="DN27" s="159">
        <f t="shared" si="52"/>
        <v>2.0410808467534493E-3</v>
      </c>
      <c r="DO27" s="167">
        <f t="shared" si="53"/>
        <v>6.6338068337599469E-5</v>
      </c>
      <c r="DP27" s="157">
        <f t="shared" si="54"/>
        <v>8.6954043280656144E-8</v>
      </c>
      <c r="DQ27" s="157">
        <f t="shared" si="55"/>
        <v>6.582911378235548E-9</v>
      </c>
      <c r="DR27" s="143">
        <f t="shared" si="56"/>
        <v>4774.1343214913677</v>
      </c>
      <c r="DS27" s="143">
        <f t="shared" si="57"/>
        <v>362.2166159360541</v>
      </c>
      <c r="DT27" s="147">
        <f t="shared" si="58"/>
        <v>0.47741343214913678</v>
      </c>
      <c r="DU27" s="147">
        <f t="shared" si="59"/>
        <v>3.622166159360541E-2</v>
      </c>
      <c r="DV27" s="133">
        <f t="shared" si="60"/>
        <v>182.30727650695755</v>
      </c>
      <c r="DW27" s="133">
        <f t="shared" si="61"/>
        <v>1.8598069813194513</v>
      </c>
      <c r="DX27" s="133">
        <f t="shared" si="62"/>
        <v>0.88113874633161671</v>
      </c>
      <c r="DY27" s="133">
        <f t="shared" si="63"/>
        <v>1.4715292504869694E-2</v>
      </c>
      <c r="DZ27" s="133">
        <f t="shared" si="64"/>
        <v>201.05222658313764</v>
      </c>
      <c r="EA27" s="133">
        <f t="shared" si="65"/>
        <v>2.2841735316061027</v>
      </c>
      <c r="EB27" s="133">
        <f t="shared" si="66"/>
        <v>0.85955656301640349</v>
      </c>
      <c r="EC27" s="133">
        <f t="shared" si="67"/>
        <v>1.5517341641014284E-2</v>
      </c>
      <c r="ED27" s="157">
        <f t="shared" si="68"/>
        <v>1.6970481105920882E-4</v>
      </c>
      <c r="EE27" s="157">
        <f t="shared" si="69"/>
        <v>5.4798569794838512E-6</v>
      </c>
      <c r="EF27" s="147">
        <f t="shared" si="70"/>
        <v>14.193743361457402</v>
      </c>
      <c r="EG27" s="147">
        <f t="shared" si="71"/>
        <v>0.8387838253415113</v>
      </c>
      <c r="EH27" s="157">
        <f t="shared" si="72"/>
        <v>9.3087239473259443E-7</v>
      </c>
      <c r="EI27" s="157">
        <f t="shared" si="73"/>
        <v>9.9950442942997598E-9</v>
      </c>
      <c r="EJ27" s="143">
        <f t="shared" si="74"/>
        <v>111.18687825088909</v>
      </c>
      <c r="EK27" s="143">
        <f t="shared" si="75"/>
        <v>6.3935719333187739</v>
      </c>
      <c r="EL27" s="143">
        <f t="shared" si="76"/>
        <v>6.39604662468225</v>
      </c>
      <c r="EM27" s="133">
        <f t="shared" si="77"/>
        <v>111.18687825088909</v>
      </c>
      <c r="EN27" s="133">
        <f t="shared" si="78"/>
        <v>6.3935719333187739</v>
      </c>
      <c r="EO27" s="133">
        <f t="shared" si="79"/>
        <v>6.39604662468225</v>
      </c>
      <c r="EP27" s="501">
        <f t="shared" si="283"/>
        <v>44.217343280572329</v>
      </c>
      <c r="EQ27" s="143">
        <f t="shared" si="284"/>
        <v>111.18687825088909</v>
      </c>
      <c r="ER27" s="143">
        <f t="shared" si="285"/>
        <v>6.3935719333187739</v>
      </c>
      <c r="ES27" s="147">
        <f t="shared" si="81"/>
        <v>101.34833928504109</v>
      </c>
      <c r="ET27" s="147">
        <f t="shared" si="82"/>
        <v>29.079272878368364</v>
      </c>
      <c r="EU27" s="143">
        <f t="shared" si="83"/>
        <v>1734.0123179217844</v>
      </c>
      <c r="EV27" s="143">
        <f t="shared" si="84"/>
        <v>497.52978413867413</v>
      </c>
      <c r="EW27" s="157">
        <f t="shared" si="85"/>
        <v>5.844730065499603E-2</v>
      </c>
      <c r="EX27" s="157">
        <f t="shared" si="86"/>
        <v>2.3581490926704945E-4</v>
      </c>
      <c r="EY27" s="157">
        <f t="shared" si="87"/>
        <v>5.7669717202384182E-4</v>
      </c>
      <c r="EZ27" s="157">
        <f t="shared" si="88"/>
        <v>1.6546827063736467E-4</v>
      </c>
      <c r="FA27" s="66">
        <v>0.26060899999999998</v>
      </c>
      <c r="FB27" s="66">
        <v>5.0549999999999996E-3</v>
      </c>
      <c r="FC27" s="66">
        <v>7.7925999999999995E-2</v>
      </c>
      <c r="FD27" s="66">
        <v>2.4780000000000002E-3</v>
      </c>
      <c r="FE27" s="66">
        <v>2.6401999999999998E-2</v>
      </c>
      <c r="FF27" s="66">
        <v>1.225E-3</v>
      </c>
      <c r="FG27" s="117"/>
      <c r="FH27" s="117"/>
      <c r="FI27" s="66">
        <v>4.6849999999999999E-3</v>
      </c>
      <c r="FJ27" s="66">
        <v>8.9400000000000005E-4</v>
      </c>
      <c r="FK27" s="66">
        <v>2.9819999999999998E-3</v>
      </c>
      <c r="FL27" s="66">
        <v>7.1599999999999995E-4</v>
      </c>
      <c r="FM27" s="66">
        <v>5.189E-3</v>
      </c>
      <c r="FN27" s="66">
        <v>6.0800000000000003E-4</v>
      </c>
      <c r="FO27" s="117"/>
      <c r="FP27" s="117"/>
      <c r="FQ27" s="159">
        <f t="shared" si="89"/>
        <v>0.25592399999999998</v>
      </c>
      <c r="FR27" s="159">
        <f t="shared" si="90"/>
        <v>5.1334453342759961E-3</v>
      </c>
      <c r="FS27" s="159">
        <f t="shared" si="91"/>
        <v>7.4943999999999997E-2</v>
      </c>
      <c r="FT27" s="159">
        <f t="shared" si="92"/>
        <v>3.5044212075605297E-3</v>
      </c>
      <c r="FU27" s="159">
        <f t="shared" si="93"/>
        <v>2.1212999999999999E-2</v>
      </c>
      <c r="FV27" s="159">
        <f t="shared" si="94"/>
        <v>1.3675850979006754E-3</v>
      </c>
      <c r="FW27" s="159">
        <f t="shared" si="95"/>
        <v>0</v>
      </c>
      <c r="FX27" s="159">
        <f t="shared" si="96"/>
        <v>0</v>
      </c>
      <c r="FY27" s="159">
        <f t="shared" si="97"/>
        <v>2.0772438425527374E-2</v>
      </c>
      <c r="FZ27" s="159">
        <f t="shared" si="98"/>
        <v>2.7436761887534864E-3</v>
      </c>
      <c r="GA27" s="159">
        <f t="shared" si="99"/>
        <v>0.25510141143834908</v>
      </c>
      <c r="GB27" s="159">
        <f t="shared" si="100"/>
        <v>5.134594991876038E-3</v>
      </c>
      <c r="GC27" s="159">
        <f t="shared" si="101"/>
        <v>7.0743812950358365E-2</v>
      </c>
      <c r="GD27" s="159">
        <f t="shared" si="102"/>
        <v>3.5480613331012609E-3</v>
      </c>
      <c r="GE27" s="159">
        <f t="shared" si="103"/>
        <v>-6.3397482074709554E-3</v>
      </c>
      <c r="GF27" s="159">
        <f t="shared" si="104"/>
        <v>8.3736997280756413E-4</v>
      </c>
      <c r="GG27" s="3">
        <v>1.7782159136499011E-12</v>
      </c>
      <c r="GH27" s="3">
        <v>7.5535622364420377E-15</v>
      </c>
      <c r="GI27" s="6">
        <v>1</v>
      </c>
      <c r="GJ27" s="6">
        <v>5.0000000000000001E-3</v>
      </c>
      <c r="GK27" s="157">
        <f t="shared" si="105"/>
        <v>4.5362538941422324E-13</v>
      </c>
      <c r="GL27" s="157">
        <f t="shared" si="106"/>
        <v>9.6032275762335592E-15</v>
      </c>
      <c r="GM27" s="157">
        <f t="shared" si="107"/>
        <v>1.2579777398059921E-13</v>
      </c>
      <c r="GN27" s="157">
        <f t="shared" si="108"/>
        <v>6.3629727255859032E-15</v>
      </c>
      <c r="GO27" s="157">
        <f t="shared" si="109"/>
        <v>3.6937880573585473E-14</v>
      </c>
      <c r="GP27" s="157">
        <f t="shared" si="110"/>
        <v>4.8848637538268908E-15</v>
      </c>
      <c r="GQ27" s="157">
        <f t="shared" si="111"/>
        <v>-1.1273441151058288E-14</v>
      </c>
      <c r="GR27" s="157">
        <f t="shared" si="112"/>
        <v>-1.4908604176679673E-15</v>
      </c>
      <c r="GS27" s="157">
        <f t="shared" si="113"/>
        <v>2.0238518714996629E-17</v>
      </c>
      <c r="GT27" s="157">
        <f t="shared" si="114"/>
        <v>4.2844846349956604E-19</v>
      </c>
      <c r="GU27" s="157">
        <f t="shared" si="115"/>
        <v>5.6124737777550981E-18</v>
      </c>
      <c r="GV27" s="157">
        <f t="shared" si="116"/>
        <v>2.8388433629022036E-19</v>
      </c>
      <c r="GW27" s="157">
        <f t="shared" si="117"/>
        <v>1.647985330464354E-18</v>
      </c>
      <c r="GX27" s="157">
        <f t="shared" si="118"/>
        <v>2.1793843292291966E-19</v>
      </c>
      <c r="GY27" s="147">
        <f t="shared" si="119"/>
        <v>3.6059890017146272</v>
      </c>
      <c r="GZ27" s="147">
        <f t="shared" si="120"/>
        <v>7.8897046924171876E-2</v>
      </c>
      <c r="HA27" s="4">
        <v>26.169770272470501</v>
      </c>
      <c r="HB27" s="4">
        <v>0.31897682079735301</v>
      </c>
      <c r="HC27" s="228">
        <f t="shared" si="121"/>
        <v>652.48310128084131</v>
      </c>
      <c r="HD27" s="228">
        <f t="shared" si="122"/>
        <v>16.123343468088567</v>
      </c>
      <c r="HE27" s="239">
        <f t="shared" si="123"/>
        <v>2.8578884843633373E-13</v>
      </c>
      <c r="HF27" s="229">
        <f t="shared" si="124"/>
        <v>1.1580496108598482E-14</v>
      </c>
      <c r="HG27" s="362">
        <f t="shared" si="125"/>
        <v>31.281742665009325</v>
      </c>
      <c r="HH27" s="362">
        <f t="shared" si="126"/>
        <v>1.2771859241064909</v>
      </c>
      <c r="HI27" s="4">
        <v>7.5091582159801398</v>
      </c>
      <c r="HJ27" s="4">
        <v>0.114829942558394</v>
      </c>
      <c r="HK27" s="228">
        <f t="shared" si="127"/>
        <v>675.1262754194172</v>
      </c>
      <c r="HL27" s="228">
        <f t="shared" si="128"/>
        <v>35.763645593901906</v>
      </c>
      <c r="HM27" s="239">
        <f t="shared" si="129"/>
        <v>2.7620372799647702E-13</v>
      </c>
      <c r="HN27" s="229">
        <f t="shared" si="130"/>
        <v>1.1192095894379008E-14</v>
      </c>
      <c r="HO27" s="362">
        <f t="shared" si="131"/>
        <v>30.232579016206159</v>
      </c>
      <c r="HP27" s="362">
        <f t="shared" si="132"/>
        <v>1.8789276302637976</v>
      </c>
      <c r="HQ27" s="6">
        <v>1.11613116912226</v>
      </c>
      <c r="HR27" s="6">
        <v>3.5153924948669403E-2</v>
      </c>
      <c r="HS27" s="6">
        <f t="shared" si="133"/>
        <v>33.767514360780176</v>
      </c>
      <c r="HT27" s="6">
        <f t="shared" si="134"/>
        <v>3.2955380065638247</v>
      </c>
      <c r="HU27" s="6">
        <v>1.11613116912226</v>
      </c>
      <c r="HV27" s="6">
        <v>3.5153924948669403E-2</v>
      </c>
      <c r="HW27" s="6">
        <f t="shared" si="135"/>
        <v>40.73307497552193</v>
      </c>
      <c r="HX27" s="6">
        <f t="shared" si="136"/>
        <v>4.4201778188562679</v>
      </c>
      <c r="HY27" s="3">
        <v>1.9789000000000001E-2</v>
      </c>
      <c r="HZ27" s="3">
        <v>1.1000000000000001E-3</v>
      </c>
      <c r="IA27" s="3">
        <v>3.3159999999999999E-3</v>
      </c>
      <c r="IB27" s="3">
        <v>4.3600000000000003E-4</v>
      </c>
      <c r="IC27" s="3">
        <v>5.6400000000000005E-4</v>
      </c>
      <c r="ID27" s="3">
        <v>2.7099999999999997E-4</v>
      </c>
      <c r="IE27" s="3">
        <v>8.6624999999999994E-2</v>
      </c>
      <c r="IF27" s="3">
        <v>1.305E-3</v>
      </c>
      <c r="IG27" s="3">
        <v>6.3290000000000004E-3</v>
      </c>
      <c r="IH27" s="3">
        <v>4.2900000000000002E-4</v>
      </c>
      <c r="II27" s="3">
        <v>3.7559999999999998E-3</v>
      </c>
      <c r="IJ27" s="3">
        <v>2.3499999999999999E-4</v>
      </c>
      <c r="IK27" s="3">
        <v>4.1130000000000003E-3</v>
      </c>
      <c r="IL27" s="3">
        <v>3.68E-4</v>
      </c>
      <c r="IM27" s="3">
        <v>3.8499999999999998E-4</v>
      </c>
      <c r="IN27" s="3">
        <v>3.3E-4</v>
      </c>
      <c r="IO27" s="3">
        <v>2.4600000000000002E-4</v>
      </c>
      <c r="IP27" s="3">
        <v>1.22E-4</v>
      </c>
      <c r="IQ27" s="3">
        <v>2.0599999999999999E-4</v>
      </c>
      <c r="IR27" s="3">
        <v>1.08E-4</v>
      </c>
      <c r="IS27" s="3">
        <v>8.2100000000000001E-4</v>
      </c>
      <c r="IT27" s="3">
        <v>3.0299999999999999E-4</v>
      </c>
      <c r="IU27" s="3">
        <v>4.2700000000000002E-4</v>
      </c>
      <c r="IV27" s="3">
        <v>1.4999999999999999E-4</v>
      </c>
      <c r="IW27" s="3">
        <v>2.7399999999999999E-4</v>
      </c>
      <c r="IX27" s="3">
        <v>1.06E-4</v>
      </c>
      <c r="IY27" s="3">
        <v>1.8000000000000001E-4</v>
      </c>
      <c r="IZ27" s="3">
        <v>8.1000000000000004E-5</v>
      </c>
      <c r="JA27" s="157">
        <f t="shared" si="137"/>
        <v>1.9404000000000001E-2</v>
      </c>
      <c r="JB27" s="157">
        <f t="shared" si="138"/>
        <v>1.1484337159801605E-3</v>
      </c>
      <c r="JC27" s="157">
        <f t="shared" si="139"/>
        <v>3.0699999999999998E-3</v>
      </c>
      <c r="JD27" s="157">
        <f t="shared" si="140"/>
        <v>4.5274717006293919E-4</v>
      </c>
      <c r="JE27" s="157">
        <f t="shared" si="141"/>
        <v>3.5800000000000003E-4</v>
      </c>
      <c r="JF27" s="157">
        <f t="shared" si="142"/>
        <v>2.9172761268004779E-4</v>
      </c>
      <c r="JG27" s="157">
        <f t="shared" si="143"/>
        <v>8.5803999999999991E-2</v>
      </c>
      <c r="JH27" s="157">
        <f t="shared" si="144"/>
        <v>1.3397141486152931E-3</v>
      </c>
      <c r="JI27" s="157">
        <f t="shared" si="145"/>
        <v>5.9020000000000001E-3</v>
      </c>
      <c r="JJ27" s="157">
        <f t="shared" si="146"/>
        <v>4.5446782064300219E-4</v>
      </c>
      <c r="JK27" s="157">
        <f t="shared" si="147"/>
        <v>3.4819999999999999E-3</v>
      </c>
      <c r="JL27" s="157">
        <f t="shared" si="148"/>
        <v>2.5780031031788926E-4</v>
      </c>
      <c r="JM27" s="157">
        <f t="shared" si="149"/>
        <v>3.9330000000000007E-3</v>
      </c>
      <c r="JN27" s="157">
        <f t="shared" si="150"/>
        <v>3.7680897016923576E-4</v>
      </c>
      <c r="JO27" s="157">
        <f>Xe128BC-(Xe130BC*Xe128130_Air)</f>
        <v>1.9235167767430002E-2</v>
      </c>
      <c r="JP27" s="157">
        <f>SQRT(Xe128BCerr^2+(Xe130BCerr*Xe128130_Air)^2)</f>
        <v>1.1566450549150425E-3</v>
      </c>
      <c r="JQ27" s="157">
        <f>Xe129BC-(Xe130BC*Xe129130_Air)</f>
        <v>7.4560105687599982E-4</v>
      </c>
      <c r="JR27" s="157">
        <f>SQRT(Xe129BCerr^2+(Xe130BCerr*Xe129130_Air)^2)</f>
        <v>1.9474682085361583E-3</v>
      </c>
      <c r="JS27" s="157">
        <f>Xe131BC-(Xe130BC*Xe131130_Air)</f>
        <v>8.3938332893027989E-2</v>
      </c>
      <c r="JT27" s="157">
        <f>SQRT(Xe131BCerr^2+(Xe130BCerr*Xe131130_Air)^2)</f>
        <v>2.0263611203979568E-3</v>
      </c>
      <c r="JU27" s="157">
        <f>Xe132BC-(Xe130BC*Xe132130_Air)</f>
        <v>3.5374029062299997E-3</v>
      </c>
      <c r="JV27" s="157">
        <f>SQRT((Xe132BCerr^2+(Xe130BCerr*Xe132130_Air)^2))</f>
        <v>1.9797363800303212E-3</v>
      </c>
      <c r="JW27" s="157">
        <f>Xe134BC-(Xe130BC*Xe134130_Air)</f>
        <v>2.5605165125239995E-3</v>
      </c>
      <c r="JX27" s="157">
        <f>SQRT(Xe134BCerr^2+(Xe130BCerr*Xe134130_Air)^2)</f>
        <v>7.9392173253911981E-4</v>
      </c>
      <c r="JY27" s="157">
        <f>Xe136BC-(Xe130BC*Xe136130_Air)</f>
        <v>3.1541017173340007E-3</v>
      </c>
      <c r="JZ27" s="157">
        <f>SQRT(Xe136BCerr^2+(Xe130BCerr*Xe136130_Air)^2)</f>
        <v>7.381338834760835E-4</v>
      </c>
      <c r="KA27" s="3">
        <v>1.7696448643015688E-12</v>
      </c>
      <c r="KB27" s="3">
        <v>3.8892524257744769E-14</v>
      </c>
      <c r="KC27" s="5">
        <v>1</v>
      </c>
      <c r="KD27" s="5">
        <v>0</v>
      </c>
      <c r="KE27" s="157">
        <f t="shared" si="163"/>
        <v>3.4039415853611578E-14</v>
      </c>
      <c r="KF27" s="157">
        <f t="shared" si="164"/>
        <v>2.1792794398349864E-15</v>
      </c>
      <c r="KG27" s="157">
        <f t="shared" si="165"/>
        <v>1.5186701866279411E-18</v>
      </c>
      <c r="KH27" s="157">
        <f t="shared" si="166"/>
        <v>9.7228657741295991E-20</v>
      </c>
      <c r="KI27" s="6">
        <v>1.2430056234832578</v>
      </c>
      <c r="KJ27" s="6">
        <v>0.11113867994607306</v>
      </c>
      <c r="KK27" s="157">
        <f t="shared" si="167"/>
        <v>1.8171520197009451E-14</v>
      </c>
      <c r="KL27" s="157">
        <f t="shared" si="260"/>
        <v>2.5808667241860686E-15</v>
      </c>
      <c r="KM27" s="494">
        <f t="shared" si="168"/>
        <v>3.1589694312895702</v>
      </c>
      <c r="KN27" s="494">
        <f t="shared" si="281"/>
        <v>0.45366246739687199</v>
      </c>
      <c r="KO27" s="4">
        <v>20.162258156415799</v>
      </c>
      <c r="KP27" s="4">
        <v>0.66285498057307002</v>
      </c>
      <c r="KQ27" s="229">
        <f t="shared" si="170"/>
        <v>6699.2129738157755</v>
      </c>
      <c r="KR27" s="229">
        <f t="shared" si="171"/>
        <v>482.78825872688594</v>
      </c>
      <c r="KS27" s="364">
        <f t="shared" si="172"/>
        <v>3.0467472145326933</v>
      </c>
      <c r="KT27" s="364">
        <f t="shared" si="173"/>
        <v>0.24086481575751245</v>
      </c>
      <c r="KU27" s="147">
        <f t="shared" si="174"/>
        <v>8.300742279658066E-2</v>
      </c>
      <c r="KV27" s="147">
        <f t="shared" si="175"/>
        <v>2.0471663452842318E-3</v>
      </c>
      <c r="KW27" s="157">
        <f t="shared" si="176"/>
        <v>1.4689365945087793E-13</v>
      </c>
      <c r="KX27" s="157">
        <f t="shared" si="177"/>
        <v>4.852497554013581E-15</v>
      </c>
      <c r="KY27" s="157">
        <f t="shared" si="178"/>
        <v>6.5536677295552622E-18</v>
      </c>
      <c r="KZ27" s="157">
        <f t="shared" si="179"/>
        <v>2.1649441338222619E-19</v>
      </c>
      <c r="LA27" s="6">
        <v>1.2485542932379501</v>
      </c>
      <c r="LB27" s="6">
        <v>5.9627651953476503E-2</v>
      </c>
      <c r="LC27" s="157">
        <f t="shared" si="180"/>
        <v>5.5055800515049302E-11</v>
      </c>
      <c r="LD27" s="157">
        <f t="shared" si="181"/>
        <v>6.3631743159892267E-12</v>
      </c>
      <c r="LE27" s="159">
        <f t="shared" si="182"/>
        <v>10.357051941548187</v>
      </c>
      <c r="LF27" s="159">
        <f t="shared" si="183"/>
        <v>1.2020351223179429</v>
      </c>
      <c r="LG27" s="471"/>
      <c r="LH27" s="471"/>
      <c r="LI27" s="134"/>
      <c r="LJ27" s="134"/>
      <c r="LK27" s="134"/>
      <c r="LL27" s="134"/>
      <c r="LM27" s="157">
        <f t="shared" si="184"/>
        <v>4.5312048963474595E-15</v>
      </c>
      <c r="LN27" s="157">
        <f t="shared" si="185"/>
        <v>1.4084844357653506E-15</v>
      </c>
      <c r="LO27" s="157">
        <f t="shared" si="186"/>
        <v>2.0215992586886064E-19</v>
      </c>
      <c r="LP27" s="157">
        <f t="shared" si="187"/>
        <v>6.2839601305998572E-20</v>
      </c>
      <c r="LQ27" s="157">
        <f t="shared" si="188"/>
        <v>5.1459839780067845E-14</v>
      </c>
      <c r="LR27" s="157">
        <f t="shared" si="189"/>
        <v>1.6647775415566807E-14</v>
      </c>
      <c r="LS27" s="147">
        <f t="shared" si="190"/>
        <v>16.779355577567383</v>
      </c>
      <c r="LT27" s="147">
        <f t="shared" si="191"/>
        <v>5.4289384798044171</v>
      </c>
      <c r="LU27" s="1"/>
      <c r="LV27" s="1"/>
      <c r="LW27" s="214" t="str">
        <f t="shared" si="192"/>
        <v>60z3 crushed residue</v>
      </c>
      <c r="LX27" s="214" t="str">
        <f t="shared" si="193"/>
        <v>MN2022a</v>
      </c>
      <c r="LY27" s="212">
        <f t="shared" si="194"/>
        <v>4103.6384887597696</v>
      </c>
      <c r="LZ27" s="212">
        <f t="shared" si="195"/>
        <v>46.600267632206034</v>
      </c>
      <c r="MA27" s="212">
        <f t="shared" si="196"/>
        <v>20.410808467534494</v>
      </c>
      <c r="MB27" s="212">
        <f t="shared" si="197"/>
        <v>0.66338068337599465</v>
      </c>
      <c r="MC27" s="212">
        <f t="shared" si="198"/>
        <v>4774.1343214913677</v>
      </c>
      <c r="MD27" s="212">
        <f t="shared" si="199"/>
        <v>362.2166159360541</v>
      </c>
      <c r="ME27" s="212">
        <f t="shared" si="200"/>
        <v>33.767514360780176</v>
      </c>
      <c r="MF27" s="212">
        <f t="shared" si="201"/>
        <v>3.2955380065638247</v>
      </c>
      <c r="MG27" s="212">
        <f t="shared" si="202"/>
        <v>40.73307497552193</v>
      </c>
      <c r="MH27" s="212">
        <f t="shared" si="203"/>
        <v>4.4201778188562679</v>
      </c>
      <c r="MI27" s="212">
        <f t="shared" si="204"/>
        <v>31.281742665009325</v>
      </c>
      <c r="MJ27" s="212">
        <f t="shared" si="205"/>
        <v>1.2771859241064909</v>
      </c>
      <c r="MK27" s="212">
        <f t="shared" si="206"/>
        <v>30.232579016206159</v>
      </c>
      <c r="ML27" s="212">
        <f t="shared" si="207"/>
        <v>1.8789276302637976</v>
      </c>
      <c r="MM27" s="212">
        <f t="shared" si="261"/>
        <v>3.1589694312895702</v>
      </c>
      <c r="MN27" s="212">
        <f t="shared" si="208"/>
        <v>0.45366246739687199</v>
      </c>
      <c r="MO27" s="212">
        <f t="shared" si="209"/>
        <v>3.0467472145326933</v>
      </c>
      <c r="MP27" s="212">
        <f t="shared" si="210"/>
        <v>0.24086481575751245</v>
      </c>
      <c r="MQ27" s="211"/>
      <c r="MR27" s="211"/>
      <c r="MS27" s="211"/>
      <c r="MT27" s="211"/>
      <c r="MU27" s="506">
        <f t="shared" si="273"/>
        <v>201.05222658313764</v>
      </c>
      <c r="MV27" s="506">
        <f t="shared" si="274"/>
        <v>2.2841735316061027</v>
      </c>
      <c r="MW27" s="109">
        <f t="shared" si="211"/>
        <v>1.5326067419017811E-3</v>
      </c>
      <c r="MX27" s="109">
        <f t="shared" si="212"/>
        <v>7.9979582071705777E-5</v>
      </c>
      <c r="MY27" s="109">
        <f t="shared" si="213"/>
        <v>1.4812043856221673E-3</v>
      </c>
      <c r="MZ27" s="109">
        <f t="shared" si="214"/>
        <v>1.0388359673944971E-4</v>
      </c>
      <c r="NA27" s="513">
        <f>(MM27/1000)/MA27</f>
        <v>1.5476944170605679E-4</v>
      </c>
      <c r="NB27" s="513">
        <f>NA27*SQRT((MN27/MM27)^2 + (MB27/MA27)^2)</f>
        <v>2.2788682961386557E-5</v>
      </c>
      <c r="NC27" s="506">
        <f t="shared" si="275"/>
        <v>182.30727650695755</v>
      </c>
      <c r="ND27" s="506">
        <f t="shared" si="276"/>
        <v>1.8598069813194513</v>
      </c>
      <c r="NE27" s="109">
        <f t="shared" si="217"/>
        <v>6.8000984707453766E-4</v>
      </c>
      <c r="NF27" s="109">
        <f t="shared" si="218"/>
        <v>3.5159259013842485E-5</v>
      </c>
      <c r="NG27" s="513">
        <f t="shared" si="219"/>
        <v>6.5720288200168584E-4</v>
      </c>
      <c r="NH27" s="513">
        <f t="shared" si="220"/>
        <v>3.3980046689541898E-5</v>
      </c>
      <c r="NI27" s="109">
        <f t="shared" si="221"/>
        <v>4.3237570881505052E-5</v>
      </c>
      <c r="NJ27" s="109">
        <f t="shared" si="221"/>
        <v>6.3664201665239825E-6</v>
      </c>
      <c r="NK27" s="621">
        <f>Ar36CC/Sample_Mass</f>
        <v>1.2628966880231963E-9</v>
      </c>
      <c r="NL27" s="621">
        <f>NK27*SQRT((Ar36CCerr/Ar36CC)^2 + (Sample_Masserr/Sample_Mass)^2)</f>
        <v>3.6241345216140723E-10</v>
      </c>
      <c r="NM27" s="621">
        <f>Ar39CC/Sample_Mass</f>
        <v>1.2799248201972959E-7</v>
      </c>
      <c r="NN27" s="621">
        <f>NM27*SQRT((Ar39ccerr/Ar39CC)^2 + (Sample_Masserr/Sample_Mass)^2)</f>
        <v>8.3599445564916816E-10</v>
      </c>
      <c r="NO27" s="621">
        <f>Ar40CC/Sample_Mass</f>
        <v>2.1898784132948474E-6</v>
      </c>
      <c r="NP27" s="621">
        <f>NO27*SQRT((Ar40CCerrr/Ar40CC)^2 + (Sample_Masserr/Sample_Mass)^2)</f>
        <v>1.3200118511748371E-8</v>
      </c>
      <c r="NQ27" s="621">
        <f>Ar40AC*Ar_Sensitivity/Sample_Mass</f>
        <v>1.816692441983993E-6</v>
      </c>
      <c r="NR27" s="621">
        <f>NQ27*SQRT((Ar40ACerr/Ar40AC)^2 + (Ar_sensitivityerr/Ar_Sensitivity)^2 + (Sample_Masserr/Sample_Mass)^2)</f>
        <v>1.0766585633256257E-7</v>
      </c>
      <c r="NS27" s="621">
        <f>(Ar40CC-(Ar39CC/J*(EXP(lambda*96000000)-1)))/Sample_Mass</f>
        <v>6.2798438564054703E-7</v>
      </c>
      <c r="NT27" s="621">
        <f>SQRT(((Ar39CC/J*(EXP(lambda*96000000)-1)/Sample_Mass)*SQRT((Jerr/J)^2 + (Ar39ccerr/Ar39CC)^2))^2 + (Ar40CCerrr/Sample_Mass)^2)</f>
        <v>1.0199810125284894E-8</v>
      </c>
      <c r="NU27" s="621">
        <f>Kr84cc/Sample_Mass</f>
        <v>5.0599836402171886E-11</v>
      </c>
      <c r="NV27" s="621">
        <f>NU27*SQRT((Kr84ccerr/Kr84cc)^2 + (Sample_Masserr/Sample_Mass)^2)</f>
        <v>6.6963752359317935E-12</v>
      </c>
      <c r="NW27" s="621">
        <f>Xe130BC*Xe_Sensitivity/Sample_Mass</f>
        <v>8.6785323482186537E-13</v>
      </c>
      <c r="NX27" s="621">
        <f>NW27*SQRT((Xe130BCerr/Xe130BC)^2 + (Sample_Masserr/Sample_Mass)^2 + (Xe_Sensitivityerr/Xe_Sensitivity)^2)</f>
        <v>7.074680995308825E-13</v>
      </c>
      <c r="NY27" s="621">
        <f>Xe132BC*Xe_Sensitivity/Sample_Mass</f>
        <v>1.4307457519325835E-11</v>
      </c>
      <c r="NZ27" s="621">
        <f>NY27*SQRT((Xe132BCerr/Xe132BC)^2 + (Sample_Masserr/Sample_Mass)^2 + (Xe_Sensitivityerr/Xe_Sensitivity)^2)</f>
        <v>1.1479338657214599E-12</v>
      </c>
      <c r="OA27" s="622">
        <f t="shared" si="262"/>
        <v>1734.0123179217844</v>
      </c>
      <c r="OB27" s="622">
        <f t="shared" si="238"/>
        <v>497.52978413867413</v>
      </c>
      <c r="OC27" s="622">
        <f t="shared" si="239"/>
        <v>497.25713242904038</v>
      </c>
      <c r="OD27" s="622">
        <f t="shared" si="263"/>
        <v>142.92625286610476</v>
      </c>
      <c r="OE27" s="621">
        <f t="shared" si="264"/>
        <v>4.0066489113512106E-2</v>
      </c>
      <c r="OF27" s="621">
        <f t="shared" si="265"/>
        <v>1.2658450011944553E-2</v>
      </c>
      <c r="OG27" s="621">
        <f t="shared" si="266"/>
        <v>6.871925811922986E-4</v>
      </c>
      <c r="OH27" s="621">
        <f t="shared" si="267"/>
        <v>5.9389177615294339E-4</v>
      </c>
      <c r="OI27" s="621">
        <f t="shared" si="268"/>
        <v>1.1329079927924431E-2</v>
      </c>
      <c r="OJ27" s="621">
        <f t="shared" si="269"/>
        <v>3.3757835517505344E-3</v>
      </c>
      <c r="OK27" s="621">
        <f t="shared" si="240"/>
        <v>5.844730065499603E-2</v>
      </c>
      <c r="OL27" s="621">
        <f t="shared" si="241"/>
        <v>2.3581490926704945E-4</v>
      </c>
      <c r="OM27" s="621">
        <f t="shared" si="242"/>
        <v>5.7669717202384182E-4</v>
      </c>
      <c r="ON27" s="621">
        <f t="shared" si="243"/>
        <v>1.6546827063736467E-4</v>
      </c>
      <c r="OO27" s="621">
        <f t="shared" si="244"/>
        <v>101.34833928504109</v>
      </c>
      <c r="OP27" s="621">
        <f t="shared" si="245"/>
        <v>29.079272878368364</v>
      </c>
      <c r="OQ27" s="621">
        <f t="shared" si="246"/>
        <v>4.4838781044856408E-3</v>
      </c>
      <c r="OR27" s="621">
        <f t="shared" si="247"/>
        <v>7.3731430178318036E-6</v>
      </c>
    </row>
    <row r="28" spans="2:408" s="594" customFormat="1" ht="17.399999999999999">
      <c r="B28" s="574" t="s">
        <v>1005</v>
      </c>
      <c r="C28" s="575"/>
      <c r="D28" s="576"/>
      <c r="E28" s="577"/>
      <c r="F28" s="575" t="s">
        <v>210</v>
      </c>
      <c r="G28" s="575" t="s">
        <v>893</v>
      </c>
      <c r="H28" s="575">
        <v>2</v>
      </c>
      <c r="I28" s="575"/>
      <c r="J28" s="578"/>
      <c r="K28" s="577"/>
      <c r="L28" s="575"/>
      <c r="M28" s="575"/>
      <c r="N28" s="575"/>
      <c r="O28" s="579"/>
      <c r="P28" s="579"/>
      <c r="Q28" s="579"/>
      <c r="R28" s="579"/>
      <c r="S28" s="579"/>
      <c r="T28" s="579"/>
      <c r="U28" s="579"/>
      <c r="V28" s="579"/>
      <c r="W28" s="579"/>
      <c r="X28" s="579"/>
      <c r="Y28" s="579"/>
      <c r="Z28" s="579"/>
      <c r="AA28" s="579"/>
      <c r="AB28" s="579"/>
      <c r="AC28" s="579"/>
      <c r="AD28" s="579"/>
      <c r="AE28" s="579"/>
      <c r="AF28" s="579"/>
      <c r="AG28" s="579"/>
      <c r="AH28" s="579"/>
      <c r="AI28" s="580"/>
      <c r="AJ28" s="580"/>
      <c r="AK28" s="580"/>
      <c r="AL28" s="580"/>
      <c r="AM28" s="580"/>
      <c r="AN28" s="580"/>
      <c r="AO28" s="580"/>
      <c r="AP28" s="580"/>
      <c r="AQ28" s="580"/>
      <c r="AR28" s="580"/>
      <c r="AS28" s="581"/>
      <c r="AT28" s="581"/>
      <c r="AU28" s="582"/>
      <c r="AV28" s="582"/>
      <c r="AW28" s="582"/>
      <c r="AX28" s="582"/>
      <c r="AY28" s="582"/>
      <c r="AZ28" s="582"/>
      <c r="BA28" s="582"/>
      <c r="BB28" s="582"/>
      <c r="BC28" s="579"/>
      <c r="BD28" s="583"/>
      <c r="BE28" s="580"/>
      <c r="BF28" s="580"/>
      <c r="BG28" s="580"/>
      <c r="BH28" s="580"/>
      <c r="BI28" s="586"/>
      <c r="BJ28" s="586"/>
      <c r="BK28" s="582"/>
      <c r="BL28" s="582"/>
      <c r="BM28" s="582"/>
      <c r="BN28" s="582"/>
      <c r="BO28" s="584"/>
      <c r="BP28" s="582"/>
      <c r="BQ28" s="584"/>
      <c r="BR28" s="582"/>
      <c r="BS28" s="584"/>
      <c r="BT28" s="582"/>
      <c r="BU28" s="580"/>
      <c r="BV28" s="580"/>
      <c r="BW28" s="575"/>
      <c r="BX28" s="580"/>
      <c r="BY28" s="580"/>
      <c r="BZ28" s="584"/>
      <c r="CA28" s="580"/>
      <c r="CB28" s="584"/>
      <c r="CC28" s="584"/>
      <c r="CD28" s="585"/>
      <c r="CE28" s="585"/>
      <c r="CF28" s="586"/>
      <c r="CG28" s="586"/>
      <c r="CH28" s="586"/>
      <c r="CI28" s="587"/>
      <c r="CJ28" s="586"/>
      <c r="CK28" s="588"/>
      <c r="CL28" s="586"/>
      <c r="CM28" s="586"/>
      <c r="CN28" s="586"/>
      <c r="CO28" s="586"/>
      <c r="CP28" s="586"/>
      <c r="CQ28" s="586"/>
      <c r="CR28" s="586"/>
      <c r="CS28" s="586"/>
      <c r="CT28" s="576"/>
      <c r="CU28" s="576"/>
      <c r="CV28" s="585"/>
      <c r="CW28" s="589"/>
      <c r="CX28" s="585"/>
      <c r="CY28" s="585"/>
      <c r="CZ28" s="579"/>
      <c r="DA28" s="579"/>
      <c r="DB28" s="581"/>
      <c r="DC28" s="581"/>
      <c r="DD28" s="586"/>
      <c r="DE28" s="586"/>
      <c r="DF28" s="580"/>
      <c r="DG28" s="580"/>
      <c r="DH28" s="590"/>
      <c r="DI28" s="591"/>
      <c r="DJ28" s="586"/>
      <c r="DK28" s="586"/>
      <c r="DL28" s="580"/>
      <c r="DM28" s="582"/>
      <c r="DN28" s="590"/>
      <c r="DO28" s="591"/>
      <c r="DP28" s="586"/>
      <c r="DQ28" s="586"/>
      <c r="DR28" s="584"/>
      <c r="DS28" s="584"/>
      <c r="DT28" s="580"/>
      <c r="DU28" s="580"/>
      <c r="DV28" s="582"/>
      <c r="DW28" s="582"/>
      <c r="DX28" s="582"/>
      <c r="DY28" s="582"/>
      <c r="DZ28" s="582"/>
      <c r="EA28" s="582"/>
      <c r="EB28" s="582"/>
      <c r="EC28" s="582"/>
      <c r="ED28" s="586"/>
      <c r="EE28" s="586"/>
      <c r="EF28" s="580"/>
      <c r="EG28" s="580"/>
      <c r="EH28" s="586"/>
      <c r="EI28" s="586"/>
      <c r="EJ28" s="584"/>
      <c r="EK28" s="584"/>
      <c r="EL28" s="584"/>
      <c r="EM28" s="582"/>
      <c r="EN28" s="582"/>
      <c r="EO28" s="582"/>
      <c r="EP28" s="592"/>
      <c r="EQ28" s="584"/>
      <c r="ER28" s="584"/>
      <c r="ES28" s="580"/>
      <c r="ET28" s="580"/>
      <c r="EU28" s="584"/>
      <c r="EV28" s="584"/>
      <c r="EW28" s="586"/>
      <c r="EX28" s="586"/>
      <c r="EY28" s="586"/>
      <c r="EZ28" s="586"/>
      <c r="FA28" s="576"/>
      <c r="FB28" s="576"/>
      <c r="FC28" s="576"/>
      <c r="FD28" s="576"/>
      <c r="FE28" s="576"/>
      <c r="FF28" s="576"/>
      <c r="FG28" s="575"/>
      <c r="FH28" s="575"/>
      <c r="FI28" s="576"/>
      <c r="FJ28" s="576"/>
      <c r="FK28" s="576"/>
      <c r="FL28" s="576"/>
      <c r="FM28" s="576"/>
      <c r="FN28" s="576"/>
      <c r="FO28" s="575"/>
      <c r="FP28" s="575"/>
      <c r="FQ28" s="590"/>
      <c r="FR28" s="590"/>
      <c r="FS28" s="590"/>
      <c r="FT28" s="590"/>
      <c r="FU28" s="590"/>
      <c r="FV28" s="590"/>
      <c r="FW28" s="590"/>
      <c r="FX28" s="590"/>
      <c r="FY28" s="590"/>
      <c r="FZ28" s="590"/>
      <c r="GA28" s="590"/>
      <c r="GB28" s="590"/>
      <c r="GC28" s="590"/>
      <c r="GD28" s="590"/>
      <c r="GE28" s="590"/>
      <c r="GF28" s="590"/>
      <c r="GG28" s="585"/>
      <c r="GH28" s="585"/>
      <c r="GI28" s="579"/>
      <c r="GJ28" s="579"/>
      <c r="GK28" s="586"/>
      <c r="GL28" s="586"/>
      <c r="GM28" s="586"/>
      <c r="GN28" s="586"/>
      <c r="GO28" s="586"/>
      <c r="GP28" s="586"/>
      <c r="GQ28" s="586"/>
      <c r="GR28" s="586"/>
      <c r="GS28" s="586"/>
      <c r="GT28" s="586"/>
      <c r="GU28" s="586"/>
      <c r="GV28" s="586"/>
      <c r="GW28" s="586"/>
      <c r="GX28" s="586"/>
      <c r="GY28" s="580"/>
      <c r="GZ28" s="580"/>
      <c r="HA28" s="581"/>
      <c r="HB28" s="581"/>
      <c r="HC28" s="613"/>
      <c r="HD28" s="613"/>
      <c r="HE28" s="614"/>
      <c r="HF28" s="615"/>
      <c r="HG28" s="616"/>
      <c r="HH28" s="616"/>
      <c r="HI28" s="581"/>
      <c r="HJ28" s="581"/>
      <c r="HK28" s="613"/>
      <c r="HL28" s="613"/>
      <c r="HM28" s="614"/>
      <c r="HN28" s="615"/>
      <c r="HO28" s="616"/>
      <c r="HP28" s="616"/>
      <c r="HQ28" s="579"/>
      <c r="HR28" s="579"/>
      <c r="HS28" s="579"/>
      <c r="HT28" s="579"/>
      <c r="HU28" s="579"/>
      <c r="HV28" s="579"/>
      <c r="HW28" s="579"/>
      <c r="HX28" s="579"/>
      <c r="HY28" s="585"/>
      <c r="HZ28" s="585"/>
      <c r="IA28" s="585"/>
      <c r="IB28" s="585"/>
      <c r="IC28" s="585"/>
      <c r="ID28" s="585"/>
      <c r="IE28" s="585"/>
      <c r="IF28" s="585"/>
      <c r="IG28" s="585"/>
      <c r="IH28" s="585"/>
      <c r="II28" s="585"/>
      <c r="IJ28" s="585"/>
      <c r="IK28" s="585"/>
      <c r="IL28" s="585"/>
      <c r="IM28" s="585"/>
      <c r="IN28" s="585"/>
      <c r="IO28" s="585"/>
      <c r="IP28" s="585"/>
      <c r="IQ28" s="585"/>
      <c r="IR28" s="585"/>
      <c r="IS28" s="585"/>
      <c r="IT28" s="585"/>
      <c r="IU28" s="585"/>
      <c r="IV28" s="585"/>
      <c r="IW28" s="585"/>
      <c r="IX28" s="585"/>
      <c r="IY28" s="585"/>
      <c r="IZ28" s="585"/>
      <c r="JA28" s="586"/>
      <c r="JB28" s="586"/>
      <c r="JC28" s="586"/>
      <c r="JD28" s="586"/>
      <c r="JE28" s="586"/>
      <c r="JF28" s="586"/>
      <c r="JG28" s="586"/>
      <c r="JH28" s="586"/>
      <c r="JI28" s="586"/>
      <c r="JJ28" s="586"/>
      <c r="JK28" s="586"/>
      <c r="JL28" s="586"/>
      <c r="JM28" s="586"/>
      <c r="JN28" s="586"/>
      <c r="JO28" s="586"/>
      <c r="JP28" s="586"/>
      <c r="JQ28" s="586"/>
      <c r="JR28" s="586"/>
      <c r="JS28" s="586"/>
      <c r="JT28" s="586"/>
      <c r="JU28" s="586"/>
      <c r="JV28" s="586"/>
      <c r="JW28" s="586"/>
      <c r="JX28" s="586"/>
      <c r="JY28" s="586"/>
      <c r="JZ28" s="586"/>
      <c r="KA28" s="585"/>
      <c r="KB28" s="585"/>
      <c r="KC28" s="575"/>
      <c r="KD28" s="575"/>
      <c r="KE28" s="586"/>
      <c r="KF28" s="586"/>
      <c r="KG28" s="586"/>
      <c r="KH28" s="586"/>
      <c r="KI28" s="579"/>
      <c r="KJ28" s="579"/>
      <c r="KK28" s="586"/>
      <c r="KL28" s="586"/>
      <c r="KM28" s="590"/>
      <c r="KN28" s="590"/>
      <c r="KO28" s="581"/>
      <c r="KP28" s="581"/>
      <c r="KQ28" s="615"/>
      <c r="KR28" s="615"/>
      <c r="KS28" s="618"/>
      <c r="KT28" s="618"/>
      <c r="KU28" s="580"/>
      <c r="KV28" s="580"/>
      <c r="KW28" s="586"/>
      <c r="KX28" s="586"/>
      <c r="KY28" s="586"/>
      <c r="KZ28" s="586"/>
      <c r="LA28" s="579"/>
      <c r="LB28" s="579"/>
      <c r="LC28" s="586"/>
      <c r="LD28" s="586"/>
      <c r="LE28" s="590"/>
      <c r="LF28" s="590"/>
      <c r="LG28" s="593"/>
      <c r="LH28" s="593"/>
      <c r="LI28" s="620"/>
      <c r="LJ28" s="620"/>
      <c r="LK28" s="620"/>
      <c r="LL28" s="620"/>
      <c r="LM28" s="586"/>
      <c r="LN28" s="586"/>
      <c r="LO28" s="586"/>
      <c r="LP28" s="586"/>
      <c r="LQ28" s="586"/>
      <c r="LR28" s="586"/>
      <c r="LS28" s="580"/>
      <c r="LT28" s="580"/>
      <c r="LW28" s="595" t="str">
        <f t="shared" si="192"/>
        <v>60z3 total</v>
      </c>
      <c r="LX28" s="595" t="str">
        <f t="shared" si="193"/>
        <v>MN2022a</v>
      </c>
      <c r="LY28" s="596">
        <f>SUM(LY26:LY27)</f>
        <v>4239.2071097009748</v>
      </c>
      <c r="LZ28" s="596">
        <f>SQRT(SUMPRODUCT(LZ26:LZ27,LZ26:LZ27))</f>
        <v>46.625900819799512</v>
      </c>
      <c r="MA28" s="596">
        <f>SUM(MA26:MA27)</f>
        <v>29.540255987441455</v>
      </c>
      <c r="MB28" s="596">
        <f>SQRT(SUMPRODUCT(MB26:MB27,MB26:MB27))</f>
        <v>0.72654133526043307</v>
      </c>
      <c r="MC28" s="596">
        <f>SUM(MC26:MC27)</f>
        <v>4774.1343214913677</v>
      </c>
      <c r="MD28" s="596">
        <f>SQRT(SUMPRODUCT(MD26:MD27,MD26:MD27))</f>
        <v>362.2166159360541</v>
      </c>
      <c r="ME28" s="596">
        <f>SUM(ME26:ME27)</f>
        <v>50.316360403379747</v>
      </c>
      <c r="MF28" s="596">
        <f>SQRT(SUMPRODUCT(MF26:MF27,MF26:MF27))</f>
        <v>3.6583502183155918</v>
      </c>
      <c r="MG28" s="596">
        <f>SUM(MG26:MG27)</f>
        <v>61.106138941625424</v>
      </c>
      <c r="MH28" s="596">
        <f>SQRT(SUMPRODUCT(MH26:MH27,MH26:MH27))</f>
        <v>4.8553476281803665</v>
      </c>
      <c r="MI28" s="596">
        <f>SUM(MI26:MI27)</f>
        <v>46.611415420964136</v>
      </c>
      <c r="MJ28" s="596">
        <f>SQRT(SUMPRODUCT(MJ26:MJ27,MJ26:MJ27))</f>
        <v>1.3957665225751072</v>
      </c>
      <c r="MK28" s="596">
        <f>SUM(MK26:MK27)</f>
        <v>45.352783737182961</v>
      </c>
      <c r="ML28" s="596">
        <f>SQRT(SUMPRODUCT(ML26:ML27,ML26:ML27))</f>
        <v>1.9857575660436138</v>
      </c>
      <c r="MM28" s="596">
        <f>SUM(MM26:MM27)</f>
        <v>5.5383063420284113</v>
      </c>
      <c r="MN28" s="596">
        <f>SQRT(SUMPRODUCT(MN26:MN27,MN26:MN27))</f>
        <v>0.55244714003803208</v>
      </c>
      <c r="MO28" s="596">
        <f>SUM(MO26:MO27)</f>
        <v>5.3414173521566788</v>
      </c>
      <c r="MP28" s="596">
        <f>SQRT(SUMPRODUCT(MP26:MP27,MP26:MP27))</f>
        <v>0.27241515490374135</v>
      </c>
      <c r="MQ28" s="597"/>
      <c r="MR28" s="597"/>
      <c r="MS28" s="597"/>
      <c r="MT28" s="597"/>
      <c r="MU28" s="598">
        <f>LY28/MA28</f>
        <v>143.50610609140296</v>
      </c>
      <c r="MV28" s="598">
        <f>MU28*SQRT((LZ28/LY28)^2 + (MB28/MA28)^2)</f>
        <v>3.8663752174117265</v>
      </c>
      <c r="MW28" s="599">
        <f>(MI28/1000)/MA28</f>
        <v>1.577894769794148E-3</v>
      </c>
      <c r="MX28" s="599">
        <f>MW28*SQRT((MJ28/MI28)^2 + (MB28/MA28)^2)</f>
        <v>6.1144168129687008E-5</v>
      </c>
      <c r="MY28" s="599">
        <f>(MK28/1000)/MA28</f>
        <v>1.5352874313771668E-3</v>
      </c>
      <c r="MZ28" s="599">
        <f>MY28*SQRT((ML28/MK28)^2 + (MB28/MA28)^2)</f>
        <v>7.7101562870238448E-5</v>
      </c>
      <c r="NA28" s="599">
        <f t="shared" si="295"/>
        <v>1.8748335641989458E-4</v>
      </c>
      <c r="NB28" s="599">
        <f t="shared" si="296"/>
        <v>1.9261589132038717E-5</v>
      </c>
      <c r="NC28" s="598">
        <f>MU28*$NC$4/NC$3</f>
        <v>130.12642440358044</v>
      </c>
      <c r="ND28" s="598">
        <f>MV28*$NC$4/ND$3</f>
        <v>3.5058966907230733</v>
      </c>
      <c r="NE28" s="599">
        <f t="shared" ref="NE28" si="298">MW28*$NC$4/NE$3</f>
        <v>7.001039156176404E-4</v>
      </c>
      <c r="NF28" s="599">
        <f t="shared" ref="NF28" si="299">MX28*$NC$4/NF$3</f>
        <v>2.7129357637937949E-5</v>
      </c>
      <c r="NG28" s="599">
        <f t="shared" ref="NG28" si="300">MY28*$NC$4/NG$3</f>
        <v>6.8119925541418075E-4</v>
      </c>
      <c r="NH28" s="599">
        <f t="shared" ref="NH28" si="301">MZ28*$NC$4/NH$3</f>
        <v>3.420957284289352E-5</v>
      </c>
      <c r="NI28" s="599">
        <f t="shared" si="221"/>
        <v>5.2376779440113683E-5</v>
      </c>
      <c r="NJ28" s="599">
        <f t="shared" si="221"/>
        <v>5.3810643509891232E-6</v>
      </c>
      <c r="NK28" s="625">
        <f>SUM(NK26:NK27)</f>
        <v>4.3115175471979903E-9</v>
      </c>
      <c r="NL28" s="625">
        <f>SQRT(NL26^2 + NL27^2)</f>
        <v>3.6297075114122063E-10</v>
      </c>
      <c r="NM28" s="625">
        <f>SUM(NM26:NM27)</f>
        <v>1.3222112697129825E-7</v>
      </c>
      <c r="NN28" s="625">
        <f>SQRT(NN26^2 + NN27^2)</f>
        <v>8.364647416257644E-10</v>
      </c>
      <c r="NO28" s="625">
        <f>SUM(NO26:NO27)</f>
        <v>3.4987939648993033E-6</v>
      </c>
      <c r="NP28" s="625">
        <f>SQRT(NP26^2 + NP27^2)</f>
        <v>1.5941209255840648E-8</v>
      </c>
      <c r="NQ28" s="625">
        <f>SUM(NQ26:NQ27)</f>
        <v>2.2247405297022975E-6</v>
      </c>
      <c r="NR28" s="625">
        <f>SQRT(NR26^2 + NR27^2)</f>
        <v>1.0780675819246215E-7</v>
      </c>
      <c r="NS28" s="625">
        <f>SUM(NS26:NS27)</f>
        <v>1.8853008941116023E-6</v>
      </c>
      <c r="NT28" s="625">
        <f>SQRT(NT26^2 + NT27^2)</f>
        <v>1.188026597846E-8</v>
      </c>
      <c r="NU28" s="625">
        <f>SUM(NU26:NU27)</f>
        <v>1.1180132372333441E-10</v>
      </c>
      <c r="NV28" s="625">
        <f>SQRT(NV26^2 + NV27^2)</f>
        <v>9.1959870228794391E-12</v>
      </c>
      <c r="NW28" s="625">
        <f>SUM(NW26:NW27)</f>
        <v>1.2958500631589814E-12</v>
      </c>
      <c r="NX28" s="625">
        <f>SQRT(NX26^2 + NX27^2)</f>
        <v>7.0808985513863174E-13</v>
      </c>
      <c r="NY28" s="625">
        <f>SUM(NY26:NY27)</f>
        <v>1.7805545064989873E-11</v>
      </c>
      <c r="NZ28" s="625">
        <f>SQRT(NZ26^2 + NZ27^2)</f>
        <v>1.1571199075146228E-12</v>
      </c>
      <c r="OA28" s="626">
        <f>NO28/NK28</f>
        <v>811.49941444008095</v>
      </c>
      <c r="OB28" s="626">
        <f>OA28*SQRT((NP28/NO28)^2+(NL28/NK28)^2)</f>
        <v>68.417119053595627</v>
      </c>
      <c r="OC28" s="626">
        <f t="shared" si="239"/>
        <v>437.27083874141704</v>
      </c>
      <c r="OD28" s="626">
        <f t="shared" si="263"/>
        <v>36.915200609804174</v>
      </c>
      <c r="OE28" s="625">
        <f t="shared" si="264"/>
        <v>2.593085207225769E-2</v>
      </c>
      <c r="OF28" s="625">
        <f>OE28*SQRT((NV28/NU28)^2 + (NL28/NK28)^2)</f>
        <v>3.0520161306795005E-3</v>
      </c>
      <c r="OG28" s="625">
        <f t="shared" si="266"/>
        <v>3.0055544224820348E-4</v>
      </c>
      <c r="OH28" s="625">
        <f t="shared" si="267"/>
        <v>1.6616987643057552E-4</v>
      </c>
      <c r="OI28" s="625">
        <f t="shared" si="268"/>
        <v>4.1297628665715415E-3</v>
      </c>
      <c r="OJ28" s="625">
        <f t="shared" si="269"/>
        <v>4.3920525784597533E-4</v>
      </c>
      <c r="OK28" s="625"/>
      <c r="OL28" s="625"/>
      <c r="OM28" s="625"/>
      <c r="ON28" s="625"/>
      <c r="OO28" s="625"/>
      <c r="OP28" s="625"/>
      <c r="OQ28" s="625"/>
      <c r="OR28" s="625"/>
    </row>
    <row r="29" spans="2:408">
      <c r="B29" s="245" t="s">
        <v>957</v>
      </c>
      <c r="C29" s="5">
        <v>1.9900000000000001E-2</v>
      </c>
      <c r="D29" s="66">
        <f t="shared" ref="D29" si="302">C29*0.5%</f>
        <v>9.9500000000000006E-5</v>
      </c>
      <c r="E29" s="67">
        <v>45103</v>
      </c>
      <c r="F29" s="5" t="s">
        <v>210</v>
      </c>
      <c r="G29" s="5" t="s">
        <v>893</v>
      </c>
      <c r="H29" s="5">
        <v>2</v>
      </c>
      <c r="J29" s="327">
        <v>44644</v>
      </c>
      <c r="K29" s="67" t="s">
        <v>823</v>
      </c>
      <c r="L29" s="5" t="s">
        <v>945</v>
      </c>
      <c r="M29" s="5" t="s">
        <v>142</v>
      </c>
      <c r="N29" s="5" t="s">
        <v>142</v>
      </c>
      <c r="O29" s="6">
        <v>18882.999072999999</v>
      </c>
      <c r="P29" s="6">
        <v>59.616717000000001</v>
      </c>
      <c r="Q29" s="6">
        <v>11.932619000000001</v>
      </c>
      <c r="R29" s="6">
        <v>7.2401999999999994E-2</v>
      </c>
      <c r="S29" s="6">
        <v>127.902646</v>
      </c>
      <c r="T29" s="6">
        <v>0.37385200000000002</v>
      </c>
      <c r="U29" s="6">
        <v>3.9558000000000003E-2</v>
      </c>
      <c r="V29" s="6">
        <v>3.4563000000000003E-2</v>
      </c>
      <c r="W29" s="6">
        <v>31.679164</v>
      </c>
      <c r="X29" s="6">
        <v>6.7271999999999998E-2</v>
      </c>
      <c r="Y29" s="6">
        <v>65.181691000000001</v>
      </c>
      <c r="Z29" s="6">
        <v>0.369643</v>
      </c>
      <c r="AA29" s="6">
        <v>0.10953300000000001</v>
      </c>
      <c r="AB29" s="6">
        <v>5.7673000000000002E-2</v>
      </c>
      <c r="AC29" s="6">
        <v>-6.4300000000000002E-4</v>
      </c>
      <c r="AD29" s="6">
        <v>3.8339999999999999E-2</v>
      </c>
      <c r="AE29" s="6">
        <v>0.101007</v>
      </c>
      <c r="AF29" s="6">
        <v>1.8704999999999999E-2</v>
      </c>
      <c r="AG29" s="6">
        <v>0.30768099999999998</v>
      </c>
      <c r="AH29" s="6">
        <v>8.4322999999999995E-2</v>
      </c>
      <c r="AI29" s="147">
        <f t="shared" si="1"/>
        <v>18817.817381999997</v>
      </c>
      <c r="AJ29" s="147">
        <f t="shared" si="2"/>
        <v>59.617862942288852</v>
      </c>
      <c r="AK29" s="147">
        <f t="shared" si="3"/>
        <v>11.823086</v>
      </c>
      <c r="AL29" s="147">
        <f t="shared" si="4"/>
        <v>9.2564704574691958E-2</v>
      </c>
      <c r="AM29" s="147">
        <f t="shared" si="5"/>
        <v>127.903289</v>
      </c>
      <c r="AN29" s="147">
        <f t="shared" si="6"/>
        <v>0.37581281710979469</v>
      </c>
      <c r="AO29" s="147">
        <f t="shared" si="7"/>
        <v>-6.1448999999999997E-2</v>
      </c>
      <c r="AP29" s="147">
        <f t="shared" si="8"/>
        <v>3.9299847251611557E-2</v>
      </c>
      <c r="AQ29" s="147">
        <f t="shared" si="9"/>
        <v>31.371483000000001</v>
      </c>
      <c r="AR29" s="147">
        <f t="shared" si="10"/>
        <v>0.10786978405929994</v>
      </c>
      <c r="AS29" s="4">
        <v>303.39491974047206</v>
      </c>
      <c r="AT29" s="4">
        <v>1.3894906939380418</v>
      </c>
      <c r="AU29" s="133">
        <f t="shared" si="11"/>
        <v>11.902055809690946</v>
      </c>
      <c r="AV29" s="133">
        <f t="shared" si="12"/>
        <v>9.2567512942602667E-2</v>
      </c>
      <c r="AW29" s="133">
        <f t="shared" si="13"/>
        <v>129.61189509339661</v>
      </c>
      <c r="AX29" s="133">
        <f t="shared" si="14"/>
        <v>0.37584263414389657</v>
      </c>
      <c r="AY29" s="133">
        <f t="shared" si="15"/>
        <v>-6.2680306911503211E-2</v>
      </c>
      <c r="AZ29" s="133">
        <f t="shared" si="16"/>
        <v>3.9301405776178376E-2</v>
      </c>
      <c r="BA29" s="133">
        <f t="shared" si="17"/>
        <v>32.209639820387764</v>
      </c>
      <c r="BB29" s="133">
        <f t="shared" si="18"/>
        <v>0.10787668270903786</v>
      </c>
      <c r="BC29" s="6"/>
      <c r="BD29" s="8"/>
      <c r="BE29" s="147"/>
      <c r="BF29" s="147"/>
      <c r="BG29" s="147"/>
      <c r="BH29" s="147"/>
      <c r="BI29" s="157"/>
      <c r="BJ29" s="157"/>
      <c r="BM29" s="133"/>
      <c r="BN29" s="133"/>
      <c r="BO29" s="143">
        <f t="shared" si="254"/>
        <v>18816.26754647672</v>
      </c>
      <c r="BP29" s="133">
        <f t="shared" si="255"/>
        <v>59.617864160823956</v>
      </c>
      <c r="BQ29" s="143">
        <f t="shared" si="271"/>
        <v>11.902055809690946</v>
      </c>
      <c r="BR29" s="133">
        <f t="shared" si="272"/>
        <v>9.2567512942602667E-2</v>
      </c>
      <c r="BS29" s="143">
        <f t="shared" si="256"/>
        <v>129.61189509339661</v>
      </c>
      <c r="BT29" s="133">
        <f t="shared" si="257"/>
        <v>0.37584263414389657</v>
      </c>
      <c r="BU29" s="147">
        <f t="shared" si="258"/>
        <v>32.209639820387764</v>
      </c>
      <c r="BV29" s="147">
        <f t="shared" si="21"/>
        <v>0.10787668270903786</v>
      </c>
      <c r="BX29" s="147">
        <f>IF(Rad_Type="Continuous", BU29-((EXP(lambda_36Ar*(Run_Date-Rad_Date))-1)*Cl3638_PR*BZ29),BU29*Ar36_DecayFactor)</f>
        <v>32.099856399682935</v>
      </c>
      <c r="BY29" s="147">
        <f>IF(K:K="Continuous", SQRT(BV29^2+(((EXP(lambda_36Ar*(Run_Date-Rad_Date))-1)*Cl3638_PR)*CA29^2)), Ar36_ICerr*Ar36_DecayFactor)</f>
        <v>0.10788217973038632</v>
      </c>
      <c r="BZ29" s="143">
        <f>IF(Rad_Type="Continuous", BS29-(Ar3836_Air*BU29)/(1-lambda_36Ar*(Run_Date-Rad_Date)),Ar38_IC-(Ar3836_Air*Ar36_IC)/Ar36_DecayFactor)</f>
        <v>123.55646578054044</v>
      </c>
      <c r="CA29" s="147">
        <f>IF(Rad_Type ="Continuous", SQRT(BT29^2*(((EXP(lambda_36Ar*(Run_Date-Rad_Date))-1*Ar3836_Air)*BV29^2))),SQRT(Ar38_ICerr^2*(((EXP(lambda_36Ar*(Ar36_DecayFactor))-1*Ar3836_Air)*Ar36_ICerr^2))))</f>
        <v>3.653527603429424E-2</v>
      </c>
      <c r="CB29" s="143">
        <f t="shared" si="26"/>
        <v>9330.7599803704124</v>
      </c>
      <c r="CC29" s="143">
        <f t="shared" si="27"/>
        <v>67.606006439063691</v>
      </c>
      <c r="CD29" s="3">
        <v>1.4114568145845257E-12</v>
      </c>
      <c r="CE29" s="3">
        <v>4.6739383408230958E-15</v>
      </c>
      <c r="CF29" s="157">
        <f t="shared" si="28"/>
        <v>4.5307561062517177E-11</v>
      </c>
      <c r="CG29" s="157">
        <f t="shared" si="29"/>
        <v>2.1376691717670421E-13</v>
      </c>
      <c r="CH29" s="157">
        <f t="shared" si="30"/>
        <v>0</v>
      </c>
      <c r="CI29" s="158" t="e">
        <f t="shared" si="31"/>
        <v>#DIV/0!</v>
      </c>
      <c r="CJ29" s="157">
        <f t="shared" si="32"/>
        <v>1.7439461561192357E-10</v>
      </c>
      <c r="CK29" s="477">
        <f t="shared" si="33"/>
        <v>5.7979313513458252E-13</v>
      </c>
      <c r="CL29" s="157">
        <f t="shared" si="34"/>
        <v>1.6799237780153632E-11</v>
      </c>
      <c r="CM29" s="157">
        <f t="shared" si="35"/>
        <v>1.420048583005765E-13</v>
      </c>
      <c r="CN29" s="157">
        <f t="shared" si="36"/>
        <v>2.6558349053520221E-8</v>
      </c>
      <c r="CO29" s="157">
        <f t="shared" si="37"/>
        <v>1.2171854719553874E-10</v>
      </c>
      <c r="CP29" s="157">
        <f t="shared" si="38"/>
        <v>7.7806242203820807E-15</v>
      </c>
      <c r="CQ29" s="157">
        <f t="shared" si="39"/>
        <v>2.5867499193471734E-17</v>
      </c>
      <c r="CR29" s="157">
        <f t="shared" si="40"/>
        <v>1.18490202907992E-12</v>
      </c>
      <c r="CS29" s="157">
        <f t="shared" si="41"/>
        <v>5.430478920693494E-15</v>
      </c>
      <c r="CT29" s="66">
        <v>4.915532988915383E-3</v>
      </c>
      <c r="CU29" s="66">
        <v>8.4736260290428276E-6</v>
      </c>
      <c r="CV29" s="3">
        <v>1.1611559367069784E+19</v>
      </c>
      <c r="CW29" s="60">
        <v>1.040942599512031E+18</v>
      </c>
      <c r="CX29" s="3">
        <v>8.6527210079182822E+17</v>
      </c>
      <c r="CY29" s="3">
        <v>8.9278178143800032E+16</v>
      </c>
      <c r="CZ29" s="6">
        <v>0.49865169925804054</v>
      </c>
      <c r="DA29" s="6">
        <v>2.7936431740382541E-2</v>
      </c>
      <c r="DB29" s="4">
        <v>24.337069265073254</v>
      </c>
      <c r="DC29" s="4">
        <v>0.74264427477540718</v>
      </c>
      <c r="DD29" s="157">
        <f t="shared" si="42"/>
        <v>1.2566071276251929E-8</v>
      </c>
      <c r="DE29" s="157">
        <f t="shared" si="43"/>
        <v>1.5796070449062179E-10</v>
      </c>
      <c r="DF29" s="147">
        <f t="shared" si="44"/>
        <v>24.689046461320643</v>
      </c>
      <c r="DG29" s="147">
        <f t="shared" si="45"/>
        <v>0.33400117370504018</v>
      </c>
      <c r="DH29" s="159">
        <f t="shared" si="46"/>
        <v>2.4689046461320641E-3</v>
      </c>
      <c r="DI29" s="167">
        <f t="shared" si="47"/>
        <v>3.3400117370504021E-5</v>
      </c>
      <c r="DJ29" s="157">
        <f t="shared" si="48"/>
        <v>5.9112539795672441E-9</v>
      </c>
      <c r="DK29" s="157">
        <f t="shared" si="49"/>
        <v>1.8960073427447843E-10</v>
      </c>
      <c r="DL29" s="147">
        <f t="shared" si="50"/>
        <v>10.531240569728519</v>
      </c>
      <c r="DM29" s="133">
        <f t="shared" si="51"/>
        <v>0.34186424073612792</v>
      </c>
      <c r="DN29" s="159">
        <f t="shared" si="52"/>
        <v>1.0531240569728519E-3</v>
      </c>
      <c r="DO29" s="167">
        <f t="shared" si="53"/>
        <v>3.4186424073612795E-5</v>
      </c>
      <c r="DP29" s="157">
        <f t="shared" si="54"/>
        <v>0</v>
      </c>
      <c r="DQ29" s="157" t="e">
        <f t="shared" si="55"/>
        <v>#DIV/0!</v>
      </c>
      <c r="DR29" s="143">
        <f t="shared" si="56"/>
        <v>0</v>
      </c>
      <c r="DS29" s="143" t="e">
        <f t="shared" si="57"/>
        <v>#DIV/0!</v>
      </c>
      <c r="DT29" s="147">
        <f t="shared" si="58"/>
        <v>0</v>
      </c>
      <c r="DU29" s="147" t="e">
        <f t="shared" si="59"/>
        <v>#DIV/0!</v>
      </c>
      <c r="DV29" s="133">
        <f t="shared" si="60"/>
        <v>2.1257877465065165</v>
      </c>
      <c r="DW29" s="133">
        <f t="shared" si="61"/>
        <v>2.7750805635765274E-2</v>
      </c>
      <c r="DX29" s="133" t="e">
        <f t="shared" si="62"/>
        <v>#DIV/0!</v>
      </c>
      <c r="DY29" s="133" t="e">
        <f t="shared" si="63"/>
        <v>#DIV/0!</v>
      </c>
      <c r="DZ29" s="133">
        <f t="shared" si="64"/>
        <v>2.3443625941171615</v>
      </c>
      <c r="EA29" s="133">
        <f t="shared" si="65"/>
        <v>3.2769049333841602E-2</v>
      </c>
      <c r="EB29" s="133" t="e">
        <f t="shared" si="66"/>
        <v>#DIV/0!</v>
      </c>
      <c r="EC29" s="133" t="e">
        <f t="shared" si="67"/>
        <v>#DIV/0!</v>
      </c>
      <c r="ED29" s="157">
        <f t="shared" si="68"/>
        <v>2.0044850604890866E-4</v>
      </c>
      <c r="EE29" s="157">
        <f t="shared" si="69"/>
        <v>6.494594621234775E-6</v>
      </c>
      <c r="EF29" s="147">
        <f t="shared" si="70"/>
        <v>783.96204231987201</v>
      </c>
      <c r="EG29" s="147">
        <f t="shared" si="71"/>
        <v>8.3331073437250485</v>
      </c>
      <c r="EH29" s="157">
        <f t="shared" si="72"/>
        <v>9.4293753634774839E-5</v>
      </c>
      <c r="EI29" s="157">
        <f t="shared" si="73"/>
        <v>1.261633980648529E-6</v>
      </c>
      <c r="EJ29" s="143">
        <f t="shared" si="74"/>
        <v>2846.7507050789973</v>
      </c>
      <c r="EK29" s="143">
        <f t="shared" si="75"/>
        <v>15.259840451418194</v>
      </c>
      <c r="EL29" s="143">
        <f t="shared" si="76"/>
        <v>15.459213123405926</v>
      </c>
      <c r="EM29" s="133">
        <f t="shared" si="77"/>
        <v>2846.7507050789973</v>
      </c>
      <c r="EN29" s="133">
        <f t="shared" si="78"/>
        <v>15.259840451418194</v>
      </c>
      <c r="EO29" s="133">
        <f t="shared" si="79"/>
        <v>15.459213123405926</v>
      </c>
      <c r="EP29" s="501">
        <f>CL29/$CL$17</f>
        <v>7.9501422854922197</v>
      </c>
      <c r="EQ29" s="143">
        <f>EM29</f>
        <v>2846.7507050789973</v>
      </c>
      <c r="ER29" s="143">
        <f>EN29</f>
        <v>15.259840451418194</v>
      </c>
      <c r="ES29" s="147">
        <f t="shared" si="81"/>
        <v>0.37078221352443519</v>
      </c>
      <c r="ET29" s="147">
        <f t="shared" si="82"/>
        <v>1.7125995077289806E-3</v>
      </c>
      <c r="EU29" s="143">
        <f t="shared" si="83"/>
        <v>586.17918137049912</v>
      </c>
      <c r="EV29" s="143">
        <f t="shared" si="84"/>
        <v>2.7074928107087737</v>
      </c>
      <c r="EW29" s="157">
        <f t="shared" si="85"/>
        <v>6.3254074062736023E-4</v>
      </c>
      <c r="EX29" s="157">
        <f t="shared" si="86"/>
        <v>5.3121165790639201E-6</v>
      </c>
      <c r="EY29" s="157">
        <f t="shared" si="87"/>
        <v>1.7059630088908638E-3</v>
      </c>
      <c r="EZ29" s="157">
        <f t="shared" si="88"/>
        <v>7.8796428271438731E-6</v>
      </c>
      <c r="FA29" s="66">
        <v>6.2468159999999999</v>
      </c>
      <c r="FB29" s="66">
        <v>3.5221000000000002E-2</v>
      </c>
      <c r="FC29" s="66">
        <v>1.888836</v>
      </c>
      <c r="FD29" s="66">
        <v>1.6527E-2</v>
      </c>
      <c r="FE29" s="66">
        <v>0.67174599999999995</v>
      </c>
      <c r="FF29" s="66">
        <v>5.7409999999999996E-3</v>
      </c>
      <c r="FI29" s="66">
        <v>1.4276E-2</v>
      </c>
      <c r="FJ29" s="66">
        <v>2.5490000000000001E-3</v>
      </c>
      <c r="FK29" s="66">
        <v>5.587E-3</v>
      </c>
      <c r="FL29" s="66">
        <v>1.359E-3</v>
      </c>
      <c r="FM29" s="66">
        <v>6.2760000000000003E-3</v>
      </c>
      <c r="FN29" s="66">
        <v>9.1399999999999999E-4</v>
      </c>
      <c r="FQ29" s="159">
        <f t="shared" si="89"/>
        <v>6.2325400000000002</v>
      </c>
      <c r="FR29" s="159">
        <f t="shared" si="90"/>
        <v>3.531311713797014E-2</v>
      </c>
      <c r="FS29" s="159">
        <f t="shared" si="91"/>
        <v>1.883249</v>
      </c>
      <c r="FT29" s="159">
        <f t="shared" si="92"/>
        <v>2.3372707545340141E-2</v>
      </c>
      <c r="FU29" s="159">
        <f t="shared" si="93"/>
        <v>0.66547000000000001</v>
      </c>
      <c r="FV29" s="159">
        <f t="shared" si="94"/>
        <v>5.8133017296541556E-3</v>
      </c>
      <c r="FW29" s="159">
        <f t="shared" si="95"/>
        <v>0</v>
      </c>
      <c r="FX29" s="159">
        <f t="shared" si="96"/>
        <v>0</v>
      </c>
      <c r="FY29" s="159">
        <f t="shared" si="97"/>
        <v>0.66344078502831938</v>
      </c>
      <c r="FZ29" s="159">
        <f t="shared" si="98"/>
        <v>6.8180855889298717E-2</v>
      </c>
      <c r="GA29" s="159">
        <f t="shared" si="99"/>
        <v>6.2062677449128785</v>
      </c>
      <c r="GB29" s="159">
        <f t="shared" si="100"/>
        <v>3.5416183253208132E-2</v>
      </c>
      <c r="GC29" s="159">
        <f t="shared" si="101"/>
        <v>1.7491012732672737</v>
      </c>
      <c r="GD29" s="159">
        <f t="shared" si="102"/>
        <v>2.7135620784743544E-2</v>
      </c>
      <c r="GE29" s="159">
        <f t="shared" si="103"/>
        <v>-0.2024821275906431</v>
      </c>
      <c r="GF29" s="159">
        <f t="shared" si="104"/>
        <v>2.0808797217413969E-2</v>
      </c>
      <c r="GG29" s="3">
        <v>1.5604065291985949E-12</v>
      </c>
      <c r="GH29" s="3">
        <v>1.54849054114113E-14</v>
      </c>
      <c r="GI29" s="6">
        <v>1</v>
      </c>
      <c r="GJ29" s="6">
        <v>5.0000000000000001E-3</v>
      </c>
      <c r="GK29" s="157">
        <f t="shared" si="105"/>
        <v>9.6843007111166954E-12</v>
      </c>
      <c r="GL29" s="157">
        <f t="shared" si="106"/>
        <v>1.2097350561450604E-13</v>
      </c>
      <c r="GM29" s="157">
        <f t="shared" si="107"/>
        <v>2.7293090470358298E-12</v>
      </c>
      <c r="GN29" s="157">
        <f t="shared" si="108"/>
        <v>5.2083617260127473E-14</v>
      </c>
      <c r="GO29" s="157">
        <f t="shared" si="109"/>
        <v>1.0352373326948309E-12</v>
      </c>
      <c r="GP29" s="157">
        <f t="shared" si="110"/>
        <v>1.070099748795392E-13</v>
      </c>
      <c r="GQ29" s="157">
        <f t="shared" si="111"/>
        <v>-3.1595443393846247E-13</v>
      </c>
      <c r="GR29" s="157">
        <f t="shared" si="112"/>
        <v>-3.2659444333235365E-14</v>
      </c>
      <c r="GS29" s="157">
        <f t="shared" si="113"/>
        <v>4.3206554517745214E-16</v>
      </c>
      <c r="GT29" s="157">
        <f t="shared" si="114"/>
        <v>5.3972388168099189E-18</v>
      </c>
      <c r="GU29" s="157">
        <f t="shared" si="115"/>
        <v>1.2176825529711479E-16</v>
      </c>
      <c r="GV29" s="157">
        <f t="shared" si="116"/>
        <v>2.3237131072223417E-18</v>
      </c>
      <c r="GW29" s="157">
        <f t="shared" si="117"/>
        <v>4.6187163728341778E-17</v>
      </c>
      <c r="GX29" s="157">
        <f t="shared" si="118"/>
        <v>4.7742552111591745E-18</v>
      </c>
      <c r="GY29" s="147">
        <f t="shared" si="119"/>
        <v>3.5482609496474375</v>
      </c>
      <c r="GZ29" s="147">
        <f t="shared" si="120"/>
        <v>4.4688021536339322E-2</v>
      </c>
      <c r="HA29" s="4">
        <v>26.169770272470501</v>
      </c>
      <c r="HB29" s="4">
        <v>0.31897682079735301</v>
      </c>
      <c r="HC29" s="228">
        <f t="shared" si="121"/>
        <v>471.2644891417853</v>
      </c>
      <c r="HD29" s="228">
        <f t="shared" si="122"/>
        <v>8.3728933131914918</v>
      </c>
      <c r="HE29" s="239">
        <f t="shared" si="123"/>
        <v>5.5654383139050717E-12</v>
      </c>
      <c r="HF29" s="229">
        <f t="shared" si="124"/>
        <v>2.0406554223033104E-13</v>
      </c>
      <c r="HG29" s="362">
        <f t="shared" si="125"/>
        <v>22.346773016797524</v>
      </c>
      <c r="HH29" s="362">
        <f t="shared" si="126"/>
        <v>0.82696270947606676</v>
      </c>
      <c r="HI29" s="4">
        <v>7.5091582159801398</v>
      </c>
      <c r="HJ29" s="4">
        <v>0.114829942558394</v>
      </c>
      <c r="HK29" s="228">
        <f t="shared" si="127"/>
        <v>479.81255991043611</v>
      </c>
      <c r="HL29" s="228">
        <f t="shared" si="128"/>
        <v>11.84137830730001</v>
      </c>
      <c r="HM29" s="239">
        <f t="shared" si="129"/>
        <v>5.4662875943517902E-12</v>
      </c>
      <c r="HN29" s="229">
        <f t="shared" si="130"/>
        <v>2.0043002527605706E-13</v>
      </c>
      <c r="HO29" s="362">
        <f t="shared" si="131"/>
        <v>21.948655474325903</v>
      </c>
      <c r="HP29" s="362">
        <f t="shared" si="132"/>
        <v>0.89502021841265622</v>
      </c>
      <c r="HQ29" s="6">
        <v>1.11613116912226</v>
      </c>
      <c r="HR29" s="6">
        <v>3.5153924948669403E-2</v>
      </c>
      <c r="HS29" s="6">
        <f t="shared" si="133"/>
        <v>26.444769707588136</v>
      </c>
      <c r="HT29" s="6">
        <f t="shared" si="134"/>
        <v>2.540989465293515</v>
      </c>
      <c r="HU29" s="6">
        <v>1.11613116912226</v>
      </c>
      <c r="HV29" s="6">
        <v>3.5153924948669403E-2</v>
      </c>
      <c r="HW29" s="6">
        <f t="shared" si="135"/>
        <v>32.418785346742887</v>
      </c>
      <c r="HX29" s="6">
        <f t="shared" si="136"/>
        <v>3.1732982466849262</v>
      </c>
      <c r="HY29" s="3">
        <v>0.82862199999999997</v>
      </c>
      <c r="HZ29" s="3">
        <v>1.1932999999999999E-2</v>
      </c>
      <c r="IA29" s="3">
        <v>3.78E-2</v>
      </c>
      <c r="IB29" s="3">
        <v>1.6590000000000001E-3</v>
      </c>
      <c r="IC29" s="3">
        <v>5.6480000000000002E-3</v>
      </c>
      <c r="ID29" s="3">
        <v>4.3399999999999998E-4</v>
      </c>
      <c r="IE29" s="3">
        <v>0.24682899999999999</v>
      </c>
      <c r="IF29" s="3">
        <v>4.0699999999999998E-3</v>
      </c>
      <c r="IG29" s="3">
        <v>4.0440999999999998E-2</v>
      </c>
      <c r="IH29" s="3">
        <v>1.1119999999999999E-3</v>
      </c>
      <c r="II29" s="3">
        <v>1.6566000000000001E-2</v>
      </c>
      <c r="IJ29" s="3">
        <v>7.9000000000000001E-4</v>
      </c>
      <c r="IK29" s="3">
        <v>1.4402999999999999E-2</v>
      </c>
      <c r="IL29" s="3">
        <v>9.2400000000000002E-4</v>
      </c>
      <c r="IM29" s="3">
        <v>3.8699999999999997E-4</v>
      </c>
      <c r="IN29" s="3">
        <v>2.8499999999999999E-4</v>
      </c>
      <c r="IO29" s="3">
        <v>2.5500000000000002E-4</v>
      </c>
      <c r="IP29" s="3">
        <v>1.9699999999999999E-4</v>
      </c>
      <c r="IQ29" s="3">
        <v>1.9100000000000001E-4</v>
      </c>
      <c r="IR29" s="3">
        <v>1.25E-4</v>
      </c>
      <c r="IS29" s="3">
        <v>8.5300000000000003E-4</v>
      </c>
      <c r="IT29" s="3">
        <v>3.4600000000000001E-4</v>
      </c>
      <c r="IU29" s="3">
        <v>6.7100000000000005E-4</v>
      </c>
      <c r="IV29" s="3">
        <v>2.23E-4</v>
      </c>
      <c r="IW29" s="3">
        <v>5.2800000000000004E-4</v>
      </c>
      <c r="IX29" s="3">
        <v>2.5399999999999999E-4</v>
      </c>
      <c r="IY29" s="3">
        <v>2.63E-4</v>
      </c>
      <c r="IZ29" s="3">
        <v>1.7100000000000001E-4</v>
      </c>
      <c r="JA29" s="157">
        <f t="shared" si="137"/>
        <v>0.82823499999999994</v>
      </c>
      <c r="JB29" s="157">
        <f t="shared" si="138"/>
        <v>1.1936402891993885E-2</v>
      </c>
      <c r="JC29" s="157">
        <f t="shared" si="139"/>
        <v>3.7545000000000002E-2</v>
      </c>
      <c r="JD29" s="157">
        <f t="shared" si="140"/>
        <v>1.6706555599524399E-3</v>
      </c>
      <c r="JE29" s="157">
        <f t="shared" si="141"/>
        <v>5.457E-3</v>
      </c>
      <c r="JF29" s="157">
        <f t="shared" si="142"/>
        <v>4.5164255778214701E-4</v>
      </c>
      <c r="JG29" s="157">
        <f t="shared" si="143"/>
        <v>0.245976</v>
      </c>
      <c r="JH29" s="157">
        <f t="shared" si="144"/>
        <v>4.0846806484717991E-3</v>
      </c>
      <c r="JI29" s="157">
        <f t="shared" si="145"/>
        <v>3.977E-2</v>
      </c>
      <c r="JJ29" s="157">
        <f t="shared" si="146"/>
        <v>1.1341397621104728E-3</v>
      </c>
      <c r="JK29" s="157">
        <f t="shared" si="147"/>
        <v>1.6038E-2</v>
      </c>
      <c r="JL29" s="157">
        <f t="shared" si="148"/>
        <v>8.298288980265751E-4</v>
      </c>
      <c r="JM29" s="157">
        <f t="shared" si="149"/>
        <v>1.414E-2</v>
      </c>
      <c r="JN29" s="157">
        <f t="shared" si="150"/>
        <v>9.3968984244802818E-4</v>
      </c>
      <c r="JO29" s="157">
        <f>Xe128BC-(Xe130BC*Xe128130_Air)</f>
        <v>0.82566148744934498</v>
      </c>
      <c r="JP29" s="157">
        <f>SQRT(Xe128BCerr^2+(Xe130BCerr*Xe128130_Air)^2)</f>
        <v>1.1938303079063205E-2</v>
      </c>
      <c r="JQ29" s="157">
        <f>Xe129BC-(Xe130BC*Xe129130_Air)</f>
        <v>2.1141479535540034E-3</v>
      </c>
      <c r="JR29" s="157">
        <f>SQRT(Xe129BCerr^2+(Xe130BCerr*Xe129130_Air)^2)</f>
        <v>3.3749120948478335E-3</v>
      </c>
      <c r="JS29" s="157">
        <f>Xe131BC-(Xe130BC*Xe131130_Air)</f>
        <v>0.21753760502026201</v>
      </c>
      <c r="JT29" s="157">
        <f>SQRT(Xe131BCerr^2+(Xe130BCerr*Xe131130_Air)^2)</f>
        <v>4.7142750283408266E-3</v>
      </c>
      <c r="JU29" s="157">
        <f>Xe132BC-(Xe130BC*Xe132130_Air)</f>
        <v>3.7264068695450001E-3</v>
      </c>
      <c r="JV29" s="157">
        <f>SQRT((Xe132BCerr^2+(Xe130BCerr*Xe132130_Air)^2))</f>
        <v>3.1914270474015733E-3</v>
      </c>
      <c r="JW29" s="157">
        <f>Xe134BC-(Xe130BC*Xe134130_Air)</f>
        <v>1.991811756545999E-3</v>
      </c>
      <c r="JX29" s="157">
        <f>SQRT(Xe134BCerr^2+(Xe130BCerr*Xe134130_Air)^2)</f>
        <v>1.4283074777273021E-3</v>
      </c>
      <c r="JY29" s="157">
        <f>Xe136BC-(Xe130BC*Xe136130_Air)</f>
        <v>2.2672404231609995E-3</v>
      </c>
      <c r="JZ29" s="157">
        <f>SQRT(Xe136BCerr^2+(Xe130BCerr*Xe136130_Air)^2)</f>
        <v>1.3596286606185946E-3</v>
      </c>
      <c r="KA29" s="3">
        <v>1.4998540391159256E-12</v>
      </c>
      <c r="KB29" s="3">
        <v>4.2289117827840867E-14</v>
      </c>
      <c r="KC29" s="5">
        <v>1</v>
      </c>
      <c r="KD29" s="5">
        <v>0</v>
      </c>
      <c r="KE29" s="157">
        <f t="shared" si="163"/>
        <v>1.2383717168933631E-12</v>
      </c>
      <c r="KF29" s="157">
        <f t="shared" si="164"/>
        <v>3.9239982333135741E-14</v>
      </c>
      <c r="KG29" s="157">
        <f t="shared" si="165"/>
        <v>5.5250014115905219E-17</v>
      </c>
      <c r="KH29" s="157">
        <f t="shared" si="166"/>
        <v>1.7506937122365596E-18</v>
      </c>
      <c r="KI29" s="6">
        <v>1.2430056234832578</v>
      </c>
      <c r="KJ29" s="6">
        <v>0.11113867994607306</v>
      </c>
      <c r="KK29" s="157">
        <f t="shared" si="167"/>
        <v>6.6108939006793931E-13</v>
      </c>
      <c r="KL29" s="157">
        <f t="shared" si="260"/>
        <v>8.6390975753188861E-14</v>
      </c>
      <c r="KM29" s="494">
        <f t="shared" si="168"/>
        <v>4.215840125722452</v>
      </c>
      <c r="KN29" s="494">
        <f>KM29*SQRT(I_moleerr/I_mole)^2+(MVerr/MV)^2+(Sample_Masserr/Sample_Mass)</f>
        <v>0.55592480313956005</v>
      </c>
      <c r="KO29" s="4">
        <v>20.162258156415799</v>
      </c>
      <c r="KP29" s="4">
        <v>0.66285498057307002</v>
      </c>
      <c r="KQ29" s="229">
        <f t="shared" si="170"/>
        <v>2839.3649605284754</v>
      </c>
      <c r="KR29" s="229">
        <f t="shared" si="171"/>
        <v>129.99010868339664</v>
      </c>
      <c r="KS29" s="364">
        <f t="shared" si="172"/>
        <v>3.7090126546354214</v>
      </c>
      <c r="KT29" s="364">
        <f t="shared" si="173"/>
        <v>0.20815832636391599</v>
      </c>
      <c r="KU29" s="147">
        <f t="shared" si="174"/>
        <v>0.21681345516013734</v>
      </c>
      <c r="KV29" s="147">
        <f t="shared" si="175"/>
        <v>4.7428800021380828E-3</v>
      </c>
      <c r="KW29" s="157">
        <f t="shared" si="176"/>
        <v>3.2518853645661159E-13</v>
      </c>
      <c r="KX29" s="157">
        <f t="shared" si="177"/>
        <v>1.1604805264611239E-14</v>
      </c>
      <c r="KY29" s="157">
        <f t="shared" si="178"/>
        <v>1.4508302300887795E-17</v>
      </c>
      <c r="KZ29" s="157">
        <f t="shared" si="179"/>
        <v>5.177489488981877E-19</v>
      </c>
      <c r="LA29" s="6">
        <v>1.2485542932379501</v>
      </c>
      <c r="LB29" s="6">
        <v>5.9627651953476503E-2</v>
      </c>
      <c r="LC29" s="157">
        <f t="shared" si="180"/>
        <v>1.218807895443784E-10</v>
      </c>
      <c r="LD29" s="157">
        <f t="shared" si="181"/>
        <v>1.4182373041636685E-11</v>
      </c>
      <c r="LE29" s="159">
        <f t="shared" si="182"/>
        <v>0.84108156712366078</v>
      </c>
      <c r="LF29" s="159">
        <f t="shared" si="183"/>
        <v>0.10287048958269021</v>
      </c>
      <c r="LG29" s="471"/>
      <c r="LH29" s="471"/>
      <c r="LM29" s="157">
        <f t="shared" si="184"/>
        <v>2.9874269082141032E-15</v>
      </c>
      <c r="LN29" s="157">
        <f t="shared" si="185"/>
        <v>2.1439080725681723E-15</v>
      </c>
      <c r="LO29" s="157">
        <f t="shared" si="186"/>
        <v>1.3328419617264022E-19</v>
      </c>
      <c r="LP29" s="157">
        <f t="shared" si="187"/>
        <v>9.5650562473911244E-20</v>
      </c>
      <c r="LQ29" s="157">
        <f t="shared" si="188"/>
        <v>3.3927512343412855E-14</v>
      </c>
      <c r="LR29" s="157">
        <f t="shared" si="189"/>
        <v>2.4537100061595916E-14</v>
      </c>
      <c r="LS29" s="147">
        <f t="shared" si="190"/>
        <v>0.40581551668915106</v>
      </c>
      <c r="LT29" s="147">
        <f t="shared" si="191"/>
        <v>0.29350144521093829</v>
      </c>
      <c r="LW29" s="214" t="str">
        <f t="shared" si="192"/>
        <v>64z2 crush</v>
      </c>
      <c r="LX29" s="214" t="str">
        <f t="shared" si="193"/>
        <v>MN2022a</v>
      </c>
      <c r="LY29" s="212">
        <f t="shared" si="194"/>
        <v>24.689046461320643</v>
      </c>
      <c r="LZ29" s="212">
        <f t="shared" si="195"/>
        <v>0.33400117370504018</v>
      </c>
      <c r="MA29" s="212">
        <f t="shared" si="196"/>
        <v>10.531240569728519</v>
      </c>
      <c r="MB29" s="212">
        <f t="shared" si="197"/>
        <v>0.34186424073612792</v>
      </c>
      <c r="MC29" s="212">
        <f t="shared" si="198"/>
        <v>0</v>
      </c>
      <c r="MD29" s="212"/>
      <c r="ME29" s="212">
        <f t="shared" si="200"/>
        <v>26.444769707588136</v>
      </c>
      <c r="MF29" s="212">
        <f t="shared" si="201"/>
        <v>2.540989465293515</v>
      </c>
      <c r="MG29" s="212">
        <f t="shared" si="202"/>
        <v>32.418785346742887</v>
      </c>
      <c r="MH29" s="212">
        <f t="shared" si="203"/>
        <v>3.1732982466849262</v>
      </c>
      <c r="MI29" s="212">
        <f t="shared" si="204"/>
        <v>22.346773016797524</v>
      </c>
      <c r="MJ29" s="212">
        <f t="shared" si="205"/>
        <v>0.82696270947606676</v>
      </c>
      <c r="MK29" s="212">
        <f t="shared" si="206"/>
        <v>21.948655474325903</v>
      </c>
      <c r="ML29" s="212">
        <f t="shared" si="207"/>
        <v>0.89502021841265622</v>
      </c>
      <c r="MM29" s="212">
        <f t="shared" si="261"/>
        <v>4.215840125722452</v>
      </c>
      <c r="MN29" s="212">
        <f t="shared" si="208"/>
        <v>0.55592480313956005</v>
      </c>
      <c r="MO29" s="212">
        <f t="shared" si="209"/>
        <v>3.7090126546354214</v>
      </c>
      <c r="MP29" s="212">
        <f t="shared" si="210"/>
        <v>0.20815832636391599</v>
      </c>
      <c r="MQ29" s="211"/>
      <c r="MR29" s="211"/>
      <c r="MS29" s="211"/>
      <c r="MT29" s="211"/>
      <c r="MU29" s="506">
        <f t="shared" si="273"/>
        <v>2.3443625941171615</v>
      </c>
      <c r="MV29" s="506">
        <f t="shared" si="274"/>
        <v>3.2769049333841602E-2</v>
      </c>
      <c r="MW29" s="109">
        <f t="shared" si="211"/>
        <v>2.1219506732219292E-3</v>
      </c>
      <c r="MX29" s="109">
        <f t="shared" si="212"/>
        <v>1.0445545376325291E-4</v>
      </c>
      <c r="MY29" s="109">
        <f t="shared" si="213"/>
        <v>2.0841471932011623E-3</v>
      </c>
      <c r="MZ29" s="109">
        <f t="shared" si="214"/>
        <v>1.0862813500130573E-4</v>
      </c>
      <c r="NA29" s="513">
        <f t="shared" si="295"/>
        <v>4.0031752174009359E-4</v>
      </c>
      <c r="NB29" s="513">
        <f t="shared" si="296"/>
        <v>5.4364158060367674E-5</v>
      </c>
      <c r="NC29" s="506">
        <f t="shared" si="275"/>
        <v>2.1257877465065165</v>
      </c>
      <c r="ND29" s="506">
        <f t="shared" si="276"/>
        <v>2.7750805635765274E-2</v>
      </c>
      <c r="NE29" s="109">
        <f t="shared" si="217"/>
        <v>9.4149876373819934E-4</v>
      </c>
      <c r="NF29" s="109">
        <f t="shared" si="218"/>
        <v>4.5865713010791517E-5</v>
      </c>
      <c r="NG29" s="513">
        <f t="shared" si="219"/>
        <v>9.2472555116841228E-4</v>
      </c>
      <c r="NH29" s="513">
        <f t="shared" si="220"/>
        <v>4.5048595258092295E-5</v>
      </c>
      <c r="NI29" s="109">
        <f t="shared" si="221"/>
        <v>1.1183575407746897E-4</v>
      </c>
      <c r="NJ29" s="109">
        <f t="shared" si="221"/>
        <v>1.5187585557184985E-5</v>
      </c>
      <c r="NK29" s="621">
        <f>Ar36CC/Sample_Mass</f>
        <v>2.276761862438049E-9</v>
      </c>
      <c r="NL29" s="621">
        <f>NK29*SQRT((Ar36CCerr/Ar36CC)^2 + (Sample_Masserr/Sample_Mass)^2)</f>
        <v>1.5651929100311732E-11</v>
      </c>
      <c r="NM29" s="621">
        <f>Ar39CC/Sample_Mass</f>
        <v>8.4418280302279552E-10</v>
      </c>
      <c r="NN29" s="621">
        <f>NM29*SQRT((Ar39ccerr/Ar39CC)^2 + (Sample_Masserr/Sample_Mass)^2)</f>
        <v>8.2908084915678317E-12</v>
      </c>
      <c r="NO29" s="621">
        <f>Ar40CC/Sample_Mass</f>
        <v>1.3345904046995084E-6</v>
      </c>
      <c r="NP29" s="621">
        <f>NO29*SQRT((Ar40CCerrr/Ar40CC)^2 + (Sample_Masserr/Sample_Mass)^2)</f>
        <v>9.0520706017326869E-9</v>
      </c>
      <c r="NQ29" s="621">
        <f>Ar40AC*Ar_Sensitivity/Sample_Mass</f>
        <v>6.6180727434906501E-7</v>
      </c>
      <c r="NR29" s="621">
        <f>NQ29*SQRT((Ar40ACerr/Ar40AC)^2 + (Ar_sensitivityerr/Ar_Sensitivity)^2 + (Sample_Masserr/Sample_Mass)^2)</f>
        <v>6.2246063478715573E-9</v>
      </c>
      <c r="NS29" s="621">
        <f>(Ar40CC-(Ar39CC/J*(EXP(lambda*96000000)-1)))/Sample_Mass</f>
        <v>1.3251934574971562E-6</v>
      </c>
      <c r="NT29" s="621">
        <f>SQRT(((Ar39CC/J*(EXP(lambda*96000000)-1)/Sample_Mass)*SQRT((Jerr/J)^2 + (Ar39ccerr/Ar39CC)^2))^2 + (Ar40CCerrr/Sample_Mass)^2)</f>
        <v>6.1170471193679406E-9</v>
      </c>
      <c r="NU29" s="621">
        <f>Kr84cc/Sample_Mass</f>
        <v>5.2021976517328185E-11</v>
      </c>
      <c r="NV29" s="621">
        <f>NU29*SQRT((Kr84ccerr/Kr84cc)^2 + (Sample_Masserr/Sample_Mass)^2)</f>
        <v>5.3836728931178822E-12</v>
      </c>
      <c r="NW29" s="621">
        <f>Xe130BC*Xe_Sensitivity/Sample_Mass</f>
        <v>4.1129163273646258E-13</v>
      </c>
      <c r="NX29" s="621">
        <f>NW29*SQRT((Xe130BCerr/Xe130BC)^2 + (Sample_Masserr/Sample_Mass)^2 + (Xe_Sensitivityerr/Xe_Sensitivity)^2)</f>
        <v>3.6019960775457838E-14</v>
      </c>
      <c r="NY29" s="621">
        <f>Xe132BC*Xe_Sensitivity/Sample_Mass</f>
        <v>2.9974469917407213E-12</v>
      </c>
      <c r="NZ29" s="621">
        <f>NY29*SQRT((Xe132BCerr/Xe132BC)^2 + (Sample_Masserr/Sample_Mass)^2 + (Xe_Sensitivityerr/Xe_Sensitivity)^2)</f>
        <v>1.2113660736353966E-13</v>
      </c>
      <c r="OA29" s="622">
        <f t="shared" si="262"/>
        <v>586.17918137049912</v>
      </c>
      <c r="OB29" s="622">
        <f t="shared" si="238"/>
        <v>2.7074928107087737</v>
      </c>
      <c r="OC29" s="622">
        <f t="shared" si="239"/>
        <v>582.05185151778903</v>
      </c>
      <c r="OD29" s="622">
        <f t="shared" si="263"/>
        <v>4.819722435174052</v>
      </c>
      <c r="OE29" s="621">
        <f t="shared" si="264"/>
        <v>2.2849107487078576E-2</v>
      </c>
      <c r="OF29" s="621">
        <f t="shared" si="265"/>
        <v>2.3643159379742331E-3</v>
      </c>
      <c r="OG29" s="621">
        <f t="shared" si="266"/>
        <v>1.8064762921495654E-4</v>
      </c>
      <c r="OH29" s="621">
        <f t="shared" si="267"/>
        <v>1.5869365358314627E-5</v>
      </c>
      <c r="OI29" s="621">
        <f t="shared" si="268"/>
        <v>1.3165395297560605E-3</v>
      </c>
      <c r="OJ29" s="621">
        <f t="shared" si="269"/>
        <v>5.3969970389781731E-5</v>
      </c>
      <c r="OK29" s="621">
        <f t="shared" si="240"/>
        <v>6.3254074062736023E-4</v>
      </c>
      <c r="OL29" s="621">
        <f t="shared" si="241"/>
        <v>5.3121165790639201E-6</v>
      </c>
      <c r="OM29" s="621">
        <f t="shared" si="242"/>
        <v>1.7059630088908638E-3</v>
      </c>
      <c r="ON29" s="621">
        <f t="shared" si="243"/>
        <v>7.8796428271438731E-6</v>
      </c>
      <c r="OO29" s="621">
        <f t="shared" si="244"/>
        <v>0.37078221352443519</v>
      </c>
      <c r="OP29" s="621">
        <f t="shared" si="245"/>
        <v>1.7125995077289806E-3</v>
      </c>
      <c r="OQ29" s="621">
        <f t="shared" si="246"/>
        <v>4.915532988915383E-3</v>
      </c>
      <c r="OR29" s="621">
        <f t="shared" si="247"/>
        <v>8.4736260290428276E-6</v>
      </c>
    </row>
    <row r="30" spans="2:408">
      <c r="B30" s="245" t="s">
        <v>963</v>
      </c>
      <c r="C30" s="5">
        <v>1.32E-3</v>
      </c>
      <c r="D30" s="66">
        <f t="shared" ref="D30" si="303">C30*0.5%</f>
        <v>6.6000000000000003E-6</v>
      </c>
      <c r="E30" s="67">
        <v>45112</v>
      </c>
      <c r="F30" s="5" t="s">
        <v>210</v>
      </c>
      <c r="G30" s="5" t="s">
        <v>893</v>
      </c>
      <c r="H30" s="5">
        <v>2</v>
      </c>
      <c r="J30" s="327">
        <v>44644</v>
      </c>
      <c r="K30" s="67" t="s">
        <v>823</v>
      </c>
      <c r="L30" s="5" t="s">
        <v>949</v>
      </c>
      <c r="M30" s="5" t="s">
        <v>952</v>
      </c>
      <c r="N30" s="5">
        <v>180</v>
      </c>
      <c r="O30" s="6">
        <v>3003.3622989999999</v>
      </c>
      <c r="P30" s="6">
        <v>6.8156160000000003</v>
      </c>
      <c r="Q30" s="6">
        <v>31.180268999999999</v>
      </c>
      <c r="R30" s="6">
        <v>6.0934000000000002E-2</v>
      </c>
      <c r="S30" s="6">
        <v>13.141507000000001</v>
      </c>
      <c r="T30" s="6">
        <v>8.4855E-2</v>
      </c>
      <c r="U30" s="6">
        <v>6.9223000000000007E-2</v>
      </c>
      <c r="V30" s="6">
        <v>2.5652000000000001E-2</v>
      </c>
      <c r="W30" s="6">
        <v>1.7257290000000001</v>
      </c>
      <c r="X30" s="6">
        <v>6.1676000000000002E-2</v>
      </c>
      <c r="Y30" s="6">
        <v>68.266750999999999</v>
      </c>
      <c r="Z30" s="6">
        <v>0.22454399999999999</v>
      </c>
      <c r="AA30" s="6">
        <v>0.16173499999999999</v>
      </c>
      <c r="AB30" s="6">
        <v>8.6606000000000002E-2</v>
      </c>
      <c r="AC30" s="6">
        <v>9.2564999999999995E-2</v>
      </c>
      <c r="AD30" s="6">
        <v>6.5777000000000002E-2</v>
      </c>
      <c r="AE30" s="6">
        <v>5.3452E-2</v>
      </c>
      <c r="AF30" s="6">
        <v>2.7903000000000001E-2</v>
      </c>
      <c r="AG30" s="6">
        <v>0.226189</v>
      </c>
      <c r="AH30" s="6">
        <v>0.107351</v>
      </c>
      <c r="AI30" s="147">
        <f t="shared" si="1"/>
        <v>2935.0955479999998</v>
      </c>
      <c r="AJ30" s="147">
        <f t="shared" si="2"/>
        <v>6.8193138560556079</v>
      </c>
      <c r="AK30" s="147">
        <f t="shared" si="3"/>
        <v>31.018533999999999</v>
      </c>
      <c r="AL30" s="147">
        <f t="shared" si="4"/>
        <v>0.10589405834134416</v>
      </c>
      <c r="AM30" s="147">
        <f t="shared" si="5"/>
        <v>13.048942</v>
      </c>
      <c r="AN30" s="147">
        <f t="shared" si="6"/>
        <v>0.10736379629092854</v>
      </c>
      <c r="AO30" s="147">
        <f t="shared" si="7"/>
        <v>1.5771000000000007E-2</v>
      </c>
      <c r="AP30" s="147">
        <f t="shared" si="8"/>
        <v>3.7902539664249411E-2</v>
      </c>
      <c r="AQ30" s="147">
        <f t="shared" si="9"/>
        <v>1.4995400000000001</v>
      </c>
      <c r="AR30" s="147">
        <f t="shared" si="10"/>
        <v>0.12380697143941452</v>
      </c>
      <c r="AS30" s="4">
        <v>304.12046242532097</v>
      </c>
      <c r="AT30" s="4">
        <v>0.91447361557367624</v>
      </c>
      <c r="AU30" s="133">
        <f t="shared" si="11"/>
        <v>31.244755748591825</v>
      </c>
      <c r="AV30" s="133">
        <f t="shared" si="12"/>
        <v>0.10589932520586606</v>
      </c>
      <c r="AW30" s="133">
        <f t="shared" si="13"/>
        <v>13.239276880205063</v>
      </c>
      <c r="AX30" s="133">
        <f t="shared" si="14"/>
        <v>0.10736707933923027</v>
      </c>
      <c r="AY30" s="133">
        <f t="shared" si="15"/>
        <v>1.6116059169821676E-2</v>
      </c>
      <c r="AZ30" s="133">
        <f t="shared" si="16"/>
        <v>3.7904331641360339E-2</v>
      </c>
      <c r="BA30" s="133">
        <f t="shared" si="17"/>
        <v>1.5432852731819486</v>
      </c>
      <c r="BB30" s="133">
        <f t="shared" si="18"/>
        <v>0.12381026891190983</v>
      </c>
      <c r="BC30" s="6"/>
      <c r="BD30" s="8"/>
      <c r="BE30" s="147">
        <v>1.9430000000000001</v>
      </c>
      <c r="BF30" s="147">
        <f t="shared" si="249"/>
        <v>9.7150000000000014E-2</v>
      </c>
      <c r="BG30" s="147">
        <f t="shared" si="250"/>
        <v>1.3886441596793004</v>
      </c>
      <c r="BH30" s="147">
        <f t="shared" si="251"/>
        <v>6.943220798396503E-2</v>
      </c>
      <c r="BI30" s="157">
        <f>BG30/100*Sample_Mass/MW_Ca</f>
        <v>4.5733789690036842E-7</v>
      </c>
      <c r="BJ30" s="157">
        <f t="shared" si="252"/>
        <v>2.2866894845018423E-8</v>
      </c>
      <c r="BK30" s="133">
        <f>BI30*J*alpha/Ca_Constant/Ar_Sensitivity</f>
        <v>196.53468337936775</v>
      </c>
      <c r="BL30" s="133">
        <f t="shared" si="253"/>
        <v>9.8267341689683878</v>
      </c>
      <c r="BM30" s="133"/>
      <c r="BN30" s="133"/>
      <c r="BO30" s="143">
        <f t="shared" si="254"/>
        <v>2931.0269876479442</v>
      </c>
      <c r="BP30" s="133">
        <f t="shared" si="255"/>
        <v>6.81932779861567</v>
      </c>
      <c r="BQ30" s="143">
        <f t="shared" si="271"/>
        <v>31.244755748591825</v>
      </c>
      <c r="BR30" s="133">
        <f t="shared" si="272"/>
        <v>0.10589932520586606</v>
      </c>
      <c r="BS30" s="143">
        <f t="shared" si="256"/>
        <v>13.239276880205063</v>
      </c>
      <c r="BT30" s="133">
        <f t="shared" si="257"/>
        <v>0.10736707933923027</v>
      </c>
      <c r="BU30" s="147">
        <f t="shared" si="258"/>
        <v>1.4747282471787861</v>
      </c>
      <c r="BV30" s="147">
        <f t="shared" si="21"/>
        <v>0.12385771212393445</v>
      </c>
      <c r="BX30" s="147">
        <f>IF(Rad_Type="Continuous", BU30-((EXP(lambda_36Ar*(Run_Date-Rad_Date))-1)*Cl3638_PR*BZ30),BU30*Ar36_DecayFactor)</f>
        <v>1.4629852923959439</v>
      </c>
      <c r="BY30" s="147">
        <f>IF(K:K="Continuous", SQRT(BV30^2+(((EXP(lambda_36Ar*(Run_Date-Rad_Date))-1)*Cl3638_PR)*CA30^2)), Ar36_ICerr*Ar36_DecayFactor)</f>
        <v>0.12385823728973849</v>
      </c>
      <c r="BZ30" s="143">
        <f>IF(Rad_Type="Continuous", BS30-(Ar3836_Air*BU30)/(1-lambda_36Ar*(Run_Date-Rad_Date)),Ar38_IC-(Ar3836_Air*Ar36_IC)/Ar36_DecayFactor)</f>
        <v>12.962027174880564</v>
      </c>
      <c r="CA30" s="147">
        <f>IF(Rad_Type ="Continuous", SQRT(BT30^2*(((EXP(lambda_36Ar*(Run_Date-Rad_Date))-1*Ar3836_Air)*BV30^2))),SQRT(Ar38_ICerr^2*(((EXP(lambda_36Ar*(Ar36_DecayFactor))-1*Ar3836_Air)*Ar36_ICerr^2))))</f>
        <v>1.1983204591948028E-2</v>
      </c>
      <c r="CB30" s="143">
        <f t="shared" si="26"/>
        <v>2498.7148337449426</v>
      </c>
      <c r="CC30" s="143">
        <f t="shared" si="27"/>
        <v>37.229977426212564</v>
      </c>
      <c r="CD30" s="3">
        <v>1.5903158759700325E-12</v>
      </c>
      <c r="CE30" s="3">
        <v>4.0102150310807229E-15</v>
      </c>
      <c r="CF30" s="157">
        <f t="shared" si="28"/>
        <v>2.3266087368079297E-12</v>
      </c>
      <c r="CG30" s="157">
        <f t="shared" si="29"/>
        <v>1.970610747031545E-13</v>
      </c>
      <c r="CH30" s="157">
        <f t="shared" si="30"/>
        <v>3.1255222715695219E-10</v>
      </c>
      <c r="CI30" s="158">
        <f t="shared" si="31"/>
        <v>1.5647473003888393E-11</v>
      </c>
      <c r="CJ30" s="157">
        <f t="shared" si="32"/>
        <v>2.061371760096755E-11</v>
      </c>
      <c r="CK30" s="477">
        <f t="shared" si="33"/>
        <v>5.5363764168708464E-14</v>
      </c>
      <c r="CL30" s="157">
        <f t="shared" si="34"/>
        <v>4.9689031107791516E-11</v>
      </c>
      <c r="CM30" s="157">
        <f t="shared" si="35"/>
        <v>2.0991117677743045E-13</v>
      </c>
      <c r="CN30" s="157">
        <f t="shared" si="36"/>
        <v>4.661258751353146E-9</v>
      </c>
      <c r="CO30" s="157">
        <f t="shared" si="37"/>
        <v>1.5992785625486459E-11</v>
      </c>
      <c r="CP30" s="157">
        <f t="shared" si="38"/>
        <v>9.1968200896242942E-16</v>
      </c>
      <c r="CQ30" s="157">
        <f t="shared" si="39"/>
        <v>2.470057076908121E-18</v>
      </c>
      <c r="CR30" s="157">
        <f t="shared" si="40"/>
        <v>2.0796228490764579E-13</v>
      </c>
      <c r="CS30" s="157">
        <f t="shared" si="41"/>
        <v>7.1351891530799595E-16</v>
      </c>
      <c r="CT30" s="66">
        <v>4.915852264616989E-3</v>
      </c>
      <c r="CU30" s="66">
        <v>9.4865590688154497E-6</v>
      </c>
      <c r="CV30" s="3">
        <v>1.1611559367069784E+19</v>
      </c>
      <c r="CW30" s="60">
        <v>1.040942599512031E+18</v>
      </c>
      <c r="CX30" s="3">
        <v>8.6527210079182822E+17</v>
      </c>
      <c r="CY30" s="3">
        <v>8.9278178143800032E+16</v>
      </c>
      <c r="CZ30" s="6">
        <v>0.49865169925804054</v>
      </c>
      <c r="DA30" s="6">
        <v>2.7936431740382541E-2</v>
      </c>
      <c r="DB30" s="4">
        <v>24.337069265073254</v>
      </c>
      <c r="DC30" s="4">
        <v>0.74264427477540718</v>
      </c>
      <c r="DD30" s="157">
        <f t="shared" si="42"/>
        <v>3.7165695333076928E-8</v>
      </c>
      <c r="DE30" s="157">
        <f t="shared" si="43"/>
        <v>3.8112506447850646E-10</v>
      </c>
      <c r="DF30" s="147">
        <f t="shared" si="44"/>
        <v>1100.8450801827589</v>
      </c>
      <c r="DG30" s="147">
        <f t="shared" si="45"/>
        <v>12.559285799074029</v>
      </c>
      <c r="DH30" s="159">
        <f t="shared" si="46"/>
        <v>0.11008450801827589</v>
      </c>
      <c r="DI30" s="167">
        <f t="shared" si="47"/>
        <v>1.2559285799074028E-3</v>
      </c>
      <c r="DJ30" s="157">
        <f t="shared" si="48"/>
        <v>6.9867412848944518E-10</v>
      </c>
      <c r="DK30" s="157">
        <f t="shared" si="49"/>
        <v>2.2376000134853519E-11</v>
      </c>
      <c r="DL30" s="147">
        <f t="shared" si="50"/>
        <v>18.765222634345683</v>
      </c>
      <c r="DM30" s="133">
        <f t="shared" si="51"/>
        <v>0.60826211416425924</v>
      </c>
      <c r="DN30" s="159">
        <f t="shared" si="52"/>
        <v>1.8765222634345683E-3</v>
      </c>
      <c r="DO30" s="167">
        <f t="shared" si="53"/>
        <v>6.0826211416425921E-5</v>
      </c>
      <c r="DP30" s="157">
        <f t="shared" si="54"/>
        <v>4.5733789690036842E-7</v>
      </c>
      <c r="DQ30" s="157">
        <f t="shared" si="55"/>
        <v>3.4626138760016412E-8</v>
      </c>
      <c r="DR30" s="143">
        <f t="shared" si="56"/>
        <v>13886.441596793005</v>
      </c>
      <c r="DS30" s="143">
        <f t="shared" si="57"/>
        <v>1053.6665339091289</v>
      </c>
      <c r="DT30" s="147">
        <f t="shared" si="58"/>
        <v>1.3886441596793004</v>
      </c>
      <c r="DU30" s="147">
        <f t="shared" si="59"/>
        <v>0.10536665339091289</v>
      </c>
      <c r="DV30" s="133">
        <f t="shared" si="60"/>
        <v>53.194606494776465</v>
      </c>
      <c r="DW30" s="133">
        <f t="shared" si="61"/>
        <v>0.54652329475998984</v>
      </c>
      <c r="DX30" s="133">
        <f t="shared" si="62"/>
        <v>8.1265286749620746E-2</v>
      </c>
      <c r="DY30" s="133">
        <f t="shared" si="63"/>
        <v>6.5657193911434512E-3</v>
      </c>
      <c r="DZ30" s="133">
        <f t="shared" si="64"/>
        <v>58.664109754173658</v>
      </c>
      <c r="EA30" s="133">
        <f t="shared" si="65"/>
        <v>0.67033588958275281</v>
      </c>
      <c r="EB30" s="133">
        <f t="shared" si="66"/>
        <v>7.9274814394278859E-2</v>
      </c>
      <c r="EC30" s="133">
        <f t="shared" si="67"/>
        <v>6.6618017656971586E-3</v>
      </c>
      <c r="ED30" s="157">
        <f t="shared" si="68"/>
        <v>2.9765276318054971E-4</v>
      </c>
      <c r="EE30" s="157">
        <f t="shared" si="69"/>
        <v>9.5872865142283208E-6</v>
      </c>
      <c r="EF30" s="147">
        <f t="shared" si="70"/>
        <v>79.972295314152277</v>
      </c>
      <c r="EG30" s="147">
        <f t="shared" si="71"/>
        <v>1.2219998471170943</v>
      </c>
      <c r="EH30" s="157">
        <f t="shared" si="72"/>
        <v>5.5955440371530568E-6</v>
      </c>
      <c r="EI30" s="157">
        <f t="shared" si="73"/>
        <v>6.0507407594023181E-8</v>
      </c>
      <c r="EJ30" s="143">
        <f t="shared" si="74"/>
        <v>597.48151435053364</v>
      </c>
      <c r="EK30" s="143">
        <f t="shared" si="75"/>
        <v>7.796744686008144</v>
      </c>
      <c r="EL30" s="143">
        <f t="shared" si="76"/>
        <v>7.8586771637823105</v>
      </c>
      <c r="EM30" s="133">
        <f t="shared" si="77"/>
        <v>597.48151435053364</v>
      </c>
      <c r="EN30" s="133">
        <f t="shared" si="78"/>
        <v>7.796744686008144</v>
      </c>
      <c r="EO30" s="133">
        <f t="shared" si="79"/>
        <v>7.8586771637823105</v>
      </c>
      <c r="EP30" s="501">
        <f t="shared" si="283"/>
        <v>23.515047081593185</v>
      </c>
      <c r="EQ30" s="143">
        <f t="shared" si="284"/>
        <v>597.48151435053364</v>
      </c>
      <c r="ER30" s="143">
        <f t="shared" si="285"/>
        <v>7.796744686008144</v>
      </c>
      <c r="ES30" s="147">
        <f t="shared" si="81"/>
        <v>21.356848842562194</v>
      </c>
      <c r="ET30" s="147">
        <f t="shared" si="82"/>
        <v>1.8087812224940769</v>
      </c>
      <c r="EU30" s="143">
        <f t="shared" si="83"/>
        <v>2003.4562226170951</v>
      </c>
      <c r="EV30" s="143">
        <f t="shared" si="84"/>
        <v>169.67924539208209</v>
      </c>
      <c r="EW30" s="157">
        <f t="shared" si="85"/>
        <v>1.0660002749979709E-2</v>
      </c>
      <c r="EX30" s="157">
        <f t="shared" si="86"/>
        <v>4.3823817924663529E-5</v>
      </c>
      <c r="EY30" s="157">
        <f t="shared" si="87"/>
        <v>4.9913743495413627E-4</v>
      </c>
      <c r="EZ30" s="157">
        <f t="shared" si="88"/>
        <v>4.2273578206427358E-5</v>
      </c>
      <c r="FA30" s="66">
        <v>0.66084900000000002</v>
      </c>
      <c r="FB30" s="66">
        <v>6.4879999999999998E-3</v>
      </c>
      <c r="FC30" s="66">
        <v>0.20254800000000001</v>
      </c>
      <c r="FD30" s="66">
        <v>3.1210000000000001E-3</v>
      </c>
      <c r="FE30" s="66">
        <v>4.8286999999999997E-2</v>
      </c>
      <c r="FF30" s="66">
        <v>1.2470000000000001E-3</v>
      </c>
      <c r="FI30" s="66">
        <v>1.1679E-2</v>
      </c>
      <c r="FJ30" s="66">
        <v>1.738E-3</v>
      </c>
      <c r="FK30" s="66">
        <v>5.0549999999999996E-3</v>
      </c>
      <c r="FL30" s="66">
        <v>1.0219999999999999E-3</v>
      </c>
      <c r="FM30" s="66">
        <v>4.8409999999999998E-3</v>
      </c>
      <c r="FN30" s="66">
        <v>9.0399999999999996E-4</v>
      </c>
      <c r="FQ30" s="159">
        <f t="shared" si="89"/>
        <v>0.64917000000000002</v>
      </c>
      <c r="FR30" s="159">
        <f t="shared" si="90"/>
        <v>6.7167542756900074E-3</v>
      </c>
      <c r="FS30" s="159">
        <f t="shared" si="91"/>
        <v>0.197493</v>
      </c>
      <c r="FT30" s="159">
        <f t="shared" si="92"/>
        <v>4.4137605281664299E-3</v>
      </c>
      <c r="FU30" s="159">
        <f t="shared" si="93"/>
        <v>4.3445999999999999E-2</v>
      </c>
      <c r="FV30" s="159">
        <f t="shared" si="94"/>
        <v>1.5402029087104075E-3</v>
      </c>
      <c r="FW30" s="159">
        <f t="shared" si="95"/>
        <v>0</v>
      </c>
      <c r="FX30" s="159">
        <f t="shared" si="96"/>
        <v>0</v>
      </c>
      <c r="FY30" s="159">
        <f t="shared" si="97"/>
        <v>4.2513887099615212E-2</v>
      </c>
      <c r="FZ30" s="159">
        <f t="shared" si="98"/>
        <v>4.8692803641465767E-3</v>
      </c>
      <c r="GA30" s="159">
        <f t="shared" si="99"/>
        <v>0.64748645007085526</v>
      </c>
      <c r="GB30" s="159">
        <f t="shared" si="100"/>
        <v>6.7195214787279011E-3</v>
      </c>
      <c r="GC30" s="159">
        <f t="shared" si="101"/>
        <v>0.1888966920284578</v>
      </c>
      <c r="GD30" s="159">
        <f t="shared" si="102"/>
        <v>4.5222402756568744E-3</v>
      </c>
      <c r="GE30" s="159">
        <f t="shared" si="103"/>
        <v>-1.2975238342802564E-2</v>
      </c>
      <c r="GF30" s="159">
        <f t="shared" si="104"/>
        <v>1.4861043671375355E-3</v>
      </c>
      <c r="GG30" s="3">
        <v>1.7782159136499011E-12</v>
      </c>
      <c r="GH30" s="3">
        <v>7.5535622364420377E-15</v>
      </c>
      <c r="GI30" s="6">
        <v>1</v>
      </c>
      <c r="GJ30" s="6">
        <v>5.0000000000000001E-3</v>
      </c>
      <c r="GK30" s="157">
        <f t="shared" si="105"/>
        <v>1.151370709388677E-12</v>
      </c>
      <c r="GL30" s="157">
        <f t="shared" si="106"/>
        <v>1.4136280951957397E-14</v>
      </c>
      <c r="GM30" s="157">
        <f t="shared" si="107"/>
        <v>3.3589910380082807E-13</v>
      </c>
      <c r="GN30" s="157">
        <f t="shared" si="108"/>
        <v>8.3380227734607707E-15</v>
      </c>
      <c r="GO30" s="157">
        <f t="shared" si="109"/>
        <v>7.5598870591651008E-14</v>
      </c>
      <c r="GP30" s="157">
        <f t="shared" si="110"/>
        <v>8.6728259657363521E-15</v>
      </c>
      <c r="GQ30" s="157">
        <f t="shared" si="111"/>
        <v>-2.3072775304571889E-14</v>
      </c>
      <c r="GR30" s="157">
        <f t="shared" si="112"/>
        <v>-2.6469464847427351E-15</v>
      </c>
      <c r="GS30" s="157">
        <f t="shared" si="113"/>
        <v>5.1368459953161208E-17</v>
      </c>
      <c r="GT30" s="157">
        <f t="shared" si="114"/>
        <v>6.3069085990823083E-19</v>
      </c>
      <c r="GU30" s="157">
        <f t="shared" si="115"/>
        <v>1.4986154781596759E-17</v>
      </c>
      <c r="GV30" s="157">
        <f t="shared" si="116"/>
        <v>3.720012898985364E-19</v>
      </c>
      <c r="GW30" s="157">
        <f t="shared" si="117"/>
        <v>3.3728472722337537E-18</v>
      </c>
      <c r="GX30" s="157">
        <f t="shared" si="118"/>
        <v>3.8693855043776689E-19</v>
      </c>
      <c r="GY30" s="147">
        <f t="shared" si="119"/>
        <v>3.4277278395818058</v>
      </c>
      <c r="GZ30" s="147">
        <f t="shared" si="120"/>
        <v>4.2701083533612495E-2</v>
      </c>
      <c r="HA30" s="4">
        <v>26.169770272470501</v>
      </c>
      <c r="HB30" s="4">
        <v>0.31897682079735301</v>
      </c>
      <c r="HC30" s="228">
        <f t="shared" si="121"/>
        <v>468.53393931249832</v>
      </c>
      <c r="HD30" s="228">
        <f t="shared" si="122"/>
        <v>8.2029979032785523</v>
      </c>
      <c r="HE30" s="239">
        <f t="shared" si="123"/>
        <v>6.6163439883801207E-13</v>
      </c>
      <c r="HF30" s="229">
        <f t="shared" si="124"/>
        <v>2.4149308939207834E-14</v>
      </c>
      <c r="HG30" s="362">
        <f t="shared" si="125"/>
        <v>40.050935609660996</v>
      </c>
      <c r="HH30" s="362">
        <f t="shared" si="126"/>
        <v>1.4754907034360873</v>
      </c>
      <c r="HI30" s="4">
        <v>7.5091582159801398</v>
      </c>
      <c r="HJ30" s="4">
        <v>0.114829942558394</v>
      </c>
      <c r="HK30" s="228">
        <f t="shared" si="127"/>
        <v>460.8278650751742</v>
      </c>
      <c r="HL30" s="228">
        <f t="shared" si="128"/>
        <v>13.492418529162775</v>
      </c>
      <c r="HM30" s="239">
        <f t="shared" si="129"/>
        <v>6.7269840816084532E-13</v>
      </c>
      <c r="HN30" s="229">
        <f t="shared" si="130"/>
        <v>2.4553139483255455E-14</v>
      </c>
      <c r="HO30" s="362">
        <f t="shared" si="131"/>
        <v>40.720676974003169</v>
      </c>
      <c r="HP30" s="362">
        <f t="shared" si="132"/>
        <v>1.7786725581032032</v>
      </c>
      <c r="HQ30" s="6">
        <v>1.11613116912226</v>
      </c>
      <c r="HR30" s="6">
        <v>3.5153924948669403E-2</v>
      </c>
      <c r="HS30" s="6">
        <f t="shared" si="133"/>
        <v>47.398636103864561</v>
      </c>
      <c r="HT30" s="6">
        <f t="shared" si="134"/>
        <v>4.5530692586340331</v>
      </c>
      <c r="HU30" s="6">
        <v>1.11613116912226</v>
      </c>
      <c r="HV30" s="6">
        <v>3.5153924948669403E-2</v>
      </c>
      <c r="HW30" s="6">
        <f t="shared" si="135"/>
        <v>60.149499005919751</v>
      </c>
      <c r="HX30" s="6">
        <f t="shared" si="136"/>
        <v>5.9646357397889949</v>
      </c>
      <c r="HY30" s="3">
        <v>6.3589000000000007E-2</v>
      </c>
      <c r="HZ30" s="3">
        <v>1.106E-3</v>
      </c>
      <c r="IA30" s="3">
        <v>5.6959999999999997E-3</v>
      </c>
      <c r="IB30" s="3">
        <v>6.5799999999999995E-4</v>
      </c>
      <c r="IC30" s="3">
        <v>7.7800000000000005E-4</v>
      </c>
      <c r="ID30" s="3">
        <v>1.7200000000000001E-4</v>
      </c>
      <c r="IE30" s="3">
        <v>0.448071</v>
      </c>
      <c r="IF30" s="3">
        <v>5.2430000000000003E-3</v>
      </c>
      <c r="IG30" s="3">
        <v>1.1322E-2</v>
      </c>
      <c r="IH30" s="3">
        <v>2.9100000000000003E-4</v>
      </c>
      <c r="II30" s="3">
        <v>7.8370000000000002E-3</v>
      </c>
      <c r="IJ30" s="3">
        <v>4.3100000000000001E-4</v>
      </c>
      <c r="IK30" s="3">
        <v>1.0237E-2</v>
      </c>
      <c r="IL30" s="3">
        <v>6.4899999999999995E-4</v>
      </c>
      <c r="IM30" s="3">
        <v>1.392E-3</v>
      </c>
      <c r="IN30" s="3">
        <v>2.5399999999999999E-4</v>
      </c>
      <c r="IO30" s="3">
        <v>5.7300000000000005E-4</v>
      </c>
      <c r="IP30" s="3">
        <v>1.95E-4</v>
      </c>
      <c r="IQ30" s="3">
        <v>1.0000000000000001E-5</v>
      </c>
      <c r="IR30" s="3">
        <v>7.2000000000000002E-5</v>
      </c>
      <c r="IS30" s="3">
        <v>1.078E-3</v>
      </c>
      <c r="IT30" s="3">
        <v>2.32E-4</v>
      </c>
      <c r="IU30" s="3">
        <v>8.2600000000000002E-4</v>
      </c>
      <c r="IV30" s="3">
        <v>1.0399999999999999E-4</v>
      </c>
      <c r="IW30" s="3">
        <v>4.6999999999999999E-4</v>
      </c>
      <c r="IX30" s="3">
        <v>1.85E-4</v>
      </c>
      <c r="IY30" s="3">
        <v>1.01E-4</v>
      </c>
      <c r="IZ30" s="3">
        <v>8.0000000000000007E-5</v>
      </c>
      <c r="JA30" s="157">
        <f t="shared" si="137"/>
        <v>6.2197000000000009E-2</v>
      </c>
      <c r="JB30" s="157">
        <f t="shared" si="138"/>
        <v>1.1347916108255295E-3</v>
      </c>
      <c r="JC30" s="157">
        <f t="shared" si="139"/>
        <v>5.1229999999999999E-3</v>
      </c>
      <c r="JD30" s="157">
        <f t="shared" si="140"/>
        <v>6.8628638337067411E-4</v>
      </c>
      <c r="JE30" s="157">
        <f t="shared" si="141"/>
        <v>7.6800000000000002E-4</v>
      </c>
      <c r="JF30" s="157">
        <f t="shared" si="142"/>
        <v>1.8646179233290666E-4</v>
      </c>
      <c r="JG30" s="157">
        <f t="shared" si="143"/>
        <v>0.44699299999999997</v>
      </c>
      <c r="JH30" s="157">
        <f t="shared" si="144"/>
        <v>5.2481304290194616E-3</v>
      </c>
      <c r="JI30" s="157">
        <f t="shared" si="145"/>
        <v>1.0496E-2</v>
      </c>
      <c r="JJ30" s="157">
        <f t="shared" si="146"/>
        <v>3.0902588888311608E-4</v>
      </c>
      <c r="JK30" s="157">
        <f t="shared" si="147"/>
        <v>7.3670000000000003E-3</v>
      </c>
      <c r="JL30" s="157">
        <f t="shared" si="148"/>
        <v>4.6902665169476244E-4</v>
      </c>
      <c r="JM30" s="157">
        <f t="shared" si="149"/>
        <v>1.0135999999999999E-2</v>
      </c>
      <c r="JN30" s="157">
        <f t="shared" si="150"/>
        <v>6.5391207360011329E-4</v>
      </c>
      <c r="JO30" s="157">
        <f>Xe128BC-(Xe130BC*Xe128130_Air)</f>
        <v>6.1834812417280012E-2</v>
      </c>
      <c r="JP30" s="157">
        <f>SQRT(Xe128BCerr^2+(Xe130BCerr*Xe128130_Air)^2)</f>
        <v>1.1381935596817357E-3</v>
      </c>
      <c r="JQ30" s="157">
        <f>Xe129BC-(Xe130BC*Xe129130_Air)</f>
        <v>1.365799208959996E-4</v>
      </c>
      <c r="JR30" s="157">
        <f>SQRT(Xe129BCerr^2+(Xe130BCerr*Xe129130_Air)^2)</f>
        <v>1.3916375015178802E-3</v>
      </c>
      <c r="JS30" s="157">
        <f>Xe131BC-(Xe130BC*Xe131130_Air)</f>
        <v>0.44299067503308798</v>
      </c>
      <c r="JT30" s="157">
        <f>SQRT(Xe131BCerr^2+(Xe130BCerr*Xe131130_Air)^2)</f>
        <v>5.337331924017431E-3</v>
      </c>
      <c r="JU30" s="157">
        <f>Xe132BC-(Xe130BC*Xe132130_Air)</f>
        <v>5.4233447820799998E-3</v>
      </c>
      <c r="JV30" s="157">
        <f>SQRT((Xe132BCerr^2+(Xe130BCerr*Xe132130_Air)^2))</f>
        <v>1.2697620792697644E-3</v>
      </c>
      <c r="JW30" s="157">
        <f>Xe134BC-(Xe130BC*Xe134130_Air)</f>
        <v>5.3901862615040007E-3</v>
      </c>
      <c r="JX30" s="157">
        <f>SQRT(Xe134BCerr^2+(Xe130BCerr*Xe134130_Air)^2)</f>
        <v>6.7107100493654106E-4</v>
      </c>
      <c r="JY30" s="157">
        <f>Xe136BC-(Xe130BC*Xe136130_Air)</f>
        <v>8.4650673712639984E-3</v>
      </c>
      <c r="JZ30" s="157">
        <f>SQRT(Xe136BCerr^2+(Xe130BCerr*Xe136130_Air)^2)</f>
        <v>7.6953250503211613E-4</v>
      </c>
      <c r="KA30" s="3">
        <v>1.7696448643015688E-12</v>
      </c>
      <c r="KB30" s="3">
        <v>3.8892524257744769E-14</v>
      </c>
      <c r="KC30" s="5">
        <v>1</v>
      </c>
      <c r="KD30" s="5">
        <v>0</v>
      </c>
      <c r="KE30" s="157">
        <f t="shared" si="163"/>
        <v>1.0942565822929044E-13</v>
      </c>
      <c r="KF30" s="157">
        <f t="shared" si="164"/>
        <v>3.1369725201930186E-15</v>
      </c>
      <c r="KG30" s="157">
        <f t="shared" si="165"/>
        <v>4.8820310407098236E-18</v>
      </c>
      <c r="KH30" s="157">
        <f t="shared" si="166"/>
        <v>1.3995618092129524E-19</v>
      </c>
      <c r="KI30" s="6">
        <v>1.2430056234832578</v>
      </c>
      <c r="KJ30" s="6">
        <v>0.11113867994607306</v>
      </c>
      <c r="KK30" s="157">
        <f t="shared" si="167"/>
        <v>5.8415531192895975E-14</v>
      </c>
      <c r="KL30" s="157">
        <f t="shared" si="260"/>
        <v>7.5928889794824942E-15</v>
      </c>
      <c r="KM30" s="494">
        <f t="shared" si="168"/>
        <v>5.61605589262793</v>
      </c>
      <c r="KN30" s="494">
        <f t="shared" si="281"/>
        <v>0.73497862083119714</v>
      </c>
      <c r="KO30" s="4">
        <v>20.162258156415799</v>
      </c>
      <c r="KP30" s="4">
        <v>0.66285498057307002</v>
      </c>
      <c r="KQ30" s="229">
        <f t="shared" si="170"/>
        <v>3798.1868472134024</v>
      </c>
      <c r="KR30" s="229">
        <f t="shared" si="171"/>
        <v>165.98896698469034</v>
      </c>
      <c r="KS30" s="364">
        <f t="shared" si="172"/>
        <v>4.9405738551575133</v>
      </c>
      <c r="KT30" s="364">
        <f t="shared" si="173"/>
        <v>0.26882204468293469</v>
      </c>
      <c r="KU30" s="147">
        <f t="shared" si="174"/>
        <v>0.44103100057364875</v>
      </c>
      <c r="KV30" s="147">
        <f t="shared" si="175"/>
        <v>5.3435012190785648E-3</v>
      </c>
      <c r="KW30" s="157">
        <f t="shared" si="176"/>
        <v>7.804682451629397E-13</v>
      </c>
      <c r="KX30" s="157">
        <f t="shared" si="177"/>
        <v>1.9586645203193362E-14</v>
      </c>
      <c r="KY30" s="157">
        <f t="shared" si="178"/>
        <v>3.4820628551210166E-17</v>
      </c>
      <c r="KZ30" s="157">
        <f t="shared" si="179"/>
        <v>8.7385912443432293E-19</v>
      </c>
      <c r="LA30" s="6">
        <v>1.2485542932379501</v>
      </c>
      <c r="LB30" s="6">
        <v>5.9627651953476503E-2</v>
      </c>
      <c r="LC30" s="157">
        <f t="shared" si="180"/>
        <v>2.9251980088623617E-10</v>
      </c>
      <c r="LD30" s="157">
        <f t="shared" si="181"/>
        <v>3.3219433377891076E-11</v>
      </c>
      <c r="LE30" s="159">
        <f t="shared" si="182"/>
        <v>30.432474769927392</v>
      </c>
      <c r="LF30" s="159">
        <f t="shared" si="183"/>
        <v>3.4610038844591604</v>
      </c>
      <c r="LG30" s="471"/>
      <c r="LH30" s="471"/>
      <c r="LM30" s="157">
        <f t="shared" si="184"/>
        <v>9.5387154352994277E-15</v>
      </c>
      <c r="LN30" s="157">
        <f t="shared" si="185"/>
        <v>1.2059189638305274E-15</v>
      </c>
      <c r="LO30" s="157">
        <f t="shared" si="186"/>
        <v>4.2557025104706735E-19</v>
      </c>
      <c r="LP30" s="157">
        <f t="shared" si="187"/>
        <v>5.3802132967086228E-20</v>
      </c>
      <c r="LQ30" s="157">
        <f t="shared" si="188"/>
        <v>1.0832897192617456E-13</v>
      </c>
      <c r="LR30" s="157">
        <f t="shared" si="189"/>
        <v>1.6789080668737368E-14</v>
      </c>
      <c r="LS30" s="147">
        <f t="shared" si="190"/>
        <v>19.53441447652116</v>
      </c>
      <c r="LT30" s="147">
        <f t="shared" si="191"/>
        <v>3.0290649523762103</v>
      </c>
      <c r="LW30" s="214" t="str">
        <f t="shared" si="192"/>
        <v>64z2 crushed residue</v>
      </c>
      <c r="LX30" s="214" t="str">
        <f t="shared" si="193"/>
        <v>MN2022a</v>
      </c>
      <c r="LY30" s="212">
        <f t="shared" si="194"/>
        <v>1100.8450801827589</v>
      </c>
      <c r="LZ30" s="212">
        <f t="shared" si="195"/>
        <v>12.559285799074029</v>
      </c>
      <c r="MA30" s="212">
        <f t="shared" si="196"/>
        <v>18.765222634345683</v>
      </c>
      <c r="MB30" s="212">
        <f t="shared" si="197"/>
        <v>0.60826211416425924</v>
      </c>
      <c r="MC30" s="212">
        <f t="shared" si="198"/>
        <v>13886.441596793005</v>
      </c>
      <c r="MD30" s="212">
        <f t="shared" si="199"/>
        <v>1053.6665339091289</v>
      </c>
      <c r="ME30" s="212">
        <f t="shared" si="200"/>
        <v>47.398636103864561</v>
      </c>
      <c r="MF30" s="212">
        <f t="shared" si="201"/>
        <v>4.5530692586340331</v>
      </c>
      <c r="MG30" s="212">
        <f t="shared" si="202"/>
        <v>60.149499005919751</v>
      </c>
      <c r="MH30" s="212">
        <f t="shared" si="203"/>
        <v>5.9646357397889949</v>
      </c>
      <c r="MI30" s="212">
        <f t="shared" si="204"/>
        <v>40.050935609660996</v>
      </c>
      <c r="MJ30" s="212">
        <f t="shared" si="205"/>
        <v>1.4754907034360873</v>
      </c>
      <c r="MK30" s="212">
        <f t="shared" si="206"/>
        <v>40.720676974003169</v>
      </c>
      <c r="ML30" s="212">
        <f t="shared" si="207"/>
        <v>1.7786725581032032</v>
      </c>
      <c r="MM30" s="212">
        <f t="shared" si="261"/>
        <v>5.61605589262793</v>
      </c>
      <c r="MN30" s="212">
        <f t="shared" si="208"/>
        <v>0.73497862083119714</v>
      </c>
      <c r="MO30" s="212">
        <f t="shared" si="209"/>
        <v>4.9405738551575133</v>
      </c>
      <c r="MP30" s="212">
        <f t="shared" si="210"/>
        <v>0.26882204468293469</v>
      </c>
      <c r="MQ30" s="211"/>
      <c r="MR30" s="211"/>
      <c r="MS30" s="211"/>
      <c r="MT30" s="211"/>
      <c r="MU30" s="506">
        <f t="shared" si="273"/>
        <v>58.664109754173658</v>
      </c>
      <c r="MV30" s="506">
        <f t="shared" si="274"/>
        <v>0.67033588958275281</v>
      </c>
      <c r="MW30" s="109">
        <f t="shared" si="211"/>
        <v>2.1343171029773139E-3</v>
      </c>
      <c r="MX30" s="109">
        <f t="shared" si="212"/>
        <v>1.0473171579233699E-4</v>
      </c>
      <c r="MY30" s="109">
        <f t="shared" si="213"/>
        <v>2.1700076661745954E-3</v>
      </c>
      <c r="MZ30" s="109">
        <f t="shared" si="214"/>
        <v>1.1803359678011541E-4</v>
      </c>
      <c r="NA30" s="513">
        <f t="shared" si="295"/>
        <v>2.9928000333707494E-4</v>
      </c>
      <c r="NB30" s="513">
        <f t="shared" si="296"/>
        <v>4.0350555278602516E-5</v>
      </c>
      <c r="NC30" s="506">
        <f t="shared" si="275"/>
        <v>53.194606494776465</v>
      </c>
      <c r="ND30" s="506">
        <f t="shared" si="276"/>
        <v>0.54652329475998984</v>
      </c>
      <c r="NE30" s="109">
        <f t="shared" si="217"/>
        <v>9.4698568597134962E-4</v>
      </c>
      <c r="NF30" s="109">
        <f t="shared" si="218"/>
        <v>4.5983937015563024E-5</v>
      </c>
      <c r="NG30" s="513">
        <f t="shared" si="219"/>
        <v>9.6282140805076016E-4</v>
      </c>
      <c r="NH30" s="513">
        <f t="shared" si="220"/>
        <v>4.6752891454350187E-5</v>
      </c>
      <c r="NI30" s="109">
        <f t="shared" si="221"/>
        <v>8.3609142832473258E-5</v>
      </c>
      <c r="NJ30" s="109">
        <f t="shared" si="221"/>
        <v>1.1272638672950568E-5</v>
      </c>
      <c r="NK30" s="621">
        <f>Ar36CC/Sample_Mass</f>
        <v>1.7625823763696437E-9</v>
      </c>
      <c r="NL30" s="621">
        <f>NK30*SQRT((Ar36CCerr/Ar36CC)^2 + (Sample_Masserr/Sample_Mass)^2)</f>
        <v>1.4954859163705724E-10</v>
      </c>
      <c r="NM30" s="621">
        <f>Ar39CC/Sample_Mass</f>
        <v>3.7643205384690545E-8</v>
      </c>
      <c r="NN30" s="621">
        <f>NM30*SQRT((Ar39ccerr/Ar39CC)^2 + (Sample_Masserr/Sample_Mass)^2)</f>
        <v>2.4640167231129839E-10</v>
      </c>
      <c r="NO30" s="621">
        <f>Ar40CC/Sample_Mass</f>
        <v>3.5312566298129895E-6</v>
      </c>
      <c r="NP30" s="621">
        <f>NO30*SQRT((Ar40CCerrr/Ar40CC)^2 + (Sample_Masserr/Sample_Mass)^2)</f>
        <v>2.1413445598470584E-8</v>
      </c>
      <c r="NQ30" s="621">
        <f>Ar40AC*Ar_Sensitivity/Sample_Mass</f>
        <v>3.0104135375957597E-6</v>
      </c>
      <c r="NR30" s="621">
        <f>NQ30*SQRT((Ar40ACerr/Ar40AC)^2 + (Ar_sensitivityerr/Ar_Sensitivity)^2 + (Sample_Masserr/Sample_Mass)^2)</f>
        <v>4.7917451623156812E-8</v>
      </c>
      <c r="NS30" s="621">
        <f>(Ar40CC-(Ar39CC/J*(EXP(lambda*96000000)-1)))/Sample_Mass</f>
        <v>3.1122617888152575E-6</v>
      </c>
      <c r="NT30" s="621">
        <f>SQRT(((Ar39CC/J*(EXP(lambda*96000000)-1)/Sample_Mass)*SQRT((Jerr/J)^2 + (Ar39ccerr/Ar39CC)^2))^2 + (Ar40CCerrr/Sample_Mass)^2)</f>
        <v>1.2271029163573486E-8</v>
      </c>
      <c r="NU30" s="621">
        <f>Kr84cc/Sample_Mass</f>
        <v>5.727187166034167E-11</v>
      </c>
      <c r="NV30" s="621">
        <f>NU30*SQRT((Kr84ccerr/Kr84cc)^2 + (Sample_Masserr/Sample_Mass)^2)</f>
        <v>6.5765600492588603E-12</v>
      </c>
      <c r="NW30" s="621">
        <f>Xe130BC*Xe_Sensitivity/Sample_Mass</f>
        <v>1.0296115574118218E-12</v>
      </c>
      <c r="NX30" s="621">
        <f>NW30*SQRT((Xe130BCerr/Xe130BC)^2 + (Sample_Masserr/Sample_Mass)^2 + (Xe_Sensitivityerr/Xe_Sensitivity)^2)</f>
        <v>2.5105302155985903E-13</v>
      </c>
      <c r="NY30" s="621">
        <f>Xe132BC*Xe_Sensitivity/Sample_Mass</f>
        <v>1.4071357951294898E-11</v>
      </c>
      <c r="NZ30" s="621">
        <f>NY30*SQRT((Xe132BCerr/Xe132BC)^2 + (Sample_Masserr/Sample_Mass)^2 + (Xe_Sensitivityerr/Xe_Sensitivity)^2)</f>
        <v>5.2175346894140917E-13</v>
      </c>
      <c r="OA30" s="622">
        <f t="shared" si="262"/>
        <v>2003.4562226170951</v>
      </c>
      <c r="OB30" s="622">
        <f t="shared" si="238"/>
        <v>169.67924539208209</v>
      </c>
      <c r="OC30" s="622">
        <f t="shared" si="239"/>
        <v>1765.7397637354811</v>
      </c>
      <c r="OD30" s="622">
        <f t="shared" si="263"/>
        <v>149.97815792737242</v>
      </c>
      <c r="OE30" s="621">
        <f t="shared" si="264"/>
        <v>3.2493160279012556E-2</v>
      </c>
      <c r="OF30" s="621">
        <f t="shared" si="265"/>
        <v>4.6335460521430335E-3</v>
      </c>
      <c r="OG30" s="621">
        <f t="shared" si="266"/>
        <v>5.8414946797124602E-4</v>
      </c>
      <c r="OH30" s="621">
        <f t="shared" si="267"/>
        <v>1.5081163016865854E-4</v>
      </c>
      <c r="OI30" s="621">
        <f t="shared" si="268"/>
        <v>7.9833760622736952E-3</v>
      </c>
      <c r="OJ30" s="621">
        <f t="shared" si="269"/>
        <v>7.3921730374394885E-4</v>
      </c>
      <c r="OK30" s="621">
        <f t="shared" si="240"/>
        <v>1.0660002749979709E-2</v>
      </c>
      <c r="OL30" s="621">
        <f t="shared" si="241"/>
        <v>4.3823817924663529E-5</v>
      </c>
      <c r="OM30" s="621">
        <f t="shared" si="242"/>
        <v>4.9913743495413627E-4</v>
      </c>
      <c r="ON30" s="621">
        <f t="shared" si="243"/>
        <v>4.2273578206427358E-5</v>
      </c>
      <c r="OO30" s="621">
        <f t="shared" si="244"/>
        <v>21.356848842562194</v>
      </c>
      <c r="OP30" s="621">
        <f t="shared" si="245"/>
        <v>1.8087812224940769</v>
      </c>
      <c r="OQ30" s="621">
        <f t="shared" si="246"/>
        <v>4.915852264616989E-3</v>
      </c>
      <c r="OR30" s="621">
        <f t="shared" si="247"/>
        <v>9.4865590688154497E-6</v>
      </c>
    </row>
    <row r="31" spans="2:408" s="594" customFormat="1" ht="17.399999999999999">
      <c r="B31" s="574" t="s">
        <v>1004</v>
      </c>
      <c r="C31" s="575"/>
      <c r="D31" s="576"/>
      <c r="E31" s="577"/>
      <c r="F31" s="575" t="s">
        <v>210</v>
      </c>
      <c r="G31" s="575" t="s">
        <v>893</v>
      </c>
      <c r="H31" s="575">
        <v>2</v>
      </c>
      <c r="I31" s="575"/>
      <c r="J31" s="578"/>
      <c r="K31" s="577"/>
      <c r="L31" s="575"/>
      <c r="M31" s="575"/>
      <c r="N31" s="575"/>
      <c r="O31" s="579"/>
      <c r="P31" s="579"/>
      <c r="Q31" s="579"/>
      <c r="R31" s="579"/>
      <c r="S31" s="579"/>
      <c r="T31" s="579"/>
      <c r="U31" s="579"/>
      <c r="V31" s="579"/>
      <c r="W31" s="579"/>
      <c r="X31" s="579"/>
      <c r="Y31" s="579"/>
      <c r="Z31" s="579"/>
      <c r="AA31" s="579"/>
      <c r="AB31" s="579"/>
      <c r="AC31" s="579"/>
      <c r="AD31" s="579"/>
      <c r="AE31" s="579"/>
      <c r="AF31" s="579"/>
      <c r="AG31" s="579"/>
      <c r="AH31" s="579"/>
      <c r="AI31" s="580"/>
      <c r="AJ31" s="580"/>
      <c r="AK31" s="580"/>
      <c r="AL31" s="580"/>
      <c r="AM31" s="580"/>
      <c r="AN31" s="580"/>
      <c r="AO31" s="580"/>
      <c r="AP31" s="580"/>
      <c r="AQ31" s="580"/>
      <c r="AR31" s="580"/>
      <c r="AS31" s="581"/>
      <c r="AT31" s="581"/>
      <c r="AU31" s="582"/>
      <c r="AV31" s="582"/>
      <c r="AW31" s="582"/>
      <c r="AX31" s="582"/>
      <c r="AY31" s="582"/>
      <c r="AZ31" s="582"/>
      <c r="BA31" s="582"/>
      <c r="BB31" s="582"/>
      <c r="BC31" s="579"/>
      <c r="BD31" s="583"/>
      <c r="BE31" s="580"/>
      <c r="BF31" s="580"/>
      <c r="BG31" s="580"/>
      <c r="BH31" s="580"/>
      <c r="BI31" s="586"/>
      <c r="BJ31" s="586"/>
      <c r="BK31" s="582"/>
      <c r="BL31" s="582"/>
      <c r="BM31" s="582"/>
      <c r="BN31" s="582"/>
      <c r="BO31" s="584"/>
      <c r="BP31" s="582"/>
      <c r="BQ31" s="584"/>
      <c r="BR31" s="582"/>
      <c r="BS31" s="584"/>
      <c r="BT31" s="582"/>
      <c r="BU31" s="580"/>
      <c r="BV31" s="580"/>
      <c r="BW31" s="575"/>
      <c r="BX31" s="580"/>
      <c r="BY31" s="580"/>
      <c r="BZ31" s="584"/>
      <c r="CA31" s="580"/>
      <c r="CB31" s="584"/>
      <c r="CC31" s="584"/>
      <c r="CD31" s="585"/>
      <c r="CE31" s="585"/>
      <c r="CF31" s="586"/>
      <c r="CG31" s="586"/>
      <c r="CH31" s="586"/>
      <c r="CI31" s="587"/>
      <c r="CJ31" s="586"/>
      <c r="CK31" s="588"/>
      <c r="CL31" s="586"/>
      <c r="CM31" s="586"/>
      <c r="CN31" s="586"/>
      <c r="CO31" s="586"/>
      <c r="CP31" s="586"/>
      <c r="CQ31" s="586"/>
      <c r="CR31" s="586"/>
      <c r="CS31" s="586"/>
      <c r="CT31" s="576"/>
      <c r="CU31" s="576"/>
      <c r="CV31" s="585"/>
      <c r="CW31" s="589"/>
      <c r="CX31" s="585"/>
      <c r="CY31" s="585"/>
      <c r="CZ31" s="579"/>
      <c r="DA31" s="579"/>
      <c r="DB31" s="581"/>
      <c r="DC31" s="581"/>
      <c r="DD31" s="586"/>
      <c r="DE31" s="586"/>
      <c r="DF31" s="580"/>
      <c r="DG31" s="580"/>
      <c r="DH31" s="590"/>
      <c r="DI31" s="591"/>
      <c r="DJ31" s="586"/>
      <c r="DK31" s="586"/>
      <c r="DL31" s="580"/>
      <c r="DM31" s="582"/>
      <c r="DN31" s="590"/>
      <c r="DO31" s="591"/>
      <c r="DP31" s="586"/>
      <c r="DQ31" s="586"/>
      <c r="DR31" s="584"/>
      <c r="DS31" s="584"/>
      <c r="DT31" s="580"/>
      <c r="DU31" s="580"/>
      <c r="DV31" s="582"/>
      <c r="DW31" s="582"/>
      <c r="DX31" s="582"/>
      <c r="DY31" s="582"/>
      <c r="DZ31" s="582"/>
      <c r="EA31" s="582"/>
      <c r="EB31" s="582"/>
      <c r="EC31" s="582"/>
      <c r="ED31" s="586"/>
      <c r="EE31" s="586"/>
      <c r="EF31" s="580"/>
      <c r="EG31" s="580"/>
      <c r="EH31" s="586"/>
      <c r="EI31" s="586"/>
      <c r="EJ31" s="584"/>
      <c r="EK31" s="584"/>
      <c r="EL31" s="584"/>
      <c r="EM31" s="582"/>
      <c r="EN31" s="582"/>
      <c r="EO31" s="582"/>
      <c r="EP31" s="592"/>
      <c r="EQ31" s="584"/>
      <c r="ER31" s="584"/>
      <c r="ES31" s="580"/>
      <c r="ET31" s="580"/>
      <c r="EU31" s="584"/>
      <c r="EV31" s="584"/>
      <c r="EW31" s="586"/>
      <c r="EX31" s="586"/>
      <c r="EY31" s="586"/>
      <c r="EZ31" s="586"/>
      <c r="FA31" s="576"/>
      <c r="FB31" s="576"/>
      <c r="FC31" s="576"/>
      <c r="FD31" s="576"/>
      <c r="FE31" s="576"/>
      <c r="FF31" s="576"/>
      <c r="FG31" s="575"/>
      <c r="FH31" s="575"/>
      <c r="FI31" s="576"/>
      <c r="FJ31" s="576"/>
      <c r="FK31" s="576"/>
      <c r="FL31" s="576"/>
      <c r="FM31" s="576"/>
      <c r="FN31" s="576"/>
      <c r="FO31" s="575"/>
      <c r="FP31" s="575"/>
      <c r="FQ31" s="590"/>
      <c r="FR31" s="590"/>
      <c r="FS31" s="590"/>
      <c r="FT31" s="590"/>
      <c r="FU31" s="590"/>
      <c r="FV31" s="590"/>
      <c r="FW31" s="590"/>
      <c r="FX31" s="590"/>
      <c r="FY31" s="590"/>
      <c r="FZ31" s="590"/>
      <c r="GA31" s="590"/>
      <c r="GB31" s="590"/>
      <c r="GC31" s="590"/>
      <c r="GD31" s="590"/>
      <c r="GE31" s="590"/>
      <c r="GF31" s="590"/>
      <c r="GG31" s="585"/>
      <c r="GH31" s="585"/>
      <c r="GI31" s="579"/>
      <c r="GJ31" s="579"/>
      <c r="GK31" s="586"/>
      <c r="GL31" s="586"/>
      <c r="GM31" s="586"/>
      <c r="GN31" s="586"/>
      <c r="GO31" s="586"/>
      <c r="GP31" s="586"/>
      <c r="GQ31" s="586"/>
      <c r="GR31" s="586"/>
      <c r="GS31" s="586"/>
      <c r="GT31" s="586"/>
      <c r="GU31" s="586"/>
      <c r="GV31" s="586"/>
      <c r="GW31" s="586"/>
      <c r="GX31" s="586"/>
      <c r="GY31" s="580"/>
      <c r="GZ31" s="580"/>
      <c r="HA31" s="581"/>
      <c r="HB31" s="581"/>
      <c r="HC31" s="613"/>
      <c r="HD31" s="613"/>
      <c r="HE31" s="614"/>
      <c r="HF31" s="615"/>
      <c r="HG31" s="616"/>
      <c r="HH31" s="616"/>
      <c r="HI31" s="581"/>
      <c r="HJ31" s="581"/>
      <c r="HK31" s="613"/>
      <c r="HL31" s="613"/>
      <c r="HM31" s="614"/>
      <c r="HN31" s="615"/>
      <c r="HO31" s="616"/>
      <c r="HP31" s="616"/>
      <c r="HQ31" s="579"/>
      <c r="HR31" s="579"/>
      <c r="HS31" s="579"/>
      <c r="HT31" s="579"/>
      <c r="HU31" s="579"/>
      <c r="HV31" s="579"/>
      <c r="HW31" s="579"/>
      <c r="HX31" s="579"/>
      <c r="HY31" s="585"/>
      <c r="HZ31" s="585"/>
      <c r="IA31" s="585"/>
      <c r="IB31" s="585"/>
      <c r="IC31" s="585"/>
      <c r="ID31" s="585"/>
      <c r="IE31" s="585"/>
      <c r="IF31" s="585"/>
      <c r="IG31" s="585"/>
      <c r="IH31" s="585"/>
      <c r="II31" s="585"/>
      <c r="IJ31" s="585"/>
      <c r="IK31" s="585"/>
      <c r="IL31" s="585"/>
      <c r="IM31" s="585"/>
      <c r="IN31" s="585"/>
      <c r="IO31" s="585"/>
      <c r="IP31" s="585"/>
      <c r="IQ31" s="585"/>
      <c r="IR31" s="585"/>
      <c r="IS31" s="585"/>
      <c r="IT31" s="585"/>
      <c r="IU31" s="585"/>
      <c r="IV31" s="585"/>
      <c r="IW31" s="585"/>
      <c r="IX31" s="585"/>
      <c r="IY31" s="585"/>
      <c r="IZ31" s="585"/>
      <c r="JA31" s="586"/>
      <c r="JB31" s="586"/>
      <c r="JC31" s="586"/>
      <c r="JD31" s="586"/>
      <c r="JE31" s="586"/>
      <c r="JF31" s="586"/>
      <c r="JG31" s="586"/>
      <c r="JH31" s="586"/>
      <c r="JI31" s="586"/>
      <c r="JJ31" s="586"/>
      <c r="JK31" s="586"/>
      <c r="JL31" s="586"/>
      <c r="JM31" s="586"/>
      <c r="JN31" s="586"/>
      <c r="JO31" s="586"/>
      <c r="JP31" s="586"/>
      <c r="JQ31" s="586"/>
      <c r="JR31" s="586"/>
      <c r="JS31" s="586"/>
      <c r="JT31" s="586"/>
      <c r="JU31" s="586"/>
      <c r="JV31" s="586"/>
      <c r="JW31" s="586"/>
      <c r="JX31" s="586"/>
      <c r="JY31" s="586"/>
      <c r="JZ31" s="586"/>
      <c r="KA31" s="585"/>
      <c r="KB31" s="585"/>
      <c r="KC31" s="575"/>
      <c r="KD31" s="575"/>
      <c r="KE31" s="586"/>
      <c r="KF31" s="586"/>
      <c r="KG31" s="586"/>
      <c r="KH31" s="586"/>
      <c r="KI31" s="579"/>
      <c r="KJ31" s="579"/>
      <c r="KK31" s="586"/>
      <c r="KL31" s="586"/>
      <c r="KM31" s="590"/>
      <c r="KN31" s="590"/>
      <c r="KO31" s="581"/>
      <c r="KP31" s="581"/>
      <c r="KQ31" s="615"/>
      <c r="KR31" s="615"/>
      <c r="KS31" s="618"/>
      <c r="KT31" s="618"/>
      <c r="KU31" s="580"/>
      <c r="KV31" s="580"/>
      <c r="KW31" s="586"/>
      <c r="KX31" s="586"/>
      <c r="KY31" s="586"/>
      <c r="KZ31" s="586"/>
      <c r="LA31" s="579"/>
      <c r="LB31" s="579"/>
      <c r="LC31" s="586"/>
      <c r="LD31" s="586"/>
      <c r="LE31" s="590"/>
      <c r="LF31" s="590"/>
      <c r="LG31" s="593"/>
      <c r="LH31" s="593"/>
      <c r="LI31" s="620"/>
      <c r="LJ31" s="620"/>
      <c r="LK31" s="620"/>
      <c r="LL31" s="620"/>
      <c r="LM31" s="586"/>
      <c r="LN31" s="586"/>
      <c r="LO31" s="586"/>
      <c r="LP31" s="586"/>
      <c r="LQ31" s="586"/>
      <c r="LR31" s="586"/>
      <c r="LS31" s="580"/>
      <c r="LT31" s="580"/>
      <c r="LW31" s="595" t="str">
        <f t="shared" si="192"/>
        <v>64z2 total</v>
      </c>
      <c r="LX31" s="595" t="str">
        <f t="shared" si="193"/>
        <v>MN2022a</v>
      </c>
      <c r="LY31" s="596">
        <f>SUM(LY29:LY30)</f>
        <v>1125.5341266440796</v>
      </c>
      <c r="LZ31" s="596">
        <f>SQRT(SUMPRODUCT(LZ29:LZ30,LZ29:LZ30))</f>
        <v>12.563726221422485</v>
      </c>
      <c r="MA31" s="596">
        <f>SUM(MA29:MA30)</f>
        <v>29.2964632040742</v>
      </c>
      <c r="MB31" s="596">
        <f>SQRT(SUMPRODUCT(MB29:MB30,MB29:MB30))</f>
        <v>0.69774920897243842</v>
      </c>
      <c r="MC31" s="596">
        <f>SUM(MC29:MC30)</f>
        <v>13886.441596793005</v>
      </c>
      <c r="MD31" s="596">
        <f>SQRT(SUMPRODUCT(MD29:MD30,MD29:MD30))</f>
        <v>1053.6665339091289</v>
      </c>
      <c r="ME31" s="596">
        <f>SUM(ME29:ME30)</f>
        <v>73.843405811452698</v>
      </c>
      <c r="MF31" s="596">
        <f>SQRT(SUMPRODUCT(MF29:MF30,MF29:MF30))</f>
        <v>5.2141218950702415</v>
      </c>
      <c r="MG31" s="596">
        <f>SUM(MG29:MG30)</f>
        <v>92.56828435266263</v>
      </c>
      <c r="MH31" s="596">
        <f>SQRT(SUMPRODUCT(MH29:MH30,MH29:MH30))</f>
        <v>6.75623425221342</v>
      </c>
      <c r="MI31" s="596">
        <f>SUM(MI29:MI30)</f>
        <v>62.397708626458524</v>
      </c>
      <c r="MJ31" s="596">
        <f>SQRT(SUMPRODUCT(MJ29:MJ30,MJ29:MJ30))</f>
        <v>1.6914313875502953</v>
      </c>
      <c r="MK31" s="596">
        <f>SUM(MK29:MK30)</f>
        <v>62.669332448329072</v>
      </c>
      <c r="ML31" s="596">
        <f>SQRT(SUMPRODUCT(ML29:ML30,ML29:ML30))</f>
        <v>1.9911647998889574</v>
      </c>
      <c r="MM31" s="596">
        <f>SUM(MM29:MM30)</f>
        <v>9.8318960183503812</v>
      </c>
      <c r="MN31" s="596">
        <f>SQRT(SUMPRODUCT(MN29:MN30,MN29:MN30))</f>
        <v>0.92154541929559142</v>
      </c>
      <c r="MO31" s="596">
        <f>SUM(MO29:MO30)</f>
        <v>8.6495865097929343</v>
      </c>
      <c r="MP31" s="596">
        <f>SQRT(SUMPRODUCT(MP29:MP30,MP29:MP30))</f>
        <v>0.33999291248809921</v>
      </c>
      <c r="MQ31" s="597"/>
      <c r="MR31" s="597"/>
      <c r="MS31" s="597"/>
      <c r="MT31" s="597"/>
      <c r="MU31" s="598">
        <f>LY31/MA31</f>
        <v>38.418771535792544</v>
      </c>
      <c r="MV31" s="598">
        <f>MU31*SQRT((LZ31/LY31)^2 + (MB31/MA31)^2)</f>
        <v>1.0105249718563574</v>
      </c>
      <c r="MW31" s="599">
        <f>(MI31/1000)/MA31</f>
        <v>2.1298717251910806E-3</v>
      </c>
      <c r="MX31" s="599">
        <f>MW31*SQRT((MJ31/MI31)^2 + (MB31/MA31)^2)</f>
        <v>7.6854020484510037E-5</v>
      </c>
      <c r="MY31" s="599">
        <f>(MK31/1000)/MA31</f>
        <v>2.1391432819649636E-3</v>
      </c>
      <c r="MZ31" s="599">
        <f>MY31*SQRT((ML31/MK31)^2 + (MB31/MA31)^2)</f>
        <v>8.4941421841979017E-5</v>
      </c>
      <c r="NA31" s="599">
        <f t="shared" si="295"/>
        <v>3.3560010127717667E-4</v>
      </c>
      <c r="NB31" s="599">
        <f t="shared" si="296"/>
        <v>3.2455478297935031E-5</v>
      </c>
      <c r="NC31" s="598">
        <f>MU31*$NC$4/NC$3</f>
        <v>34.836826850744231</v>
      </c>
      <c r="ND31" s="598">
        <f>MV31*$NC$4/ND$3</f>
        <v>0.91630945149081766</v>
      </c>
      <c r="NE31" s="599">
        <f t="shared" ref="NE31" si="304">MW31*$NC$4/NE$3</f>
        <v>9.450132943682343E-4</v>
      </c>
      <c r="NF31" s="599">
        <f t="shared" ref="NF31" si="305">MX31*$NC$4/NF$3</f>
        <v>3.409973954041518E-5</v>
      </c>
      <c r="NG31" s="599">
        <f t="shared" ref="NG31" si="306">MY31*$NC$4/NG$3</f>
        <v>9.4912703713836435E-4</v>
      </c>
      <c r="NH31" s="599">
        <f t="shared" ref="NH31" si="307">MZ31*$NC$4/NH$3</f>
        <v>3.7688078551307598E-5</v>
      </c>
      <c r="NI31" s="599">
        <f t="shared" si="221"/>
        <v>9.3755802223355453E-5</v>
      </c>
      <c r="NJ31" s="599">
        <f t="shared" si="221"/>
        <v>9.0670097916699923E-6</v>
      </c>
      <c r="NK31" s="625">
        <f>SUM(NK29:NK30)</f>
        <v>4.0393442388076925E-9</v>
      </c>
      <c r="NL31" s="625">
        <f>SQRT(NL29^2 + NL30^2)</f>
        <v>1.5036543534066762E-10</v>
      </c>
      <c r="NM31" s="625">
        <f>SUM(NM29:NM30)</f>
        <v>3.8487388187713344E-8</v>
      </c>
      <c r="NN31" s="625">
        <f>SQRT(NN29^2 + NN30^2)</f>
        <v>2.4654111548228286E-10</v>
      </c>
      <c r="NO31" s="625">
        <f>SUM(NO29:NO30)</f>
        <v>4.8658470345124983E-6</v>
      </c>
      <c r="NP31" s="625">
        <f>SQRT(NP29^2 + NP30^2)</f>
        <v>2.3248131851342644E-8</v>
      </c>
      <c r="NQ31" s="625">
        <f>SUM(NQ29:NQ30)</f>
        <v>3.6722208119448246E-6</v>
      </c>
      <c r="NR31" s="625">
        <f>SQRT(NR29^2 + NR30^2)</f>
        <v>4.8320056852652154E-8</v>
      </c>
      <c r="NS31" s="625">
        <f>SUM(NS29:NS30)</f>
        <v>4.4374552463124136E-6</v>
      </c>
      <c r="NT31" s="625">
        <f>SQRT(NT29^2 + NT30^2)</f>
        <v>1.371117873101502E-8</v>
      </c>
      <c r="NU31" s="625">
        <f>SUM(NU29:NU30)</f>
        <v>1.0929384817766986E-10</v>
      </c>
      <c r="NV31" s="625">
        <f>SQRT(NV29^2 + NV30^2)</f>
        <v>8.4991220665195741E-12</v>
      </c>
      <c r="NW31" s="625">
        <f>SUM(NW29:NW30)</f>
        <v>1.4409031901482844E-12</v>
      </c>
      <c r="NX31" s="625">
        <f>SQRT(NX29^2 + NX30^2)</f>
        <v>2.5362384984184859E-13</v>
      </c>
      <c r="NY31" s="625">
        <f>SUM(NY29:NY30)</f>
        <v>1.706880494303562E-11</v>
      </c>
      <c r="NZ31" s="625">
        <f>SQRT(NZ29^2 + NZ30^2)</f>
        <v>5.3563117907375636E-13</v>
      </c>
      <c r="OA31" s="626">
        <f>NO31/NK31</f>
        <v>1204.6131121394021</v>
      </c>
      <c r="OB31" s="626">
        <f>OA31*SQRT((NP31/NO31)^2+(NL31/NK31)^2)</f>
        <v>45.20981800716482</v>
      </c>
      <c r="OC31" s="626">
        <f t="shared" si="239"/>
        <v>1098.5583262946247</v>
      </c>
      <c r="OD31" s="626">
        <f t="shared" si="263"/>
        <v>41.034698158331047</v>
      </c>
      <c r="OE31" s="625">
        <f t="shared" si="264"/>
        <v>2.7057324584430692E-2</v>
      </c>
      <c r="OF31" s="625">
        <f>OE31*SQRT((NV31/NU31)^2 + (NL31/NK31)^2)</f>
        <v>2.3327351469563909E-3</v>
      </c>
      <c r="OG31" s="625">
        <f t="shared" si="266"/>
        <v>3.5671710677810442E-4</v>
      </c>
      <c r="OH31" s="625">
        <f t="shared" si="267"/>
        <v>6.4177161484111313E-5</v>
      </c>
      <c r="OI31" s="625">
        <f t="shared" si="268"/>
        <v>4.2256376119292763E-3</v>
      </c>
      <c r="OJ31" s="625">
        <f t="shared" si="269"/>
        <v>2.0573540054132707E-4</v>
      </c>
      <c r="OK31" s="625"/>
      <c r="OL31" s="625"/>
      <c r="OM31" s="625"/>
      <c r="ON31" s="625"/>
      <c r="OO31" s="625"/>
      <c r="OP31" s="625"/>
      <c r="OQ31" s="625"/>
      <c r="OR31" s="625"/>
    </row>
    <row r="32" spans="2:408">
      <c r="B32" s="245" t="s">
        <v>953</v>
      </c>
      <c r="C32" s="5">
        <v>1.9599999999999999E-3</v>
      </c>
      <c r="D32" s="66">
        <f t="shared" ref="D32:D37" si="308">C32*0.5%</f>
        <v>9.7999999999999993E-6</v>
      </c>
      <c r="E32" s="67">
        <v>45110</v>
      </c>
      <c r="F32" s="5" t="s">
        <v>210</v>
      </c>
      <c r="G32" s="5" t="s">
        <v>893</v>
      </c>
      <c r="H32" s="5">
        <v>2</v>
      </c>
      <c r="J32" s="327">
        <v>44644</v>
      </c>
      <c r="K32" s="67" t="s">
        <v>823</v>
      </c>
      <c r="L32" s="5" t="s">
        <v>949</v>
      </c>
      <c r="M32" s="5" t="s">
        <v>951</v>
      </c>
      <c r="N32" s="5">
        <v>180</v>
      </c>
      <c r="O32" s="6">
        <v>1046.965181</v>
      </c>
      <c r="P32" s="6">
        <v>1.647729</v>
      </c>
      <c r="Q32" s="6">
        <v>26.258738999999998</v>
      </c>
      <c r="R32" s="6">
        <v>0.102365</v>
      </c>
      <c r="S32" s="6">
        <v>8.1713629999999995</v>
      </c>
      <c r="T32" s="6">
        <v>5.7167999999999997E-2</v>
      </c>
      <c r="U32" s="6">
        <v>0.228659</v>
      </c>
      <c r="V32" s="6">
        <v>3.5966999999999999E-2</v>
      </c>
      <c r="W32" s="6">
        <v>2.196148</v>
      </c>
      <c r="X32" s="6">
        <v>4.3237999999999999E-2</v>
      </c>
      <c r="Y32" s="6">
        <v>76.740089999999995</v>
      </c>
      <c r="Z32" s="6">
        <v>0.75352699999999995</v>
      </c>
      <c r="AA32" s="6">
        <v>0.13163900000000001</v>
      </c>
      <c r="AB32" s="6">
        <v>7.4753E-2</v>
      </c>
      <c r="AC32" s="6">
        <v>-3.6679999999999998E-3</v>
      </c>
      <c r="AD32" s="6">
        <v>4.7295999999999998E-2</v>
      </c>
      <c r="AE32" s="6">
        <v>-7.2480000000000001E-3</v>
      </c>
      <c r="AF32" s="6">
        <v>3.1849000000000002E-2</v>
      </c>
      <c r="AG32" s="6">
        <v>0.48760900000000001</v>
      </c>
      <c r="AH32" s="6">
        <v>3.7532999999999997E-2</v>
      </c>
      <c r="AI32" s="147">
        <f t="shared" si="1"/>
        <v>970.22509100000002</v>
      </c>
      <c r="AJ32" s="147">
        <f t="shared" si="2"/>
        <v>1.8118536908840073</v>
      </c>
      <c r="AK32" s="147">
        <f t="shared" si="3"/>
        <v>26.127099999999999</v>
      </c>
      <c r="AL32" s="147">
        <f t="shared" si="4"/>
        <v>0.12675410933772521</v>
      </c>
      <c r="AM32" s="147">
        <f t="shared" si="5"/>
        <v>8.1750309999999988</v>
      </c>
      <c r="AN32" s="147">
        <f t="shared" si="6"/>
        <v>7.4196306107514542E-2</v>
      </c>
      <c r="AO32" s="147">
        <f t="shared" si="7"/>
        <v>0.23590700000000001</v>
      </c>
      <c r="AP32" s="147">
        <f t="shared" si="8"/>
        <v>4.8041480930545846E-2</v>
      </c>
      <c r="AQ32" s="147">
        <f t="shared" si="9"/>
        <v>1.708539</v>
      </c>
      <c r="AR32" s="147">
        <f t="shared" si="10"/>
        <v>5.7256010453051995E-2</v>
      </c>
      <c r="AS32" s="4">
        <v>304.12046242532097</v>
      </c>
      <c r="AT32" s="4">
        <v>0.91447361557367624</v>
      </c>
      <c r="AU32" s="133">
        <f t="shared" si="11"/>
        <v>26.317647955865144</v>
      </c>
      <c r="AV32" s="133">
        <f t="shared" si="12"/>
        <v>0.12675893286040088</v>
      </c>
      <c r="AW32" s="133">
        <f t="shared" si="13"/>
        <v>8.2942738892746739</v>
      </c>
      <c r="AX32" s="133">
        <f t="shared" si="14"/>
        <v>7.4198522263902805E-2</v>
      </c>
      <c r="AY32" s="133">
        <f t="shared" si="15"/>
        <v>0.24106849093748781</v>
      </c>
      <c r="AZ32" s="133">
        <f t="shared" si="16"/>
        <v>4.8043752813569374E-2</v>
      </c>
      <c r="BA32" s="133">
        <f t="shared" si="17"/>
        <v>1.7583812884998153</v>
      </c>
      <c r="BB32" s="133">
        <f t="shared" si="18"/>
        <v>5.7257546894463968E-2</v>
      </c>
      <c r="BC32" s="6"/>
      <c r="BD32" s="8"/>
      <c r="BE32" s="147">
        <v>13.709</v>
      </c>
      <c r="BF32" s="147">
        <f t="shared" si="249"/>
        <v>0.68545</v>
      </c>
      <c r="BG32" s="147">
        <f t="shared" si="250"/>
        <v>9.7976957205576589</v>
      </c>
      <c r="BH32" s="147">
        <f t="shared" si="251"/>
        <v>0.48988478602788299</v>
      </c>
      <c r="BI32" s="157">
        <f t="shared" ref="BI32:BI37" si="309">BG32/100*Sample_Mass/MW_Ca</f>
        <v>4.7912883264204125E-6</v>
      </c>
      <c r="BJ32" s="157">
        <f t="shared" si="252"/>
        <v>2.395644163210206E-7</v>
      </c>
      <c r="BK32" s="133">
        <f t="shared" ref="BK32:BK37" si="310">BI32*J*alpha/Ca_Constant/Ar_Sensitivity</f>
        <v>1901.1286446604952</v>
      </c>
      <c r="BL32" s="133">
        <f t="shared" si="253"/>
        <v>95.056432233024751</v>
      </c>
      <c r="BM32" s="133"/>
      <c r="BN32" s="133"/>
      <c r="BO32" s="143">
        <f t="shared" si="254"/>
        <v>966.7981178498768</v>
      </c>
      <c r="BP32" s="133">
        <f t="shared" si="255"/>
        <v>1.8119288743381863</v>
      </c>
      <c r="BQ32" s="143">
        <f t="shared" si="271"/>
        <v>26.317647955865144</v>
      </c>
      <c r="BR32" s="133">
        <f t="shared" si="272"/>
        <v>0.12675893286040088</v>
      </c>
      <c r="BS32" s="143">
        <f t="shared" si="256"/>
        <v>8.2942738892746739</v>
      </c>
      <c r="BT32" s="133">
        <f t="shared" si="257"/>
        <v>7.4198522263902805E-2</v>
      </c>
      <c r="BU32" s="147">
        <f t="shared" si="258"/>
        <v>1.0952122046197865</v>
      </c>
      <c r="BV32" s="147">
        <f t="shared" si="21"/>
        <v>6.6165774845515349E-2</v>
      </c>
      <c r="BX32" s="147">
        <f t="shared" ref="BX32:BX37" si="311">IF(Rad_Type="Continuous", BU32-((EXP(lambda_36Ar*(Run_Date-Rad_Date))-1)*Cl3638_PR*BZ32),BU32*Ar36_DecayFactor)</f>
        <v>1.0879158536789915</v>
      </c>
      <c r="BY32" s="147">
        <f t="shared" ref="BY32:BY37" si="312">IF(K:K="Continuous", SQRT(BV32^2+(((EXP(lambda_36Ar*(Run_Date-Rad_Date))-1)*Cl3638_PR)*CA32^2)), Ar36_ICerr*Ar36_DecayFactor)</f>
        <v>6.6165908257719439E-2</v>
      </c>
      <c r="BZ32" s="143">
        <f t="shared" ref="BZ32:BZ37" si="313">IF(Rad_Type="Continuous", BS32-(Ar3836_Air*BU32)/(1-lambda_36Ar*(Run_Date-Rad_Date)),Ar38_IC-(Ar3836_Air*Ar36_IC)/Ar36_DecayFactor)</f>
        <v>8.0883734070269941</v>
      </c>
      <c r="CA32" s="147">
        <f t="shared" ref="CA32:CA37" si="314">IF(Rad_Type ="Continuous", SQRT(BT32^2*(((EXP(lambda_36Ar*(Run_Date-Rad_Date))-1*Ar3836_Air)*BV32^2))),SQRT(Ar38_ICerr^2*(((EXP(lambda_36Ar*(Ar36_DecayFactor))-1*Ar3836_Air)*Ar36_ICerr^2))))</f>
        <v>4.4239217514114564E-3</v>
      </c>
      <c r="CB32" s="143">
        <f t="shared" si="26"/>
        <v>645.31898308773475</v>
      </c>
      <c r="CC32" s="143">
        <f t="shared" si="27"/>
        <v>19.635804100036104</v>
      </c>
      <c r="CD32" s="3">
        <v>1.5903158759700325E-12</v>
      </c>
      <c r="CE32" s="3">
        <v>4.0102150310807229E-15</v>
      </c>
      <c r="CF32" s="157">
        <f t="shared" si="28"/>
        <v>1.7301298538251911E-12</v>
      </c>
      <c r="CG32" s="157">
        <f t="shared" si="29"/>
        <v>1.0531509920218536E-13</v>
      </c>
      <c r="CH32" s="157">
        <f t="shared" si="30"/>
        <v>3.0233950658649761E-9</v>
      </c>
      <c r="CI32" s="158">
        <f t="shared" si="31"/>
        <v>1.5136187991216904E-10</v>
      </c>
      <c r="CJ32" s="157">
        <f t="shared" si="32"/>
        <v>1.2863068639968851E-11</v>
      </c>
      <c r="CK32" s="477">
        <f t="shared" si="33"/>
        <v>3.3190344656527857E-14</v>
      </c>
      <c r="CL32" s="157">
        <f t="shared" si="34"/>
        <v>4.1853373362402611E-11</v>
      </c>
      <c r="CM32" s="157">
        <f t="shared" si="35"/>
        <v>2.2754293184621434E-13</v>
      </c>
      <c r="CN32" s="157">
        <f t="shared" si="36"/>
        <v>1.5375143956746055E-9</v>
      </c>
      <c r="CO32" s="157">
        <f t="shared" si="37"/>
        <v>4.8306239166187582E-12</v>
      </c>
      <c r="CP32" s="157">
        <f t="shared" si="38"/>
        <v>5.7388643025132506E-16</v>
      </c>
      <c r="CQ32" s="157">
        <f t="shared" si="39"/>
        <v>1.48078887146395E-18</v>
      </c>
      <c r="CR32" s="157">
        <f t="shared" si="40"/>
        <v>6.8596279215366096E-14</v>
      </c>
      <c r="CS32" s="157">
        <f t="shared" si="41"/>
        <v>2.1551852362956339E-16</v>
      </c>
      <c r="CT32" s="66">
        <v>4.5389563756193605E-3</v>
      </c>
      <c r="CU32" s="66">
        <v>7.7935064724583462E-6</v>
      </c>
      <c r="CV32" s="3">
        <v>1.1611559367069784E+19</v>
      </c>
      <c r="CW32" s="60">
        <v>1.040942599512031E+18</v>
      </c>
      <c r="CX32" s="3">
        <v>8.6527210079182822E+17</v>
      </c>
      <c r="CY32" s="3">
        <v>8.9278178143800032E+16</v>
      </c>
      <c r="CZ32" s="6">
        <v>0.49865169925804054</v>
      </c>
      <c r="DA32" s="6">
        <v>2.7936431740382541E-2</v>
      </c>
      <c r="DB32" s="4">
        <v>24.337069265073254</v>
      </c>
      <c r="DC32" s="4">
        <v>0.74264427477540718</v>
      </c>
      <c r="DD32" s="157">
        <f t="shared" si="42"/>
        <v>3.3904318215791496E-8</v>
      </c>
      <c r="DE32" s="157">
        <f t="shared" si="43"/>
        <v>3.6531027867912714E-10</v>
      </c>
      <c r="DF32" s="147">
        <f t="shared" si="44"/>
        <v>676.32714535534728</v>
      </c>
      <c r="DG32" s="147">
        <f t="shared" si="45"/>
        <v>8.0336466963640785</v>
      </c>
      <c r="DH32" s="159">
        <f t="shared" si="46"/>
        <v>6.7632714535534724E-2</v>
      </c>
      <c r="DI32" s="167">
        <f t="shared" si="47"/>
        <v>8.0336466963640784E-4</v>
      </c>
      <c r="DJ32" s="157">
        <f t="shared" si="48"/>
        <v>4.7217799184501194E-10</v>
      </c>
      <c r="DK32" s="157">
        <f t="shared" si="49"/>
        <v>1.5112331677869437E-11</v>
      </c>
      <c r="DL32" s="147">
        <f t="shared" si="50"/>
        <v>8.5408807882046993</v>
      </c>
      <c r="DM32" s="133">
        <f t="shared" si="51"/>
        <v>0.27667146085004868</v>
      </c>
      <c r="DN32" s="159">
        <f t="shared" si="52"/>
        <v>8.5408807882046993E-4</v>
      </c>
      <c r="DO32" s="167">
        <f t="shared" si="53"/>
        <v>2.7667146085004866E-5</v>
      </c>
      <c r="DP32" s="157">
        <f t="shared" si="54"/>
        <v>4.7912883264204125E-6</v>
      </c>
      <c r="DQ32" s="157">
        <f t="shared" si="55"/>
        <v>3.6273527114258918E-7</v>
      </c>
      <c r="DR32" s="143">
        <f t="shared" si="56"/>
        <v>97976.957205576589</v>
      </c>
      <c r="DS32" s="143">
        <f t="shared" si="57"/>
        <v>7433.7319299665478</v>
      </c>
      <c r="DT32" s="147">
        <f t="shared" si="58"/>
        <v>9.7976957205576589</v>
      </c>
      <c r="DU32" s="147">
        <f t="shared" si="59"/>
        <v>0.74337319299665483</v>
      </c>
      <c r="DV32" s="133">
        <f t="shared" si="60"/>
        <v>71.80410523436737</v>
      </c>
      <c r="DW32" s="133">
        <f t="shared" si="61"/>
        <v>0.77469505986133536</v>
      </c>
      <c r="DX32" s="133">
        <f t="shared" si="62"/>
        <v>7.0762425272622919E-3</v>
      </c>
      <c r="DY32" s="133">
        <f t="shared" si="63"/>
        <v>5.8078326421123275E-3</v>
      </c>
      <c r="DZ32" s="133">
        <f t="shared" si="64"/>
        <v>79.187048985554554</v>
      </c>
      <c r="EA32" s="133">
        <f t="shared" si="65"/>
        <v>0.94166038980990641</v>
      </c>
      <c r="EB32" s="133">
        <f t="shared" si="66"/>
        <v>6.9029204891132559E-3</v>
      </c>
      <c r="EC32" s="133">
        <f t="shared" si="67"/>
        <v>5.8385931815420431E-3</v>
      </c>
      <c r="ED32" s="157">
        <f t="shared" si="68"/>
        <v>1.4527631613521323E-4</v>
      </c>
      <c r="EE32" s="157">
        <f t="shared" si="69"/>
        <v>4.672002461412449E-6</v>
      </c>
      <c r="EF32" s="147">
        <f t="shared" si="70"/>
        <v>24.520389670457579</v>
      </c>
      <c r="EG32" s="147">
        <f t="shared" si="71"/>
        <v>0.75539733310189505</v>
      </c>
      <c r="EH32" s="157">
        <f t="shared" si="72"/>
        <v>2.0232313411751855E-6</v>
      </c>
      <c r="EI32" s="157">
        <f t="shared" si="73"/>
        <v>2.2707671051283625E-8</v>
      </c>
      <c r="EJ32" s="143">
        <f t="shared" si="74"/>
        <v>190.16756071605676</v>
      </c>
      <c r="EK32" s="143">
        <f t="shared" si="75"/>
        <v>5.5787503299372903</v>
      </c>
      <c r="EL32" s="143">
        <f t="shared" si="76"/>
        <v>5.5874085311198067</v>
      </c>
      <c r="EM32" s="133">
        <f t="shared" si="77"/>
        <v>190.16756071605676</v>
      </c>
      <c r="EN32" s="133">
        <f t="shared" si="78"/>
        <v>5.5787503299372903</v>
      </c>
      <c r="EO32" s="133">
        <f t="shared" si="79"/>
        <v>5.5874085311198067</v>
      </c>
      <c r="EP32" s="501">
        <f>CL32/$CL$17</f>
        <v>19.806867294421242</v>
      </c>
      <c r="EQ32" s="143">
        <f t="shared" ref="EQ32:ER35" si="315">EM32</f>
        <v>190.16756071605676</v>
      </c>
      <c r="ER32" s="143">
        <f t="shared" si="315"/>
        <v>5.5787503299372903</v>
      </c>
      <c r="ES32" s="147">
        <f t="shared" si="81"/>
        <v>24.190885597325458</v>
      </c>
      <c r="ET32" s="147">
        <f t="shared" si="82"/>
        <v>1.4719628250546986</v>
      </c>
      <c r="EU32" s="143">
        <f t="shared" si="83"/>
        <v>888.66994131988031</v>
      </c>
      <c r="EV32" s="143">
        <f t="shared" si="84"/>
        <v>54.073634968991229</v>
      </c>
      <c r="EW32" s="157">
        <f t="shared" si="85"/>
        <v>2.7221451376420361E-2</v>
      </c>
      <c r="EX32" s="157">
        <f t="shared" si="86"/>
        <v>1.4068808732431405E-4</v>
      </c>
      <c r="EY32" s="157">
        <f t="shared" si="87"/>
        <v>1.1252771737893699E-3</v>
      </c>
      <c r="EZ32" s="157">
        <f t="shared" si="88"/>
        <v>6.8470670949049317E-5</v>
      </c>
      <c r="FA32" s="66">
        <v>0.33941199999999999</v>
      </c>
      <c r="FB32" s="66">
        <v>3.2190000000000001E-3</v>
      </c>
      <c r="FC32" s="66">
        <v>0.110281</v>
      </c>
      <c r="FD32" s="66">
        <v>1.8810000000000001E-3</v>
      </c>
      <c r="FE32" s="66">
        <v>8.3178000000000002E-2</v>
      </c>
      <c r="FF32" s="66">
        <v>2.32E-3</v>
      </c>
      <c r="FI32" s="66">
        <v>1.2600999999999999E-2</v>
      </c>
      <c r="FJ32" s="66">
        <v>2.134E-3</v>
      </c>
      <c r="FK32" s="66">
        <v>5.8170000000000001E-3</v>
      </c>
      <c r="FL32" s="66">
        <v>1.1310000000000001E-3</v>
      </c>
      <c r="FM32" s="66">
        <v>5.803E-3</v>
      </c>
      <c r="FN32" s="66">
        <v>9.3599999999999998E-4</v>
      </c>
      <c r="FQ32" s="159">
        <f t="shared" si="89"/>
        <v>0.32681100000000002</v>
      </c>
      <c r="FR32" s="159">
        <f t="shared" si="90"/>
        <v>3.8621130226858978E-3</v>
      </c>
      <c r="FS32" s="159">
        <f t="shared" si="91"/>
        <v>0.104464</v>
      </c>
      <c r="FT32" s="159">
        <f t="shared" si="92"/>
        <v>2.6601357108237919E-3</v>
      </c>
      <c r="FU32" s="159">
        <f t="shared" si="93"/>
        <v>7.7374999999999999E-2</v>
      </c>
      <c r="FV32" s="159">
        <f t="shared" si="94"/>
        <v>2.5016986229360245E-3</v>
      </c>
      <c r="FW32" s="159">
        <f t="shared" si="95"/>
        <v>0</v>
      </c>
      <c r="FX32" s="159">
        <f t="shared" si="96"/>
        <v>0</v>
      </c>
      <c r="FY32" s="159">
        <f t="shared" si="97"/>
        <v>5.5963732785718007E-2</v>
      </c>
      <c r="FZ32" s="159">
        <f t="shared" si="98"/>
        <v>5.3358403680067367E-3</v>
      </c>
      <c r="GA32" s="159">
        <f t="shared" si="99"/>
        <v>0.32459483618168561</v>
      </c>
      <c r="GB32" s="159">
        <f t="shared" si="100"/>
        <v>3.8678888796248399E-3</v>
      </c>
      <c r="GC32" s="159">
        <f t="shared" si="101"/>
        <v>9.314813323072782E-2</v>
      </c>
      <c r="GD32" s="159">
        <f t="shared" si="102"/>
        <v>2.8706030981705383E-3</v>
      </c>
      <c r="GE32" s="159">
        <f t="shared" si="103"/>
        <v>-1.7080131246201138E-2</v>
      </c>
      <c r="GF32" s="159">
        <f t="shared" si="104"/>
        <v>1.6284984803156561E-3</v>
      </c>
      <c r="GG32" s="3">
        <v>1.7782159136499011E-12</v>
      </c>
      <c r="GH32" s="3">
        <v>7.5535622364420377E-15</v>
      </c>
      <c r="GI32" s="6">
        <v>1</v>
      </c>
      <c r="GJ32" s="6">
        <v>5.0000000000000001E-3</v>
      </c>
      <c r="GK32" s="157">
        <f t="shared" si="105"/>
        <v>5.7719970318685602E-13</v>
      </c>
      <c r="GL32" s="157">
        <f t="shared" si="106"/>
        <v>7.8515363258029843E-15</v>
      </c>
      <c r="GM32" s="157">
        <f t="shared" si="107"/>
        <v>1.6563749283766139E-13</v>
      </c>
      <c r="GN32" s="157">
        <f t="shared" si="108"/>
        <v>5.2189462538835268E-15</v>
      </c>
      <c r="GO32" s="157">
        <f t="shared" si="109"/>
        <v>9.9515600226814472E-14</v>
      </c>
      <c r="GP32" s="157">
        <f t="shared" si="110"/>
        <v>9.5107132771939331E-15</v>
      </c>
      <c r="GQ32" s="157">
        <f t="shared" si="111"/>
        <v>-3.0372161189223778E-14</v>
      </c>
      <c r="GR32" s="157">
        <f t="shared" si="112"/>
        <v>-2.9026696921995883E-15</v>
      </c>
      <c r="GS32" s="157">
        <f t="shared" si="113"/>
        <v>2.5751792707904834E-17</v>
      </c>
      <c r="GT32" s="157">
        <f t="shared" si="114"/>
        <v>3.5029667369561907E-19</v>
      </c>
      <c r="GU32" s="157">
        <f t="shared" si="115"/>
        <v>7.3899247637549047E-18</v>
      </c>
      <c r="GV32" s="157">
        <f t="shared" si="116"/>
        <v>2.3284353987785536E-19</v>
      </c>
      <c r="GW32" s="157">
        <f t="shared" si="117"/>
        <v>4.4398933230463439E-18</v>
      </c>
      <c r="GX32" s="157">
        <f t="shared" si="118"/>
        <v>4.2432093341503269E-19</v>
      </c>
      <c r="GY32" s="147">
        <f t="shared" si="119"/>
        <v>3.4847164932190804</v>
      </c>
      <c r="GZ32" s="147">
        <f t="shared" si="120"/>
        <v>4.839469626500046E-2</v>
      </c>
      <c r="HA32" s="4">
        <v>26.169770272470501</v>
      </c>
      <c r="HB32" s="4">
        <v>0.31897682079735301</v>
      </c>
      <c r="HC32" s="228">
        <f t="shared" si="121"/>
        <v>583.20118573940033</v>
      </c>
      <c r="HD32" s="228">
        <f t="shared" si="122"/>
        <v>10.757807537593283</v>
      </c>
      <c r="HE32" s="239">
        <f t="shared" si="123"/>
        <v>3.5922935003101786E-13</v>
      </c>
      <c r="HF32" s="229">
        <f t="shared" si="124"/>
        <v>1.3270192767122254E-14</v>
      </c>
      <c r="HG32" s="362">
        <f t="shared" si="125"/>
        <v>14.644827543305333</v>
      </c>
      <c r="HH32" s="362">
        <f t="shared" si="126"/>
        <v>0.54592358352071479</v>
      </c>
      <c r="HI32" s="4">
        <v>7.5091582159801398</v>
      </c>
      <c r="HJ32" s="4">
        <v>0.114829942558394</v>
      </c>
      <c r="HK32" s="228">
        <f t="shared" si="127"/>
        <v>583.1458560846828</v>
      </c>
      <c r="HL32" s="228">
        <f t="shared" si="128"/>
        <v>20.478900398383416</v>
      </c>
      <c r="HM32" s="239">
        <f t="shared" si="129"/>
        <v>3.5926343418971375E-13</v>
      </c>
      <c r="HN32" s="229">
        <f t="shared" si="130"/>
        <v>1.3271451860668371E-14</v>
      </c>
      <c r="HO32" s="362">
        <f t="shared" si="131"/>
        <v>14.646217064028002</v>
      </c>
      <c r="HP32" s="362">
        <f t="shared" si="132"/>
        <v>0.69975041795316795</v>
      </c>
      <c r="HQ32" s="6">
        <v>1.11613116912226</v>
      </c>
      <c r="HR32" s="6">
        <v>3.5153924948669403E-2</v>
      </c>
      <c r="HS32" s="6">
        <f t="shared" si="133"/>
        <v>16.002750237984255</v>
      </c>
      <c r="HT32" s="6">
        <f t="shared" si="134"/>
        <v>1.5400632083372121</v>
      </c>
      <c r="HU32" s="6">
        <v>1.11613116912226</v>
      </c>
      <c r="HV32" s="6">
        <v>3.5153924948669403E-2</v>
      </c>
      <c r="HW32" s="6">
        <f t="shared" si="135"/>
        <v>19.975592842815402</v>
      </c>
      <c r="HX32" s="6">
        <f t="shared" si="136"/>
        <v>2.0184237718392595</v>
      </c>
      <c r="HY32" s="3">
        <v>2.3738899999999998</v>
      </c>
      <c r="HZ32" s="3">
        <v>3.3119000000000003E-2</v>
      </c>
      <c r="IA32" s="3">
        <v>7.6990000000000001E-3</v>
      </c>
      <c r="IB32" s="3">
        <v>4.7899999999999999E-4</v>
      </c>
      <c r="IC32" s="3">
        <v>1.165E-3</v>
      </c>
      <c r="ID32" s="3">
        <v>1.7200000000000001E-4</v>
      </c>
      <c r="IE32" s="3">
        <v>0.55543299999999995</v>
      </c>
      <c r="IF32" s="3">
        <v>5.4840000000000002E-3</v>
      </c>
      <c r="IG32" s="3">
        <v>0.10770100000000001</v>
      </c>
      <c r="IH32" s="3">
        <v>1.5690000000000001E-3</v>
      </c>
      <c r="II32" s="3">
        <v>0.16944500000000001</v>
      </c>
      <c r="IJ32" s="3">
        <v>2.6050000000000001E-3</v>
      </c>
      <c r="IK32" s="3">
        <v>0.235543</v>
      </c>
      <c r="IL32" s="3">
        <v>2.0530000000000001E-3</v>
      </c>
      <c r="IM32" s="3">
        <v>7.6800000000000002E-4</v>
      </c>
      <c r="IN32" s="3">
        <v>3.97E-4</v>
      </c>
      <c r="IO32" s="3">
        <v>6.87E-4</v>
      </c>
      <c r="IP32" s="3">
        <v>1.3100000000000001E-4</v>
      </c>
      <c r="IQ32" s="3">
        <v>3.4900000000000003E-4</v>
      </c>
      <c r="IR32" s="3">
        <v>1.18E-4</v>
      </c>
      <c r="IS32" s="3">
        <v>3.3599999999999998E-4</v>
      </c>
      <c r="IT32" s="3">
        <v>1.36E-4</v>
      </c>
      <c r="IU32" s="3">
        <v>7.8100000000000001E-4</v>
      </c>
      <c r="IV32" s="3">
        <v>2.7099999999999997E-4</v>
      </c>
      <c r="IW32" s="3">
        <v>2.2000000000000001E-4</v>
      </c>
      <c r="IX32" s="3">
        <v>1.03E-4</v>
      </c>
      <c r="IY32" s="3">
        <v>3.3300000000000002E-4</v>
      </c>
      <c r="IZ32" s="3">
        <v>8.7999999999999998E-5</v>
      </c>
      <c r="JA32" s="157">
        <f t="shared" si="137"/>
        <v>2.373122</v>
      </c>
      <c r="JB32" s="157">
        <f t="shared" si="138"/>
        <v>3.3121379349296431E-2</v>
      </c>
      <c r="JC32" s="157">
        <f t="shared" si="139"/>
        <v>7.012E-3</v>
      </c>
      <c r="JD32" s="157">
        <f t="shared" si="140"/>
        <v>4.9659037445363356E-4</v>
      </c>
      <c r="JE32" s="157">
        <f t="shared" si="141"/>
        <v>8.1599999999999999E-4</v>
      </c>
      <c r="JF32" s="157">
        <f t="shared" si="142"/>
        <v>2.08585713796511E-4</v>
      </c>
      <c r="JG32" s="157">
        <f t="shared" si="143"/>
        <v>0.55509699999999995</v>
      </c>
      <c r="JH32" s="157">
        <f t="shared" si="144"/>
        <v>5.4856861011180723E-3</v>
      </c>
      <c r="JI32" s="157">
        <f t="shared" si="145"/>
        <v>0.10692</v>
      </c>
      <c r="JJ32" s="157">
        <f t="shared" si="146"/>
        <v>1.5922317670490061E-3</v>
      </c>
      <c r="JK32" s="157">
        <f t="shared" si="147"/>
        <v>0.16922500000000001</v>
      </c>
      <c r="JL32" s="157">
        <f t="shared" si="148"/>
        <v>2.6070354811547924E-3</v>
      </c>
      <c r="JM32" s="157">
        <f t="shared" si="149"/>
        <v>0.23521</v>
      </c>
      <c r="JN32" s="157">
        <f t="shared" si="150"/>
        <v>2.054885154941755E-3</v>
      </c>
      <c r="JO32" s="157">
        <f t="shared" ref="JO32:JO37" si="316">Xe128BC-(Xe130BC*Xe128130_Air)</f>
        <v>2.3727371756933597</v>
      </c>
      <c r="JP32" s="157">
        <f t="shared" ref="JP32:JP37" si="317">SQRT(Xe128BCerr^2+(Xe130BCerr*Xe128130_Air)^2)</f>
        <v>3.312152542380211E-2</v>
      </c>
      <c r="JQ32" s="157">
        <f t="shared" ref="JQ32:JQ37" si="318">Xe129BC-(Xe130BC*Xe129130_Air)</f>
        <v>1.7139286659520001E-3</v>
      </c>
      <c r="JR32" s="157">
        <f t="shared" ref="JR32:JR37" si="319">SQRT(Xe129BCerr^2+(Xe130BCerr*Xe129130_Air)^2)</f>
        <v>1.442465905450367E-3</v>
      </c>
      <c r="JS32" s="157">
        <f t="shared" ref="JS32:JS37" si="320">Xe131BC-(Xe130BC*Xe131130_Air)</f>
        <v>0.55084452972265596</v>
      </c>
      <c r="JT32" s="157">
        <f t="shared" ref="JT32:JT37" si="321">SQRT(Xe131BCerr^2+(Xe130BCerr*Xe131130_Air)^2)</f>
        <v>5.5923478460609966E-3</v>
      </c>
      <c r="JU32" s="157">
        <f t="shared" ref="JU32:JU37" si="322">Xe132BC-(Xe130BC*Xe132130_Air)</f>
        <v>0.10153030383096</v>
      </c>
      <c r="JV32" s="157">
        <f t="shared" ref="JV32:JV37" si="323">SQRT((Xe132BCerr^2+(Xe130BCerr*Xe132130_Air)^2))</f>
        <v>2.1055390008745166E-3</v>
      </c>
      <c r="JW32" s="157">
        <f t="shared" ref="JW32:JW37" si="324">Xe134BC-(Xe130BC*Xe134130_Air)</f>
        <v>0.16712463540284803</v>
      </c>
      <c r="JX32" s="157">
        <f t="shared" ref="JX32:JX37" si="325">SQRT(Xe134BCerr^2+(Xe130BCerr*Xe134130_Air)^2)</f>
        <v>2.6617456460104453E-3</v>
      </c>
      <c r="JY32" s="157">
        <f t="shared" ref="JY32:JY37" si="326">Xe136BC-(Xe130BC*Xe136130_Air)</f>
        <v>0.23343463408196799</v>
      </c>
      <c r="JZ32" s="157">
        <f t="shared" ref="JZ32:JZ37" si="327">SQRT(Xe136BCerr^2+(Xe130BCerr*Xe136130_Air)^2)</f>
        <v>2.1044011761562433E-3</v>
      </c>
      <c r="KA32" s="3">
        <v>1.7696448643015688E-12</v>
      </c>
      <c r="KB32" s="3">
        <v>3.8892524257744769E-14</v>
      </c>
      <c r="KC32" s="5">
        <v>1</v>
      </c>
      <c r="KD32" s="5">
        <v>0</v>
      </c>
      <c r="KE32" s="157">
        <f t="shared" si="163"/>
        <v>4.1989021573031633E-12</v>
      </c>
      <c r="KF32" s="157">
        <f t="shared" si="164"/>
        <v>1.0932265325778102E-13</v>
      </c>
      <c r="KG32" s="157">
        <f t="shared" si="165"/>
        <v>1.8733422307502634E-16</v>
      </c>
      <c r="KH32" s="157">
        <f t="shared" si="166"/>
        <v>4.8774354701282491E-18</v>
      </c>
      <c r="KI32" s="6">
        <v>1.2430056234832578</v>
      </c>
      <c r="KJ32" s="6">
        <v>0.11113867994607306</v>
      </c>
      <c r="KK32" s="157">
        <f t="shared" si="167"/>
        <v>2.2415318666112047E-12</v>
      </c>
      <c r="KL32" s="157">
        <f t="shared" si="260"/>
        <v>2.901118343514084E-13</v>
      </c>
      <c r="KM32" s="494">
        <f t="shared" si="168"/>
        <v>145.13289835018449</v>
      </c>
      <c r="KN32" s="494">
        <f t="shared" ref="KN32:KN37" si="328">KM32*SQRT(I_moleerr/I_mole)^2+(MVerr/MV)^2+(Sample_Masserr/Sample_Mass)</f>
        <v>18.78892718492294</v>
      </c>
      <c r="KO32" s="4">
        <v>20.162258156415799</v>
      </c>
      <c r="KP32" s="4">
        <v>0.66285498057307002</v>
      </c>
      <c r="KQ32" s="229">
        <f t="shared" si="170"/>
        <v>61.765790410634494</v>
      </c>
      <c r="KR32" s="229">
        <f t="shared" si="171"/>
        <v>2.5951666083522662</v>
      </c>
      <c r="KS32" s="364">
        <f t="shared" si="172"/>
        <v>138.27849901090519</v>
      </c>
      <c r="KT32" s="364">
        <f t="shared" si="173"/>
        <v>7.3362213703396275</v>
      </c>
      <c r="KU32" s="147">
        <f t="shared" si="174"/>
        <v>0.49008412856897204</v>
      </c>
      <c r="KV32" s="147">
        <f t="shared" si="175"/>
        <v>6.1913706102048466E-3</v>
      </c>
      <c r="KW32" s="157">
        <f t="shared" si="176"/>
        <v>8.6727486119779111E-13</v>
      </c>
      <c r="KX32" s="157">
        <f t="shared" si="177"/>
        <v>2.1985274581455182E-14</v>
      </c>
      <c r="KY32" s="157">
        <f t="shared" si="178"/>
        <v>3.8693509929114324E-17</v>
      </c>
      <c r="KZ32" s="157">
        <f t="shared" si="179"/>
        <v>9.8087409031966763E-19</v>
      </c>
      <c r="LA32" s="6">
        <v>1.2485542932379501</v>
      </c>
      <c r="LB32" s="6">
        <v>5.9627651953476503E-2</v>
      </c>
      <c r="LC32" s="157">
        <f t="shared" si="180"/>
        <v>3.2505495423231681E-10</v>
      </c>
      <c r="LD32" s="157">
        <f t="shared" si="181"/>
        <v>3.6932543908423885E-11</v>
      </c>
      <c r="LE32" s="159">
        <f t="shared" si="182"/>
        <v>22.774909030541515</v>
      </c>
      <c r="LF32" s="159">
        <f t="shared" si="183"/>
        <v>2.5926711516901966</v>
      </c>
      <c r="LG32" s="471"/>
      <c r="LH32" s="471"/>
      <c r="LM32" s="157">
        <f t="shared" si="184"/>
        <v>2.9575125273892218E-13</v>
      </c>
      <c r="LN32" s="157">
        <f t="shared" si="185"/>
        <v>8.0272057162602074E-15</v>
      </c>
      <c r="LO32" s="157">
        <f t="shared" si="186"/>
        <v>1.3194956462356909E-17</v>
      </c>
      <c r="LP32" s="157">
        <f t="shared" si="187"/>
        <v>3.5813417182080433E-19</v>
      </c>
      <c r="LQ32" s="157">
        <f t="shared" si="188"/>
        <v>3.35877816802488E-12</v>
      </c>
      <c r="LR32" s="157">
        <f t="shared" si="189"/>
        <v>3.1460254574248372E-13</v>
      </c>
      <c r="LS32" s="147">
        <f t="shared" si="190"/>
        <v>407.90117666671381</v>
      </c>
      <c r="LT32" s="147">
        <f t="shared" si="191"/>
        <v>38.260775092341348</v>
      </c>
      <c r="LW32" s="214" t="str">
        <f t="shared" si="192"/>
        <v>99z1</v>
      </c>
      <c r="LX32" s="214" t="str">
        <f t="shared" si="193"/>
        <v>MN2022a</v>
      </c>
      <c r="LY32" s="212">
        <f t="shared" si="194"/>
        <v>676.32714535534728</v>
      </c>
      <c r="LZ32" s="212">
        <f t="shared" si="195"/>
        <v>8.0336466963640785</v>
      </c>
      <c r="MA32" s="212">
        <f t="shared" si="196"/>
        <v>8.5408807882046993</v>
      </c>
      <c r="MB32" s="212">
        <f t="shared" si="197"/>
        <v>0.27667146085004868</v>
      </c>
      <c r="MC32" s="212">
        <f t="shared" si="198"/>
        <v>97976.957205576589</v>
      </c>
      <c r="MD32" s="212">
        <f t="shared" si="199"/>
        <v>7433.7319299665478</v>
      </c>
      <c r="ME32" s="212">
        <f t="shared" si="200"/>
        <v>16.002750237984255</v>
      </c>
      <c r="MF32" s="212">
        <f t="shared" si="201"/>
        <v>1.5400632083372121</v>
      </c>
      <c r="MG32" s="212">
        <f t="shared" si="202"/>
        <v>19.975592842815402</v>
      </c>
      <c r="MH32" s="212">
        <f t="shared" si="203"/>
        <v>2.0184237718392595</v>
      </c>
      <c r="MI32" s="212">
        <f t="shared" si="204"/>
        <v>14.644827543305333</v>
      </c>
      <c r="MJ32" s="212">
        <f t="shared" si="205"/>
        <v>0.54592358352071479</v>
      </c>
      <c r="MK32" s="212">
        <f t="shared" si="206"/>
        <v>14.646217064028002</v>
      </c>
      <c r="ML32" s="212">
        <f t="shared" si="207"/>
        <v>0.69975041795316795</v>
      </c>
      <c r="MM32" s="212">
        <f t="shared" si="261"/>
        <v>145.13289835018449</v>
      </c>
      <c r="MN32" s="212">
        <f t="shared" si="208"/>
        <v>18.78892718492294</v>
      </c>
      <c r="MO32" s="212">
        <f t="shared" si="209"/>
        <v>138.27849901090519</v>
      </c>
      <c r="MP32" s="212">
        <f t="shared" si="210"/>
        <v>7.3362213703396275</v>
      </c>
      <c r="MQ32" s="211"/>
      <c r="MR32" s="211"/>
      <c r="MS32" s="211"/>
      <c r="MT32" s="211"/>
      <c r="MU32" s="506">
        <f t="shared" si="273"/>
        <v>79.187048985554554</v>
      </c>
      <c r="MV32" s="506">
        <f t="shared" si="274"/>
        <v>0.94166038980990641</v>
      </c>
      <c r="MW32" s="109">
        <f t="shared" si="211"/>
        <v>1.7146741543952269E-3</v>
      </c>
      <c r="MX32" s="109">
        <f t="shared" si="212"/>
        <v>8.4680855620832021E-5</v>
      </c>
      <c r="MY32" s="109">
        <f t="shared" si="213"/>
        <v>1.7148368449604189E-3</v>
      </c>
      <c r="MZ32" s="109">
        <f t="shared" si="214"/>
        <v>9.8986150805772252E-5</v>
      </c>
      <c r="NA32" s="513">
        <f t="shared" si="295"/>
        <v>1.699273200846204E-2</v>
      </c>
      <c r="NB32" s="513">
        <f t="shared" si="296"/>
        <v>2.2677046609580012E-3</v>
      </c>
      <c r="NC32" s="506">
        <f t="shared" si="275"/>
        <v>71.80410523436737</v>
      </c>
      <c r="ND32" s="506">
        <f t="shared" si="276"/>
        <v>0.77469505986133536</v>
      </c>
      <c r="NE32" s="109">
        <f t="shared" si="217"/>
        <v>7.6079223562993076E-4</v>
      </c>
      <c r="NF32" s="109">
        <f t="shared" si="218"/>
        <v>3.7185346189216322E-5</v>
      </c>
      <c r="NG32" s="513">
        <f t="shared" si="219"/>
        <v>7.6086442060950327E-4</v>
      </c>
      <c r="NH32" s="513">
        <f t="shared" si="220"/>
        <v>3.7188874384338924E-5</v>
      </c>
      <c r="NI32" s="109">
        <f t="shared" si="221"/>
        <v>4.7472191318083971E-3</v>
      </c>
      <c r="NJ32" s="109">
        <f t="shared" si="221"/>
        <v>6.3352325843954926E-4</v>
      </c>
      <c r="NK32" s="621">
        <f t="shared" ref="NK32:NK37" si="329">Ar36CC/Sample_Mass</f>
        <v>8.8271931317611791E-10</v>
      </c>
      <c r="NL32" s="621">
        <f t="shared" ref="NL32:NL37" si="330">NK32*SQRT((Ar36CCerr/Ar36CC)^2 + (Sample_Masserr/Sample_Mass)^2)</f>
        <v>5.3913156555685832E-11</v>
      </c>
      <c r="NM32" s="621">
        <f t="shared" ref="NM32:NM37" si="331">Ar39CC/Sample_Mass</f>
        <v>2.1353761919593168E-8</v>
      </c>
      <c r="NN32" s="621">
        <f t="shared" ref="NN32:NN37" si="332">NM32*SQRT((Ar39ccerr/Ar39CC)^2 + (Sample_Masserr/Sample_Mass)^2)</f>
        <v>1.5772520588429474E-10</v>
      </c>
      <c r="NO32" s="621">
        <f t="shared" ref="NO32:NO37" si="333">Ar40CC/Sample_Mass</f>
        <v>7.8444612024214572E-7</v>
      </c>
      <c r="NP32" s="621">
        <f t="shared" ref="NP32:NP37" si="334">NO32*SQRT((Ar40CCerrr/Ar40CC)^2 + (Sample_Masserr/Sample_Mass)^2)</f>
        <v>4.6322959705289285E-9</v>
      </c>
      <c r="NQ32" s="621">
        <f t="shared" ref="NQ32:NQ37" si="335">Ar40AC*Ar_Sensitivity/Sample_Mass</f>
        <v>5.2360256319860279E-7</v>
      </c>
      <c r="NR32" s="621">
        <f t="shared" ref="NR32:NR37" si="336">NQ32*SQRT((Ar40ACerr/Ar40AC)^2 + (Ar_sensitivityerr/Ar_Sensitivity)^2 + (Sample_Masserr/Sample_Mass)^2)</f>
        <v>1.6199771495759645E-8</v>
      </c>
      <c r="NS32" s="621">
        <f t="shared" ref="NS32:NS37" si="337">(Ar40CC-(Ar39CC/J*(EXP(lambda*96000000)-1)))/Sample_Mass</f>
        <v>5.2702789688635081E-7</v>
      </c>
      <c r="NT32" s="621">
        <f t="shared" ref="NT32:NT37" si="338">SQRT(((Ar39CC/J*(EXP(lambda*96000000)-1)/Sample_Mass)*SQRT((Jerr/J)^2 + (Ar39ccerr/Ar39CC)^2))^2 + (Ar40CCerrr/Sample_Mass)^2)</f>
        <v>2.868488318981188E-9</v>
      </c>
      <c r="NU32" s="621">
        <f t="shared" ref="NU32:NU37" si="339">Kr84cc/Sample_Mass</f>
        <v>5.0773265421844122E-11</v>
      </c>
      <c r="NV32" s="621">
        <f t="shared" ref="NV32:NV37" si="340">NU32*SQRT((Kr84ccerr/Kr84cc)^2 + (Sample_Masserr/Sample_Mass)^2)</f>
        <v>4.8590410378412565E-12</v>
      </c>
      <c r="NW32" s="621">
        <f t="shared" ref="NW32:NW37" si="341">Xe130BC*Xe_Sensitivity/Sample_Mass</f>
        <v>7.367501067704491E-13</v>
      </c>
      <c r="NX32" s="621">
        <f t="shared" ref="NX32:NX37" si="342">NW32*SQRT((Xe130BCerr/Xe130BC)^2 + (Sample_Masserr/Sample_Mass)^2 + (Xe_Sensitivityerr/Xe_Sensitivity)^2)</f>
        <v>1.8905856095501146E-13</v>
      </c>
      <c r="NY32" s="621">
        <f t="shared" ref="NY32:NY37" si="343">Xe132BC*Xe_Sensitivity/Sample_Mass</f>
        <v>9.6535933107716191E-11</v>
      </c>
      <c r="NZ32" s="621">
        <f t="shared" ref="NZ32:NZ37" si="344">NY32*SQRT((Xe132BCerr/Xe132BC)^2 + (Sample_Masserr/Sample_Mass)^2 + (Xe_Sensitivityerr/Xe_Sensitivity)^2)</f>
        <v>2.6078645635717348E-12</v>
      </c>
      <c r="OA32" s="622">
        <f t="shared" si="262"/>
        <v>888.66994131988031</v>
      </c>
      <c r="OB32" s="622">
        <f t="shared" si="238"/>
        <v>54.073634968991229</v>
      </c>
      <c r="OC32" s="622">
        <f t="shared" si="239"/>
        <v>597.05037492614542</v>
      </c>
      <c r="OD32" s="622">
        <f t="shared" si="263"/>
        <v>36.610085171369747</v>
      </c>
      <c r="OE32" s="621">
        <f t="shared" si="264"/>
        <v>5.751915095089119E-2</v>
      </c>
      <c r="OF32" s="621">
        <f t="shared" si="265"/>
        <v>6.5174409974330834E-3</v>
      </c>
      <c r="OG32" s="621">
        <f t="shared" si="266"/>
        <v>8.3463689507318455E-4</v>
      </c>
      <c r="OH32" s="621">
        <f t="shared" si="267"/>
        <v>2.2016033897611305E-4</v>
      </c>
      <c r="OI32" s="621">
        <f t="shared" si="268"/>
        <v>0.10936198139855992</v>
      </c>
      <c r="OJ32" s="621">
        <f t="shared" si="269"/>
        <v>7.3036157022174494E-3</v>
      </c>
      <c r="OK32" s="621">
        <f t="shared" si="240"/>
        <v>2.7221451376420361E-2</v>
      </c>
      <c r="OL32" s="621">
        <f t="shared" si="241"/>
        <v>1.4068808732431405E-4</v>
      </c>
      <c r="OM32" s="621">
        <f t="shared" si="242"/>
        <v>1.1252771737893699E-3</v>
      </c>
      <c r="ON32" s="621">
        <f t="shared" si="243"/>
        <v>6.8470670949049317E-5</v>
      </c>
      <c r="OO32" s="621">
        <f t="shared" si="244"/>
        <v>24.190885597325458</v>
      </c>
      <c r="OP32" s="621">
        <f t="shared" si="245"/>
        <v>1.4719628250546986</v>
      </c>
      <c r="OQ32" s="621">
        <f t="shared" si="246"/>
        <v>4.5389563756193605E-3</v>
      </c>
      <c r="OR32" s="621">
        <f t="shared" si="247"/>
        <v>7.7935064724583462E-6</v>
      </c>
    </row>
    <row r="33" spans="2:408" s="657" customFormat="1">
      <c r="B33" s="630" t="s">
        <v>954</v>
      </c>
      <c r="C33" s="631">
        <v>4.3499999999999997E-3</v>
      </c>
      <c r="D33" s="632">
        <f t="shared" si="308"/>
        <v>2.175E-5</v>
      </c>
      <c r="E33" s="633">
        <v>45110</v>
      </c>
      <c r="F33" s="631" t="s">
        <v>210</v>
      </c>
      <c r="G33" s="631" t="s">
        <v>893</v>
      </c>
      <c r="H33" s="631">
        <v>2</v>
      </c>
      <c r="I33" s="631"/>
      <c r="J33" s="634">
        <v>44644</v>
      </c>
      <c r="K33" s="633" t="s">
        <v>823</v>
      </c>
      <c r="L33" s="631" t="s">
        <v>949</v>
      </c>
      <c r="M33" s="631" t="s">
        <v>951</v>
      </c>
      <c r="N33" s="631">
        <v>180</v>
      </c>
      <c r="O33" s="635">
        <v>2668.6293420000002</v>
      </c>
      <c r="P33" s="635">
        <v>6.2445550000000001</v>
      </c>
      <c r="Q33" s="635">
        <v>55.323939000000003</v>
      </c>
      <c r="R33" s="635">
        <v>0.21216699999999999</v>
      </c>
      <c r="S33" s="635">
        <v>22.732599</v>
      </c>
      <c r="T33" s="635">
        <v>8.8775999999999994E-2</v>
      </c>
      <c r="U33" s="635">
        <v>0.47655700000000001</v>
      </c>
      <c r="V33" s="635">
        <v>3.1321000000000002E-2</v>
      </c>
      <c r="W33" s="635">
        <v>5.4282310000000003</v>
      </c>
      <c r="X33" s="635">
        <v>7.5889999999999999E-2</v>
      </c>
      <c r="Y33" s="635">
        <v>75.154106999999996</v>
      </c>
      <c r="Z33" s="635">
        <v>0.20996200000000001</v>
      </c>
      <c r="AA33" s="635">
        <v>0.122574</v>
      </c>
      <c r="AB33" s="635">
        <v>5.6954999999999999E-2</v>
      </c>
      <c r="AC33" s="635">
        <v>0.116894</v>
      </c>
      <c r="AD33" s="635">
        <v>7.8458E-2</v>
      </c>
      <c r="AE33" s="635">
        <v>4.9852E-2</v>
      </c>
      <c r="AF33" s="635">
        <v>4.1779999999999998E-2</v>
      </c>
      <c r="AG33" s="635">
        <v>0.33313799999999999</v>
      </c>
      <c r="AH33" s="635">
        <v>0.112661</v>
      </c>
      <c r="AI33" s="637">
        <f t="shared" si="1"/>
        <v>2593.4752350000003</v>
      </c>
      <c r="AJ33" s="637">
        <f t="shared" si="2"/>
        <v>6.2480838014121582</v>
      </c>
      <c r="AK33" s="637">
        <f t="shared" si="3"/>
        <v>55.201365000000003</v>
      </c>
      <c r="AL33" s="637">
        <f t="shared" si="4"/>
        <v>0.21967864692318184</v>
      </c>
      <c r="AM33" s="637">
        <f t="shared" si="5"/>
        <v>22.615705000000002</v>
      </c>
      <c r="AN33" s="637">
        <f t="shared" si="6"/>
        <v>0.11847715366263657</v>
      </c>
      <c r="AO33" s="637">
        <f t="shared" si="7"/>
        <v>0.426705</v>
      </c>
      <c r="AP33" s="637">
        <f t="shared" si="8"/>
        <v>5.2216601201150577E-2</v>
      </c>
      <c r="AQ33" s="637">
        <f t="shared" si="9"/>
        <v>5.0950930000000003</v>
      </c>
      <c r="AR33" s="637">
        <f t="shared" si="10"/>
        <v>0.13583737711322313</v>
      </c>
      <c r="AS33" s="638">
        <v>304.12046242532097</v>
      </c>
      <c r="AT33" s="638">
        <v>0.91447361557367624</v>
      </c>
      <c r="AU33" s="639">
        <f t="shared" si="11"/>
        <v>55.603954926234287</v>
      </c>
      <c r="AV33" s="639">
        <f t="shared" si="12"/>
        <v>0.2196882304927662</v>
      </c>
      <c r="AW33" s="639">
        <f t="shared" si="13"/>
        <v>22.945582893696518</v>
      </c>
      <c r="AX33" s="639">
        <f t="shared" si="14"/>
        <v>0.11848146889558976</v>
      </c>
      <c r="AY33" s="639">
        <f t="shared" si="15"/>
        <v>0.43604102644466136</v>
      </c>
      <c r="AZ33" s="639">
        <f t="shared" si="16"/>
        <v>5.2219071593993679E-2</v>
      </c>
      <c r="BA33" s="639">
        <f t="shared" si="17"/>
        <v>5.2437294052792414</v>
      </c>
      <c r="BB33" s="639">
        <f t="shared" si="18"/>
        <v>0.13584104117561474</v>
      </c>
      <c r="BC33" s="635"/>
      <c r="BD33" s="640"/>
      <c r="BE33" s="637">
        <v>13.709</v>
      </c>
      <c r="BF33" s="637">
        <f t="shared" si="249"/>
        <v>0.68545</v>
      </c>
      <c r="BG33" s="637">
        <f t="shared" si="250"/>
        <v>9.7976957205576589</v>
      </c>
      <c r="BH33" s="637">
        <f t="shared" si="251"/>
        <v>0.48988478602788299</v>
      </c>
      <c r="BI33" s="641">
        <f t="shared" si="309"/>
        <v>1.0633726642820812E-5</v>
      </c>
      <c r="BJ33" s="641">
        <f t="shared" si="252"/>
        <v>5.3168633214104073E-7</v>
      </c>
      <c r="BK33" s="639">
        <f t="shared" si="310"/>
        <v>4219.3416348332412</v>
      </c>
      <c r="BL33" s="639">
        <f t="shared" si="253"/>
        <v>210.9670817416621</v>
      </c>
      <c r="BM33" s="639"/>
      <c r="BN33" s="639"/>
      <c r="BO33" s="642">
        <f t="shared" si="254"/>
        <v>2586.2347224400473</v>
      </c>
      <c r="BP33" s="639">
        <f t="shared" si="255"/>
        <v>6.2481492894112627</v>
      </c>
      <c r="BQ33" s="642">
        <f t="shared" si="271"/>
        <v>55.603954926234287</v>
      </c>
      <c r="BR33" s="639">
        <f t="shared" si="272"/>
        <v>0.2196882304927662</v>
      </c>
      <c r="BS33" s="642">
        <f t="shared" si="256"/>
        <v>22.945582893696518</v>
      </c>
      <c r="BT33" s="639">
        <f t="shared" si="257"/>
        <v>0.11848146889558976</v>
      </c>
      <c r="BU33" s="637">
        <f t="shared" si="258"/>
        <v>3.7719000609536675</v>
      </c>
      <c r="BV33" s="637">
        <f t="shared" si="21"/>
        <v>0.15449431224067664</v>
      </c>
      <c r="BW33" s="631"/>
      <c r="BX33" s="637">
        <f t="shared" si="311"/>
        <v>3.7518410164009581</v>
      </c>
      <c r="BY33" s="637">
        <f t="shared" si="312"/>
        <v>0.15449510654023457</v>
      </c>
      <c r="BZ33" s="642">
        <f t="shared" si="313"/>
        <v>22.236463657931584</v>
      </c>
      <c r="CA33" s="637">
        <f t="shared" si="314"/>
        <v>1.6494596770375281E-2</v>
      </c>
      <c r="CB33" s="642">
        <f t="shared" si="26"/>
        <v>1477.5657020935641</v>
      </c>
      <c r="CC33" s="642">
        <f t="shared" si="27"/>
        <v>46.078883819750246</v>
      </c>
      <c r="CD33" s="643">
        <v>1.5903158759700325E-12</v>
      </c>
      <c r="CE33" s="643">
        <v>4.0102150310807229E-15</v>
      </c>
      <c r="CF33" s="641">
        <f t="shared" si="28"/>
        <v>5.9666123324979866E-12</v>
      </c>
      <c r="CG33" s="641">
        <f t="shared" si="29"/>
        <v>2.4615626611536073E-13</v>
      </c>
      <c r="CH33" s="641">
        <f t="shared" si="30"/>
        <v>6.7100859880166546E-9</v>
      </c>
      <c r="CI33" s="644">
        <f t="shared" si="31"/>
        <v>3.3593070286629354E-10</v>
      </c>
      <c r="CJ33" s="641">
        <f t="shared" si="32"/>
        <v>3.5363001180639258E-11</v>
      </c>
      <c r="CK33" s="645">
        <f t="shared" si="33"/>
        <v>9.2951180265439249E-14</v>
      </c>
      <c r="CL33" s="641">
        <f t="shared" si="34"/>
        <v>8.8427852285912484E-11</v>
      </c>
      <c r="CM33" s="641">
        <f t="shared" si="35"/>
        <v>4.1446803362943706E-13</v>
      </c>
      <c r="CN33" s="641">
        <f t="shared" si="36"/>
        <v>4.1129301380813574E-9</v>
      </c>
      <c r="CO33" s="641">
        <f t="shared" si="37"/>
        <v>1.4363136912392447E-11</v>
      </c>
      <c r="CP33" s="641">
        <f t="shared" si="38"/>
        <v>1.5777220100863585E-15</v>
      </c>
      <c r="CQ33" s="641">
        <f t="shared" si="39"/>
        <v>4.1470215095539875E-18</v>
      </c>
      <c r="CR33" s="641">
        <f t="shared" si="40"/>
        <v>1.8349857727435057E-13</v>
      </c>
      <c r="CS33" s="641">
        <f t="shared" si="41"/>
        <v>6.4081205770256615E-16</v>
      </c>
      <c r="CT33" s="632">
        <v>4.5389563756193605E-3</v>
      </c>
      <c r="CU33" s="632">
        <v>7.7935064724583462E-6</v>
      </c>
      <c r="CV33" s="643">
        <v>1.1611559367069784E+19</v>
      </c>
      <c r="CW33" s="646">
        <v>1.040942599512031E+18</v>
      </c>
      <c r="CX33" s="643">
        <v>8.6527210079182822E+17</v>
      </c>
      <c r="CY33" s="643">
        <v>8.9278178143800032E+16</v>
      </c>
      <c r="CZ33" s="635">
        <v>0.49865169925804054</v>
      </c>
      <c r="DA33" s="635">
        <v>2.7936431740382541E-2</v>
      </c>
      <c r="DB33" s="638">
        <v>24.337069265073254</v>
      </c>
      <c r="DC33" s="638">
        <v>0.74264427477540718</v>
      </c>
      <c r="DD33" s="641">
        <f t="shared" si="42"/>
        <v>7.1633080016766318E-8</v>
      </c>
      <c r="DE33" s="641">
        <f t="shared" si="43"/>
        <v>7.4617595282988626E-10</v>
      </c>
      <c r="DF33" s="637">
        <f t="shared" si="44"/>
        <v>643.84635687805405</v>
      </c>
      <c r="DG33" s="637">
        <f t="shared" si="45"/>
        <v>7.4393200296566011</v>
      </c>
      <c r="DH33" s="647">
        <f t="shared" si="46"/>
        <v>6.4384635687805405E-2</v>
      </c>
      <c r="DI33" s="648">
        <f t="shared" si="47"/>
        <v>7.4393200296566015E-4</v>
      </c>
      <c r="DJ33" s="641">
        <f t="shared" si="48"/>
        <v>1.2981063345338309E-9</v>
      </c>
      <c r="DK33" s="641">
        <f t="shared" si="49"/>
        <v>4.1551740980292304E-11</v>
      </c>
      <c r="DL33" s="637">
        <f t="shared" si="50"/>
        <v>10.579715834075381</v>
      </c>
      <c r="DM33" s="639">
        <f t="shared" si="51"/>
        <v>0.34275804588934405</v>
      </c>
      <c r="DN33" s="647">
        <f t="shared" si="52"/>
        <v>1.0579715834075382E-3</v>
      </c>
      <c r="DO33" s="648">
        <f t="shared" si="53"/>
        <v>3.4275804588934404E-5</v>
      </c>
      <c r="DP33" s="641">
        <f t="shared" si="54"/>
        <v>1.0633726642820811E-5</v>
      </c>
      <c r="DQ33" s="641">
        <f t="shared" si="55"/>
        <v>8.050502191174809E-7</v>
      </c>
      <c r="DR33" s="642">
        <f t="shared" si="56"/>
        <v>97976.957205576575</v>
      </c>
      <c r="DS33" s="642">
        <f t="shared" si="57"/>
        <v>7433.7319299665469</v>
      </c>
      <c r="DT33" s="637">
        <f t="shared" si="58"/>
        <v>9.7976957205576571</v>
      </c>
      <c r="DU33" s="637">
        <f t="shared" si="59"/>
        <v>0.74337319299665472</v>
      </c>
      <c r="DV33" s="639">
        <f t="shared" si="60"/>
        <v>55.182752068220061</v>
      </c>
      <c r="DW33" s="639">
        <f t="shared" si="61"/>
        <v>0.57584342946125133</v>
      </c>
      <c r="DX33" s="639">
        <f t="shared" si="62"/>
        <v>6.7364041246187421E-3</v>
      </c>
      <c r="DY33" s="639">
        <f t="shared" si="63"/>
        <v>5.8017586467339439E-3</v>
      </c>
      <c r="DZ33" s="639">
        <f t="shared" si="64"/>
        <v>60.856677719484637</v>
      </c>
      <c r="EA33" s="639">
        <f t="shared" si="65"/>
        <v>0.70421783585128506</v>
      </c>
      <c r="EB33" s="639">
        <f t="shared" si="66"/>
        <v>6.5714059227939374E-3</v>
      </c>
      <c r="EC33" s="639">
        <f t="shared" si="67"/>
        <v>5.8325271974202821E-3</v>
      </c>
      <c r="ED33" s="641">
        <f t="shared" si="68"/>
        <v>1.4135866407296102E-4</v>
      </c>
      <c r="EE33" s="641">
        <f t="shared" si="69"/>
        <v>4.5516695150773735E-6</v>
      </c>
      <c r="EF33" s="637">
        <f t="shared" si="70"/>
        <v>26.573032512772567</v>
      </c>
      <c r="EG33" s="637">
        <f t="shared" si="71"/>
        <v>0.83532204172921076</v>
      </c>
      <c r="EH33" s="641">
        <f t="shared" si="72"/>
        <v>2.5616457819683477E-6</v>
      </c>
      <c r="EI33" s="641">
        <f t="shared" si="73"/>
        <v>2.8143356784351494E-8</v>
      </c>
      <c r="EJ33" s="642">
        <f t="shared" si="74"/>
        <v>205.21264766790398</v>
      </c>
      <c r="EK33" s="642">
        <f t="shared" si="75"/>
        <v>6.1177196803319021</v>
      </c>
      <c r="EL33" s="642">
        <f t="shared" si="76"/>
        <v>6.1268390358511819</v>
      </c>
      <c r="EM33" s="639">
        <f t="shared" si="77"/>
        <v>205.21264766790398</v>
      </c>
      <c r="EN33" s="639">
        <f t="shared" si="78"/>
        <v>6.1177196803319021</v>
      </c>
      <c r="EO33" s="639">
        <f t="shared" si="79"/>
        <v>6.1268390358511819</v>
      </c>
      <c r="EP33" s="649">
        <f>CL33/$CL$17</f>
        <v>41.847970537331335</v>
      </c>
      <c r="EQ33" s="642">
        <f t="shared" si="315"/>
        <v>205.21264766790398</v>
      </c>
      <c r="ER33" s="642">
        <f t="shared" si="315"/>
        <v>6.1177196803319021</v>
      </c>
      <c r="ES33" s="637">
        <f t="shared" si="81"/>
        <v>14.820445398183127</v>
      </c>
      <c r="ET33" s="637">
        <f t="shared" si="82"/>
        <v>0.61133283254231097</v>
      </c>
      <c r="EU33" s="642">
        <f t="shared" si="83"/>
        <v>689.32417741969084</v>
      </c>
      <c r="EV33" s="642">
        <f t="shared" si="84"/>
        <v>28.434132079022358</v>
      </c>
      <c r="EW33" s="641">
        <f t="shared" si="85"/>
        <v>2.1499964579306769E-2</v>
      </c>
      <c r="EX33" s="641">
        <f t="shared" si="86"/>
        <v>9.9567515732233724E-5</v>
      </c>
      <c r="EY33" s="641">
        <f t="shared" si="87"/>
        <v>1.4506962511357789E-3</v>
      </c>
      <c r="EZ33" s="641">
        <f t="shared" si="88"/>
        <v>5.9840188640624087E-5</v>
      </c>
      <c r="FA33" s="632">
        <v>0.92291000000000001</v>
      </c>
      <c r="FB33" s="632">
        <v>7.2259999999999998E-3</v>
      </c>
      <c r="FC33" s="632">
        <v>0.27976899999999999</v>
      </c>
      <c r="FD33" s="632">
        <v>4.8129999999999996E-3</v>
      </c>
      <c r="FE33" s="632">
        <v>0.20653199999999999</v>
      </c>
      <c r="FF33" s="632">
        <v>3.5590000000000001E-3</v>
      </c>
      <c r="FG33" s="631"/>
      <c r="FH33" s="631"/>
      <c r="FI33" s="632">
        <v>1.0702E-2</v>
      </c>
      <c r="FJ33" s="632">
        <v>1.2019999999999999E-3</v>
      </c>
      <c r="FK33" s="632">
        <v>5.7879999999999997E-3</v>
      </c>
      <c r="FL33" s="632">
        <v>1.121E-3</v>
      </c>
      <c r="FM33" s="632">
        <v>5.4140000000000004E-3</v>
      </c>
      <c r="FN33" s="632">
        <v>5.5500000000000005E-4</v>
      </c>
      <c r="FO33" s="631"/>
      <c r="FP33" s="631"/>
      <c r="FQ33" s="647">
        <f t="shared" si="89"/>
        <v>0.91220800000000002</v>
      </c>
      <c r="FR33" s="647">
        <f t="shared" si="90"/>
        <v>7.325290437928041E-3</v>
      </c>
      <c r="FS33" s="647">
        <f t="shared" si="91"/>
        <v>0.27398099999999997</v>
      </c>
      <c r="FT33" s="647">
        <f t="shared" si="92"/>
        <v>6.8066098757017055E-3</v>
      </c>
      <c r="FU33" s="647">
        <f t="shared" si="93"/>
        <v>0.20111799999999999</v>
      </c>
      <c r="FV33" s="647">
        <f t="shared" si="94"/>
        <v>3.6020141587728388E-3</v>
      </c>
      <c r="FW33" s="647">
        <f t="shared" si="95"/>
        <v>0</v>
      </c>
      <c r="FX33" s="647">
        <f t="shared" si="96"/>
        <v>0</v>
      </c>
      <c r="FY33" s="647">
        <f t="shared" si="97"/>
        <v>0.15193794189753423</v>
      </c>
      <c r="FZ33" s="647">
        <f t="shared" si="98"/>
        <v>1.3958059490807849E-2</v>
      </c>
      <c r="GA33" s="647">
        <f t="shared" si="99"/>
        <v>0.90619125750085772</v>
      </c>
      <c r="GB33" s="647">
        <f t="shared" si="100"/>
        <v>7.3461146584023768E-3</v>
      </c>
      <c r="GC33" s="647">
        <f t="shared" si="101"/>
        <v>0.24325914814831856</v>
      </c>
      <c r="GD33" s="647">
        <f t="shared" si="102"/>
        <v>7.3685430098814021E-3</v>
      </c>
      <c r="GE33" s="647">
        <f t="shared" si="103"/>
        <v>-4.637145986712745E-2</v>
      </c>
      <c r="GF33" s="647">
        <f t="shared" si="104"/>
        <v>4.2599997565945557E-3</v>
      </c>
      <c r="GG33" s="643">
        <v>1.7782159136499011E-12</v>
      </c>
      <c r="GH33" s="643">
        <v>7.5535622364420377E-15</v>
      </c>
      <c r="GI33" s="635">
        <v>1</v>
      </c>
      <c r="GJ33" s="635">
        <v>5.0000000000000001E-3</v>
      </c>
      <c r="GK33" s="641">
        <f t="shared" si="105"/>
        <v>1.6114037148984406E-12</v>
      </c>
      <c r="GL33" s="641">
        <f t="shared" si="106"/>
        <v>1.6805076161011203E-14</v>
      </c>
      <c r="GM33" s="641">
        <f t="shared" si="107"/>
        <v>4.3256728837825896E-13</v>
      </c>
      <c r="GN33" s="641">
        <f t="shared" si="108"/>
        <v>1.3406681940309215E-14</v>
      </c>
      <c r="GO33" s="641">
        <f t="shared" si="109"/>
        <v>2.7017846616940943E-13</v>
      </c>
      <c r="GP33" s="641">
        <f t="shared" si="110"/>
        <v>2.4883658870043068E-14</v>
      </c>
      <c r="GQ33" s="641">
        <f t="shared" si="111"/>
        <v>-8.2458467874903758E-14</v>
      </c>
      <c r="GR33" s="641">
        <f t="shared" si="112"/>
        <v>-7.5944926871371429E-15</v>
      </c>
      <c r="GS33" s="641">
        <f t="shared" si="113"/>
        <v>7.1892854770541711E-17</v>
      </c>
      <c r="GT33" s="641">
        <f t="shared" si="114"/>
        <v>7.4975928784924724E-19</v>
      </c>
      <c r="GU33" s="641">
        <f t="shared" si="115"/>
        <v>1.929901051756307E-17</v>
      </c>
      <c r="GV33" s="641">
        <f t="shared" si="116"/>
        <v>5.9813976407458516E-19</v>
      </c>
      <c r="GW33" s="641">
        <f t="shared" si="117"/>
        <v>1.2054025351225697E-17</v>
      </c>
      <c r="GX33" s="641">
        <f t="shared" si="118"/>
        <v>1.1101856454711791E-18</v>
      </c>
      <c r="GY33" s="637">
        <f t="shared" si="119"/>
        <v>3.7252093678645131</v>
      </c>
      <c r="GZ33" s="637">
        <f t="shared" si="120"/>
        <v>3.9810207071761791E-2</v>
      </c>
      <c r="HA33" s="638">
        <v>26.169770272470501</v>
      </c>
      <c r="HB33" s="638">
        <v>0.31897682079735301</v>
      </c>
      <c r="HC33" s="650">
        <f t="shared" si="121"/>
        <v>574.30773460812009</v>
      </c>
      <c r="HD33" s="650">
        <f t="shared" si="122"/>
        <v>9.3355548828880774</v>
      </c>
      <c r="HE33" s="651">
        <f t="shared" si="123"/>
        <v>1.0028825481795856E-12</v>
      </c>
      <c r="HF33" s="652">
        <f t="shared" si="124"/>
        <v>3.6003955083222553E-14</v>
      </c>
      <c r="HG33" s="653">
        <f t="shared" si="125"/>
        <v>18.421684397641744</v>
      </c>
      <c r="HH33" s="653">
        <f t="shared" si="126"/>
        <v>0.66773048608530583</v>
      </c>
      <c r="HI33" s="638">
        <v>7.5091582159801398</v>
      </c>
      <c r="HJ33" s="638">
        <v>0.114829942558394</v>
      </c>
      <c r="HK33" s="650">
        <f t="shared" si="127"/>
        <v>613.8845400281524</v>
      </c>
      <c r="HL33" s="650">
        <f t="shared" si="128"/>
        <v>21.277432931911054</v>
      </c>
      <c r="HM33" s="651">
        <f t="shared" si="129"/>
        <v>9.3822725083877039E-13</v>
      </c>
      <c r="HN33" s="652">
        <f t="shared" si="130"/>
        <v>3.3682799504658967E-14</v>
      </c>
      <c r="HO33" s="653">
        <f t="shared" si="131"/>
        <v>17.234048333568072</v>
      </c>
      <c r="HP33" s="653">
        <f t="shared" si="132"/>
        <v>0.81765453012643763</v>
      </c>
      <c r="HQ33" s="635">
        <v>1.11613116912226</v>
      </c>
      <c r="HR33" s="635">
        <v>3.5153924948669403E-2</v>
      </c>
      <c r="HS33" s="635">
        <f t="shared" si="133"/>
        <v>20.129811259757346</v>
      </c>
      <c r="HT33" s="635">
        <f t="shared" si="134"/>
        <v>1.9292471550381556</v>
      </c>
      <c r="HU33" s="635">
        <v>1.11613116912226</v>
      </c>
      <c r="HV33" s="635">
        <v>3.5153924948669403E-2</v>
      </c>
      <c r="HW33" s="635">
        <f t="shared" si="135"/>
        <v>23.505068308067155</v>
      </c>
      <c r="HX33" s="635">
        <f t="shared" si="136"/>
        <v>2.3713113842766216</v>
      </c>
      <c r="HY33" s="643">
        <v>4.521217</v>
      </c>
      <c r="HZ33" s="643">
        <v>5.2331999999999997E-2</v>
      </c>
      <c r="IA33" s="643">
        <v>1.8695E-2</v>
      </c>
      <c r="IB33" s="643">
        <v>4.3800000000000002E-4</v>
      </c>
      <c r="IC33" s="643">
        <v>2.647E-3</v>
      </c>
      <c r="ID33" s="643">
        <v>1.6899999999999999E-4</v>
      </c>
      <c r="IE33" s="643">
        <v>1.286341</v>
      </c>
      <c r="IF33" s="643">
        <v>1.489E-2</v>
      </c>
      <c r="IG33" s="643">
        <v>0.23761299999999999</v>
      </c>
      <c r="IH33" s="643">
        <v>3.1870000000000002E-3</v>
      </c>
      <c r="II33" s="643">
        <v>0.38908999999999999</v>
      </c>
      <c r="IJ33" s="643">
        <v>6.8519999999999996E-3</v>
      </c>
      <c r="IK33" s="643">
        <v>0.53869100000000003</v>
      </c>
      <c r="IL33" s="643">
        <v>6.2729999999999999E-3</v>
      </c>
      <c r="IM33" s="643">
        <v>6.7100000000000005E-4</v>
      </c>
      <c r="IN33" s="643">
        <v>2.1000000000000001E-4</v>
      </c>
      <c r="IO33" s="643">
        <v>3.6999999999999999E-4</v>
      </c>
      <c r="IP33" s="643">
        <v>1.5300000000000001E-4</v>
      </c>
      <c r="IQ33" s="643">
        <v>8.5000000000000006E-5</v>
      </c>
      <c r="IR33" s="643">
        <v>1.17E-4</v>
      </c>
      <c r="IS33" s="643">
        <v>4.2299999999999998E-4</v>
      </c>
      <c r="IT33" s="643">
        <v>2.63E-4</v>
      </c>
      <c r="IU33" s="643">
        <v>5.3200000000000003E-4</v>
      </c>
      <c r="IV33" s="643">
        <v>2.2900000000000001E-4</v>
      </c>
      <c r="IW33" s="643">
        <v>3.9300000000000001E-4</v>
      </c>
      <c r="IX33" s="643">
        <v>1.2799999999999999E-4</v>
      </c>
      <c r="IY33" s="643">
        <v>1.83E-4</v>
      </c>
      <c r="IZ33" s="643">
        <v>1.46E-4</v>
      </c>
      <c r="JA33" s="641">
        <f t="shared" si="137"/>
        <v>4.5205460000000004</v>
      </c>
      <c r="JB33" s="641">
        <f t="shared" si="138"/>
        <v>5.2332421346618384E-2</v>
      </c>
      <c r="JC33" s="641">
        <f t="shared" si="139"/>
        <v>1.8325000000000001E-2</v>
      </c>
      <c r="JD33" s="641">
        <f t="shared" si="140"/>
        <v>4.6395366147924732E-4</v>
      </c>
      <c r="JE33" s="641">
        <f t="shared" si="141"/>
        <v>2.562E-3</v>
      </c>
      <c r="JF33" s="641">
        <f t="shared" si="142"/>
        <v>2.0554804791094464E-4</v>
      </c>
      <c r="JG33" s="641">
        <f t="shared" si="143"/>
        <v>1.2859179999999999</v>
      </c>
      <c r="JH33" s="641">
        <f t="shared" si="144"/>
        <v>1.489232248509278E-2</v>
      </c>
      <c r="JI33" s="641">
        <f t="shared" si="145"/>
        <v>0.23708099999999999</v>
      </c>
      <c r="JJ33" s="641">
        <f t="shared" si="146"/>
        <v>3.1952167375625712E-3</v>
      </c>
      <c r="JK33" s="641">
        <f t="shared" si="147"/>
        <v>0.38869700000000001</v>
      </c>
      <c r="JL33" s="641">
        <f t="shared" si="148"/>
        <v>6.8531954590541188E-3</v>
      </c>
      <c r="JM33" s="641">
        <f t="shared" si="149"/>
        <v>0.53850799999999999</v>
      </c>
      <c r="JN33" s="641">
        <f t="shared" si="150"/>
        <v>6.2746987975519589E-3</v>
      </c>
      <c r="JO33" s="641">
        <f t="shared" si="316"/>
        <v>4.5193377648607704</v>
      </c>
      <c r="JP33" s="641">
        <f t="shared" si="317"/>
        <v>5.233251112467275E-2</v>
      </c>
      <c r="JQ33" s="641">
        <f t="shared" si="318"/>
        <v>1.690614267363999E-3</v>
      </c>
      <c r="JR33" s="641">
        <f t="shared" si="319"/>
        <v>1.412914414367151E-3</v>
      </c>
      <c r="JS33" s="641">
        <f t="shared" si="320"/>
        <v>1.272566494055692</v>
      </c>
      <c r="JT33" s="641">
        <f t="shared" si="321"/>
        <v>1.4930797243132524E-2</v>
      </c>
      <c r="JU33" s="641">
        <f t="shared" si="322"/>
        <v>0.22015893923396998</v>
      </c>
      <c r="JV33" s="641">
        <f t="shared" si="323"/>
        <v>3.47168843870874E-3</v>
      </c>
      <c r="JW33" s="641">
        <f t="shared" si="324"/>
        <v>0.38210247291923599</v>
      </c>
      <c r="JX33" s="641">
        <f t="shared" si="325"/>
        <v>6.8735877959939925E-3</v>
      </c>
      <c r="JY33" s="641">
        <f t="shared" si="326"/>
        <v>0.53293387318382601</v>
      </c>
      <c r="JZ33" s="641">
        <f t="shared" si="327"/>
        <v>6.2906153425690324E-3</v>
      </c>
      <c r="KA33" s="643">
        <v>1.7696448643015688E-12</v>
      </c>
      <c r="KB33" s="643">
        <v>3.8892524257744769E-14</v>
      </c>
      <c r="KC33" s="631">
        <v>1</v>
      </c>
      <c r="KD33" s="631">
        <v>0</v>
      </c>
      <c r="KE33" s="641">
        <f t="shared" si="163"/>
        <v>7.9976228656299937E-12</v>
      </c>
      <c r="KF33" s="641">
        <f t="shared" si="164"/>
        <v>1.986734856631062E-13</v>
      </c>
      <c r="KG33" s="641">
        <f t="shared" si="165"/>
        <v>3.5681433142565308E-16</v>
      </c>
      <c r="KH33" s="641">
        <f t="shared" si="166"/>
        <v>8.8638271858075162E-18</v>
      </c>
      <c r="KI33" s="635">
        <v>1.2430056234832578</v>
      </c>
      <c r="KJ33" s="635">
        <v>0.11113867994607306</v>
      </c>
      <c r="KK33" s="641">
        <f t="shared" si="167"/>
        <v>4.2694318273808061E-12</v>
      </c>
      <c r="KL33" s="641">
        <f t="shared" si="260"/>
        <v>5.5157096834491303E-13</v>
      </c>
      <c r="KM33" s="573">
        <f t="shared" si="168"/>
        <v>124.55404858341322</v>
      </c>
      <c r="KN33" s="573">
        <f t="shared" si="328"/>
        <v>16.096227115477809</v>
      </c>
      <c r="KO33" s="638">
        <v>20.162258156415799</v>
      </c>
      <c r="KP33" s="638">
        <v>0.66285498057307002</v>
      </c>
      <c r="KQ33" s="652">
        <f t="shared" si="170"/>
        <v>89.151235431944897</v>
      </c>
      <c r="KR33" s="652">
        <f t="shared" si="171"/>
        <v>3.6810346199421002</v>
      </c>
      <c r="KS33" s="654">
        <f t="shared" si="172"/>
        <v>118.67155606779657</v>
      </c>
      <c r="KT33" s="654">
        <f t="shared" si="173"/>
        <v>6.2282266341405412</v>
      </c>
      <c r="KU33" s="637">
        <f t="shared" si="174"/>
        <v>1.1336480187487787</v>
      </c>
      <c r="KV33" s="637">
        <f t="shared" si="175"/>
        <v>1.616095756246658E-2</v>
      </c>
      <c r="KW33" s="641">
        <f t="shared" si="176"/>
        <v>2.0061543943044249E-12</v>
      </c>
      <c r="KX33" s="641">
        <f t="shared" si="177"/>
        <v>5.2553572538206621E-14</v>
      </c>
      <c r="KY33" s="641">
        <f t="shared" si="178"/>
        <v>8.9504675447581505E-17</v>
      </c>
      <c r="KZ33" s="641">
        <f t="shared" si="179"/>
        <v>2.3446801842123007E-18</v>
      </c>
      <c r="LA33" s="635">
        <v>1.2485542932379501</v>
      </c>
      <c r="LB33" s="635">
        <v>5.9627651953476503E-2</v>
      </c>
      <c r="LC33" s="641">
        <f t="shared" si="180"/>
        <v>7.5190744480124559E-10</v>
      </c>
      <c r="LD33" s="641">
        <f t="shared" si="181"/>
        <v>8.5575491298121158E-11</v>
      </c>
      <c r="LE33" s="647">
        <f t="shared" si="182"/>
        <v>23.73728590165992</v>
      </c>
      <c r="LF33" s="647">
        <f t="shared" si="183"/>
        <v>2.7065690789651833</v>
      </c>
      <c r="LG33" s="655"/>
      <c r="LH33" s="655"/>
      <c r="LI33" s="656"/>
      <c r="LJ33" s="656"/>
      <c r="LK33" s="656"/>
      <c r="LL33" s="656"/>
      <c r="LM33" s="641">
        <f t="shared" si="184"/>
        <v>6.7618567883845519E-13</v>
      </c>
      <c r="LN33" s="641">
        <f t="shared" si="185"/>
        <v>1.920430913047152E-14</v>
      </c>
      <c r="LO33" s="641">
        <f t="shared" si="186"/>
        <v>3.0168056804881492E-17</v>
      </c>
      <c r="LP33" s="641">
        <f t="shared" si="187"/>
        <v>8.568011819809483E-19</v>
      </c>
      <c r="LQ33" s="641">
        <f t="shared" si="188"/>
        <v>7.6792834335635993E-12</v>
      </c>
      <c r="LR33" s="641">
        <f t="shared" si="189"/>
        <v>7.2214731912272219E-13</v>
      </c>
      <c r="LS33" s="637">
        <f t="shared" si="190"/>
        <v>420.20493454533357</v>
      </c>
      <c r="LT33" s="637">
        <f t="shared" si="191"/>
        <v>39.571204423283369</v>
      </c>
      <c r="LW33" s="658" t="str">
        <f t="shared" si="192"/>
        <v xml:space="preserve">99z1 </v>
      </c>
      <c r="LX33" s="658" t="str">
        <f t="shared" si="193"/>
        <v>MN2022a</v>
      </c>
      <c r="LY33" s="659">
        <f t="shared" si="194"/>
        <v>643.84635687805405</v>
      </c>
      <c r="LZ33" s="659">
        <f t="shared" si="195"/>
        <v>7.4393200296566011</v>
      </c>
      <c r="MA33" s="659">
        <f t="shared" si="196"/>
        <v>10.579715834075381</v>
      </c>
      <c r="MB33" s="659">
        <f t="shared" si="197"/>
        <v>0.34275804588934405</v>
      </c>
      <c r="MC33" s="659">
        <f t="shared" si="198"/>
        <v>97976.957205576575</v>
      </c>
      <c r="MD33" s="659">
        <f t="shared" si="199"/>
        <v>7433.7319299665469</v>
      </c>
      <c r="ME33" s="659">
        <f t="shared" si="200"/>
        <v>20.129811259757346</v>
      </c>
      <c r="MF33" s="659">
        <f t="shared" si="201"/>
        <v>1.9292471550381556</v>
      </c>
      <c r="MG33" s="659">
        <f t="shared" si="202"/>
        <v>23.505068308067155</v>
      </c>
      <c r="MH33" s="659">
        <f t="shared" si="203"/>
        <v>2.3713113842766216</v>
      </c>
      <c r="MI33" s="659">
        <f t="shared" si="204"/>
        <v>18.421684397641744</v>
      </c>
      <c r="MJ33" s="659">
        <f t="shared" si="205"/>
        <v>0.66773048608530583</v>
      </c>
      <c r="MK33" s="659">
        <f t="shared" si="206"/>
        <v>17.234048333568072</v>
      </c>
      <c r="ML33" s="659">
        <f t="shared" si="207"/>
        <v>0.81765453012643763</v>
      </c>
      <c r="MM33" s="659">
        <f t="shared" si="261"/>
        <v>124.55404858341322</v>
      </c>
      <c r="MN33" s="659">
        <f t="shared" si="208"/>
        <v>16.096227115477809</v>
      </c>
      <c r="MO33" s="659">
        <f t="shared" si="209"/>
        <v>118.67155606779657</v>
      </c>
      <c r="MP33" s="659">
        <f t="shared" si="210"/>
        <v>6.2282266341405412</v>
      </c>
      <c r="MQ33" s="660"/>
      <c r="MR33" s="660"/>
      <c r="MS33" s="660"/>
      <c r="MT33" s="660"/>
      <c r="MU33" s="661">
        <f t="shared" si="273"/>
        <v>60.856677719484637</v>
      </c>
      <c r="MV33" s="661">
        <f t="shared" si="274"/>
        <v>0.70421783585128506</v>
      </c>
      <c r="MW33" s="662">
        <f t="shared" si="211"/>
        <v>1.74122676700907E-3</v>
      </c>
      <c r="MX33" s="662">
        <f t="shared" si="212"/>
        <v>8.4650348193216214E-5</v>
      </c>
      <c r="MY33" s="662">
        <f t="shared" si="213"/>
        <v>1.6289708158380085E-3</v>
      </c>
      <c r="MZ33" s="662">
        <f t="shared" si="214"/>
        <v>9.3585109965014734E-5</v>
      </c>
      <c r="NA33" s="663">
        <f t="shared" si="295"/>
        <v>1.1772910590116873E-2</v>
      </c>
      <c r="NB33" s="663">
        <f t="shared" si="296"/>
        <v>1.5685044949053934E-3</v>
      </c>
      <c r="NC33" s="661">
        <f t="shared" si="275"/>
        <v>55.182752068220061</v>
      </c>
      <c r="ND33" s="661">
        <f t="shared" si="276"/>
        <v>0.57584342946125133</v>
      </c>
      <c r="NE33" s="662">
        <f t="shared" si="217"/>
        <v>7.7257349532905222E-4</v>
      </c>
      <c r="NF33" s="662">
        <f t="shared" si="218"/>
        <v>3.715951753109893E-5</v>
      </c>
      <c r="NG33" s="663">
        <f t="shared" si="219"/>
        <v>7.2276609849200189E-4</v>
      </c>
      <c r="NH33" s="663">
        <f t="shared" si="220"/>
        <v>3.4763863464353504E-5</v>
      </c>
      <c r="NI33" s="662">
        <f t="shared" si="221"/>
        <v>3.2889700351091929E-3</v>
      </c>
      <c r="NJ33" s="662">
        <f t="shared" si="221"/>
        <v>4.381893707753629E-4</v>
      </c>
      <c r="NK33" s="664">
        <f t="shared" si="329"/>
        <v>1.3716350189650545E-9</v>
      </c>
      <c r="NL33" s="664">
        <f t="shared" si="330"/>
        <v>5.7001722798140895E-11</v>
      </c>
      <c r="NM33" s="664">
        <f t="shared" si="331"/>
        <v>2.0328241904807469E-8</v>
      </c>
      <c r="NN33" s="664">
        <f t="shared" si="332"/>
        <v>1.3931696001101442E-10</v>
      </c>
      <c r="NO33" s="664">
        <f t="shared" si="333"/>
        <v>9.4550118116812824E-7</v>
      </c>
      <c r="NP33" s="664">
        <f t="shared" si="334"/>
        <v>5.7664253440857274E-9</v>
      </c>
      <c r="NQ33" s="664">
        <f t="shared" si="335"/>
        <v>5.4018303306395469E-7</v>
      </c>
      <c r="NR33" s="664">
        <f t="shared" si="336"/>
        <v>1.7115407911856728E-8</v>
      </c>
      <c r="NS33" s="664">
        <f t="shared" si="337"/>
        <v>7.0044553547972421E-7</v>
      </c>
      <c r="NT33" s="664">
        <f t="shared" si="338"/>
        <v>3.5211735196382149E-9</v>
      </c>
      <c r="NU33" s="664">
        <f t="shared" si="339"/>
        <v>6.2109992222852746E-11</v>
      </c>
      <c r="NV33" s="664">
        <f t="shared" si="340"/>
        <v>5.7288047672541635E-12</v>
      </c>
      <c r="NW33" s="664">
        <f t="shared" si="341"/>
        <v>1.0422598028369241E-12</v>
      </c>
      <c r="NX33" s="664">
        <f t="shared" si="342"/>
        <v>8.6857152773107912E-14</v>
      </c>
      <c r="NY33" s="664">
        <f t="shared" si="343"/>
        <v>9.6448085993903505E-11</v>
      </c>
      <c r="NZ33" s="664">
        <f t="shared" si="344"/>
        <v>2.5328459525214421E-12</v>
      </c>
      <c r="OA33" s="665">
        <f t="shared" si="262"/>
        <v>689.32417741969084</v>
      </c>
      <c r="OB33" s="665">
        <f t="shared" si="238"/>
        <v>28.434132079022358</v>
      </c>
      <c r="OC33" s="665">
        <f t="shared" si="239"/>
        <v>510.6646635547657</v>
      </c>
      <c r="OD33" s="665">
        <f t="shared" si="263"/>
        <v>21.376651252454653</v>
      </c>
      <c r="OE33" s="664">
        <f t="shared" si="264"/>
        <v>4.5281719527485421E-2</v>
      </c>
      <c r="OF33" s="664">
        <f t="shared" si="265"/>
        <v>4.5697730028318442E-3</v>
      </c>
      <c r="OG33" s="664">
        <f t="shared" si="266"/>
        <v>7.5986671995538924E-4</v>
      </c>
      <c r="OH33" s="664">
        <f t="shared" si="267"/>
        <v>7.0760758615925727E-5</v>
      </c>
      <c r="OI33" s="664">
        <f t="shared" si="268"/>
        <v>7.0316144353529911E-2</v>
      </c>
      <c r="OJ33" s="664">
        <f t="shared" si="269"/>
        <v>3.4567221714460767E-3</v>
      </c>
      <c r="OK33" s="664">
        <f t="shared" si="240"/>
        <v>2.1499964579306769E-2</v>
      </c>
      <c r="OL33" s="664">
        <f t="shared" si="241"/>
        <v>9.9567515732233724E-5</v>
      </c>
      <c r="OM33" s="664">
        <f t="shared" si="242"/>
        <v>1.4506962511357789E-3</v>
      </c>
      <c r="ON33" s="664">
        <f t="shared" si="243"/>
        <v>5.9840188640624087E-5</v>
      </c>
      <c r="OO33" s="664">
        <f t="shared" si="244"/>
        <v>14.820445398183127</v>
      </c>
      <c r="OP33" s="664">
        <f t="shared" si="245"/>
        <v>0.61133283254231097</v>
      </c>
      <c r="OQ33" s="664">
        <f t="shared" si="246"/>
        <v>4.5389563756193605E-3</v>
      </c>
      <c r="OR33" s="664">
        <f t="shared" si="247"/>
        <v>7.7935064724583462E-6</v>
      </c>
    </row>
    <row r="34" spans="2:408">
      <c r="B34" s="245" t="s">
        <v>950</v>
      </c>
      <c r="C34" s="5">
        <v>1.58E-3</v>
      </c>
      <c r="D34" s="66">
        <f t="shared" si="308"/>
        <v>7.9000000000000006E-6</v>
      </c>
      <c r="E34" s="67">
        <v>45108</v>
      </c>
      <c r="F34" s="5" t="s">
        <v>210</v>
      </c>
      <c r="G34" s="5" t="s">
        <v>893</v>
      </c>
      <c r="H34" s="5">
        <v>2</v>
      </c>
      <c r="J34" s="327">
        <v>44644</v>
      </c>
      <c r="K34" s="67" t="s">
        <v>823</v>
      </c>
      <c r="L34" s="5" t="s">
        <v>949</v>
      </c>
      <c r="M34" s="5" t="s">
        <v>951</v>
      </c>
      <c r="N34" s="5">
        <v>180</v>
      </c>
      <c r="O34" s="6">
        <v>5317.6691860000001</v>
      </c>
      <c r="P34" s="6">
        <v>12.354660000000001</v>
      </c>
      <c r="Q34" s="6">
        <v>421.799013</v>
      </c>
      <c r="R34" s="6">
        <v>1.1196900000000001</v>
      </c>
      <c r="S34" s="6">
        <v>13.591478</v>
      </c>
      <c r="T34" s="6">
        <v>7.2928000000000007E-2</v>
      </c>
      <c r="U34" s="6">
        <v>7.5624999999999998E-2</v>
      </c>
      <c r="V34" s="6">
        <v>3.2976999999999999E-2</v>
      </c>
      <c r="W34" s="6">
        <v>2.7084779999999999</v>
      </c>
      <c r="X34" s="6">
        <v>0.12646199999999999</v>
      </c>
      <c r="Y34" s="6">
        <v>93.448151999999993</v>
      </c>
      <c r="Z34" s="6">
        <v>0.55635999999999997</v>
      </c>
      <c r="AA34" s="6">
        <v>0.17879500000000001</v>
      </c>
      <c r="AB34" s="6">
        <v>5.5945000000000002E-2</v>
      </c>
      <c r="AC34" s="6">
        <v>0.14105100000000001</v>
      </c>
      <c r="AD34" s="6">
        <v>6.3417000000000001E-2</v>
      </c>
      <c r="AE34" s="6">
        <v>4.6081999999999998E-2</v>
      </c>
      <c r="AF34" s="6">
        <v>3.8067999999999998E-2</v>
      </c>
      <c r="AG34" s="6">
        <v>0.53986500000000004</v>
      </c>
      <c r="AH34" s="6">
        <v>7.6908000000000004E-2</v>
      </c>
      <c r="AI34" s="147">
        <f t="shared" si="1"/>
        <v>5224.2210340000001</v>
      </c>
      <c r="AJ34" s="147">
        <f t="shared" si="2"/>
        <v>12.36718076867966</v>
      </c>
      <c r="AK34" s="147">
        <f t="shared" si="3"/>
        <v>421.62021800000002</v>
      </c>
      <c r="AL34" s="147">
        <f t="shared" si="4"/>
        <v>1.1210867669921896</v>
      </c>
      <c r="AM34" s="147">
        <f t="shared" si="5"/>
        <v>13.450427000000001</v>
      </c>
      <c r="AN34" s="147">
        <f t="shared" si="6"/>
        <v>9.6644757090077069E-2</v>
      </c>
      <c r="AO34" s="147">
        <f t="shared" si="7"/>
        <v>2.9543E-2</v>
      </c>
      <c r="AP34" s="147">
        <f t="shared" si="8"/>
        <v>5.0365217690386287E-2</v>
      </c>
      <c r="AQ34" s="147">
        <f t="shared" si="9"/>
        <v>2.1686129999999997</v>
      </c>
      <c r="AR34" s="147">
        <f t="shared" si="10"/>
        <v>0.14801174922282351</v>
      </c>
      <c r="AS34" s="4">
        <v>304.12046242532097</v>
      </c>
      <c r="AT34" s="4">
        <v>0.91447361557367624</v>
      </c>
      <c r="AU34" s="133">
        <f t="shared" si="11"/>
        <v>424.69514291288039</v>
      </c>
      <c r="AV34" s="133">
        <f t="shared" si="12"/>
        <v>1.1211593492495224</v>
      </c>
      <c r="AW34" s="133">
        <f t="shared" si="13"/>
        <v>13.6466180330931</v>
      </c>
      <c r="AX34" s="133">
        <f t="shared" si="14"/>
        <v>9.6647832208771101E-2</v>
      </c>
      <c r="AY34" s="133">
        <f t="shared" si="15"/>
        <v>3.0189381526475271E-2</v>
      </c>
      <c r="AZ34" s="133">
        <f t="shared" si="16"/>
        <v>5.0367598888969675E-2</v>
      </c>
      <c r="BA34" s="133">
        <f t="shared" si="17"/>
        <v>2.231876779633037</v>
      </c>
      <c r="BB34" s="133">
        <f t="shared" si="18"/>
        <v>0.14801569407848919</v>
      </c>
      <c r="BC34" s="6"/>
      <c r="BD34" s="8"/>
      <c r="BE34" s="147">
        <v>8.0449999999999999</v>
      </c>
      <c r="BF34" s="147">
        <f t="shared" si="249"/>
        <v>0.40225</v>
      </c>
      <c r="BG34" s="147">
        <f t="shared" si="250"/>
        <v>5.7496872180236611</v>
      </c>
      <c r="BH34" s="147">
        <f t="shared" si="251"/>
        <v>0.28748436090118307</v>
      </c>
      <c r="BI34" s="157">
        <f t="shared" si="309"/>
        <v>2.2665932645901657E-6</v>
      </c>
      <c r="BJ34" s="157">
        <f t="shared" si="252"/>
        <v>1.1332966322950829E-7</v>
      </c>
      <c r="BK34" s="133">
        <f t="shared" si="310"/>
        <v>982.14561621195753</v>
      </c>
      <c r="BL34" s="133">
        <f t="shared" si="253"/>
        <v>49.107280810597878</v>
      </c>
      <c r="BM34" s="133"/>
      <c r="BN34" s="133"/>
      <c r="BO34" s="143">
        <f t="shared" si="254"/>
        <v>5168.9190231899556</v>
      </c>
      <c r="BP34" s="133">
        <f t="shared" si="255"/>
        <v>12.368042448870295</v>
      </c>
      <c r="BQ34" s="143">
        <f t="shared" si="271"/>
        <v>424.69514291288039</v>
      </c>
      <c r="BR34" s="133">
        <f t="shared" si="272"/>
        <v>1.1211593492495224</v>
      </c>
      <c r="BS34" s="143">
        <f t="shared" si="256"/>
        <v>13.6466180330931</v>
      </c>
      <c r="BT34" s="133">
        <f t="shared" si="257"/>
        <v>9.6647832208771101E-2</v>
      </c>
      <c r="BU34" s="147">
        <f t="shared" si="258"/>
        <v>1.8892757618800353</v>
      </c>
      <c r="BV34" s="147">
        <f t="shared" si="21"/>
        <v>0.14900363867016933</v>
      </c>
      <c r="BX34" s="147">
        <f t="shared" si="311"/>
        <v>1.8773372994942548</v>
      </c>
      <c r="BY34" s="147">
        <f t="shared" si="312"/>
        <v>0.1490041462268003</v>
      </c>
      <c r="BZ34" s="143">
        <f t="shared" si="313"/>
        <v>13.291433180273652</v>
      </c>
      <c r="CA34" s="147">
        <f t="shared" si="314"/>
        <v>1.2976804625919618E-2</v>
      </c>
      <c r="CB34" s="143">
        <f t="shared" si="26"/>
        <v>4614.1658511894038</v>
      </c>
      <c r="CC34" s="143">
        <f t="shared" si="27"/>
        <v>45.734814272469755</v>
      </c>
      <c r="CD34" s="3">
        <v>1.5903158759700325E-12</v>
      </c>
      <c r="CE34" s="3">
        <v>4.0102150310807229E-15</v>
      </c>
      <c r="CF34" s="157">
        <f t="shared" si="28"/>
        <v>2.9855593119364211E-12</v>
      </c>
      <c r="CG34" s="157">
        <f t="shared" si="29"/>
        <v>2.3708322283659961E-13</v>
      </c>
      <c r="CH34" s="157">
        <f t="shared" si="30"/>
        <v>1.5619217659762466E-9</v>
      </c>
      <c r="CI34" s="158">
        <f t="shared" si="31"/>
        <v>7.8195343189879341E-11</v>
      </c>
      <c r="CJ34" s="157">
        <f t="shared" si="32"/>
        <v>2.1137577200984049E-11</v>
      </c>
      <c r="CK34" s="477">
        <f t="shared" si="33"/>
        <v>5.7157197555921614E-14</v>
      </c>
      <c r="CL34" s="157">
        <f t="shared" si="34"/>
        <v>6.7539942822171555E-10</v>
      </c>
      <c r="CM34" s="157">
        <f t="shared" si="35"/>
        <v>2.4657035370565095E-12</v>
      </c>
      <c r="CN34" s="157">
        <f t="shared" si="36"/>
        <v>8.220213984182499E-9</v>
      </c>
      <c r="CO34" s="157">
        <f t="shared" si="37"/>
        <v>2.857521684770733E-11</v>
      </c>
      <c r="CP34" s="157">
        <f t="shared" si="38"/>
        <v>9.4305403038445637E-16</v>
      </c>
      <c r="CQ34" s="157">
        <f t="shared" si="39"/>
        <v>2.5500711953879147E-18</v>
      </c>
      <c r="CR34" s="157">
        <f t="shared" si="40"/>
        <v>3.6674524495858873E-13</v>
      </c>
      <c r="CS34" s="157">
        <f t="shared" si="41"/>
        <v>1.2748847011271135E-15</v>
      </c>
      <c r="CT34" s="66">
        <v>4.9567737726536609E-3</v>
      </c>
      <c r="CU34" s="66">
        <v>8.8661670256104846E-6</v>
      </c>
      <c r="CV34" s="3">
        <v>1.1611559367069784E+19</v>
      </c>
      <c r="CW34" s="60">
        <v>1.040942599512031E+18</v>
      </c>
      <c r="CX34" s="3">
        <v>8.6527210079182822E+17</v>
      </c>
      <c r="CY34" s="3">
        <v>8.9278178143800032E+16</v>
      </c>
      <c r="CZ34" s="6">
        <v>0.49865169925804054</v>
      </c>
      <c r="DA34" s="6">
        <v>2.7936431740382541E-2</v>
      </c>
      <c r="DB34" s="4">
        <v>24.337069265073254</v>
      </c>
      <c r="DC34" s="4">
        <v>0.74264427477540718</v>
      </c>
      <c r="DD34" s="157">
        <f t="shared" si="42"/>
        <v>5.0100510031480511E-7</v>
      </c>
      <c r="DE34" s="157">
        <f t="shared" si="43"/>
        <v>5.0129763037525444E-9</v>
      </c>
      <c r="DF34" s="147">
        <f t="shared" si="44"/>
        <v>12397.751717492623</v>
      </c>
      <c r="DG34" s="147">
        <f t="shared" si="45"/>
        <v>138.67582835515003</v>
      </c>
      <c r="DH34" s="159">
        <f t="shared" si="46"/>
        <v>1.2397751717492624</v>
      </c>
      <c r="DI34" s="167">
        <f t="shared" si="47"/>
        <v>1.3867582835515002E-2</v>
      </c>
      <c r="DJ34" s="157">
        <f t="shared" si="48"/>
        <v>7.1051503286919779E-10</v>
      </c>
      <c r="DK34" s="157">
        <f t="shared" si="49"/>
        <v>2.2750494258243816E-11</v>
      </c>
      <c r="DL34" s="147">
        <f t="shared" si="50"/>
        <v>15.94296801285549</v>
      </c>
      <c r="DM34" s="133">
        <f t="shared" si="51"/>
        <v>0.51667582182388183</v>
      </c>
      <c r="DN34" s="159">
        <f t="shared" si="52"/>
        <v>1.594296801285549E-3</v>
      </c>
      <c r="DO34" s="167">
        <f t="shared" si="53"/>
        <v>5.1667582182388186E-5</v>
      </c>
      <c r="DP34" s="157">
        <f t="shared" si="54"/>
        <v>2.2665932645901657E-6</v>
      </c>
      <c r="DQ34" s="157">
        <f t="shared" si="55"/>
        <v>1.7160130787967276E-7</v>
      </c>
      <c r="DR34" s="143">
        <f t="shared" si="56"/>
        <v>57496.872180236605</v>
      </c>
      <c r="DS34" s="143">
        <f t="shared" si="57"/>
        <v>4362.5121093001007</v>
      </c>
      <c r="DT34" s="147">
        <f t="shared" si="58"/>
        <v>5.7496872180236602</v>
      </c>
      <c r="DU34" s="147">
        <f t="shared" si="59"/>
        <v>0.43625121093001007</v>
      </c>
      <c r="DV34" s="133">
        <f t="shared" si="60"/>
        <v>705.1294865523804</v>
      </c>
      <c r="DW34" s="133">
        <f t="shared" si="61"/>
        <v>7.0564372832781261</v>
      </c>
      <c r="DX34" s="133">
        <f t="shared" si="62"/>
        <v>0.2210388198631634</v>
      </c>
      <c r="DY34" s="133">
        <f t="shared" si="63"/>
        <v>7.9435180282213559E-3</v>
      </c>
      <c r="DZ34" s="133">
        <f t="shared" si="64"/>
        <v>777.63134866078838</v>
      </c>
      <c r="EA34" s="133">
        <f t="shared" si="65"/>
        <v>8.6992944191714177</v>
      </c>
      <c r="EB34" s="133">
        <f t="shared" si="66"/>
        <v>0.21562480266107592</v>
      </c>
      <c r="EC34" s="133">
        <f t="shared" si="67"/>
        <v>8.1687339096996985E-3</v>
      </c>
      <c r="ED34" s="157">
        <f t="shared" si="68"/>
        <v>5.1616817096409651E-4</v>
      </c>
      <c r="EE34" s="157">
        <f t="shared" si="69"/>
        <v>1.6624675783147685E-5</v>
      </c>
      <c r="EF34" s="147">
        <f t="shared" si="70"/>
        <v>10.864654160021624</v>
      </c>
      <c r="EG34" s="147">
        <f t="shared" si="71"/>
        <v>0.11144268884938065</v>
      </c>
      <c r="EH34" s="157">
        <f t="shared" si="72"/>
        <v>7.3201898489285921E-7</v>
      </c>
      <c r="EI34" s="157">
        <f t="shared" si="73"/>
        <v>7.7539046733524185E-9</v>
      </c>
      <c r="EJ34" s="143">
        <f t="shared" si="74"/>
        <v>94.52456598207047</v>
      </c>
      <c r="EK34" s="143">
        <f t="shared" si="75"/>
        <v>0.94777660990421364</v>
      </c>
      <c r="EL34" s="143">
        <f t="shared" si="76"/>
        <v>0.96207916635065005</v>
      </c>
      <c r="EM34" s="133">
        <f t="shared" si="77"/>
        <v>94.52456598207047</v>
      </c>
      <c r="EN34" s="133">
        <f t="shared" si="78"/>
        <v>0.94777660990421364</v>
      </c>
      <c r="EO34" s="133">
        <f t="shared" si="79"/>
        <v>0.96207916635065005</v>
      </c>
      <c r="EP34" s="501">
        <f>CL34/$CL$17</f>
        <v>319.62887984395343</v>
      </c>
      <c r="EQ34" s="143">
        <f t="shared" si="315"/>
        <v>94.52456598207047</v>
      </c>
      <c r="ER34" s="143">
        <f t="shared" si="315"/>
        <v>0.94777660990421364</v>
      </c>
      <c r="ES34" s="147">
        <f t="shared" si="81"/>
        <v>226.2220768890551</v>
      </c>
      <c r="ET34" s="147">
        <f t="shared" si="82"/>
        <v>17.963389775971876</v>
      </c>
      <c r="EU34" s="143">
        <f t="shared" si="83"/>
        <v>2753.3246287614038</v>
      </c>
      <c r="EV34" s="143">
        <f t="shared" si="84"/>
        <v>218.63048985479921</v>
      </c>
      <c r="EW34" s="157">
        <f t="shared" si="85"/>
        <v>8.2163241677325263E-2</v>
      </c>
      <c r="EX34" s="157">
        <f t="shared" si="86"/>
        <v>2.927423415354776E-4</v>
      </c>
      <c r="EY34" s="157">
        <f t="shared" si="87"/>
        <v>3.6319727414411523E-4</v>
      </c>
      <c r="EZ34" s="157">
        <f t="shared" si="88"/>
        <v>2.8840042009785412E-5</v>
      </c>
      <c r="FA34" s="66">
        <v>0.42007299999999997</v>
      </c>
      <c r="FB34" s="66">
        <v>8.3320000000000009E-3</v>
      </c>
      <c r="FC34" s="66">
        <v>0.13452600000000001</v>
      </c>
      <c r="FD34" s="66">
        <v>3.679E-3</v>
      </c>
      <c r="FE34" s="66">
        <v>9.6689999999999998E-2</v>
      </c>
      <c r="FF34" s="66">
        <v>2.2920000000000002E-3</v>
      </c>
      <c r="FI34" s="66">
        <v>2.0355999999999999E-2</v>
      </c>
      <c r="FJ34" s="66">
        <v>2.9160000000000002E-3</v>
      </c>
      <c r="FK34" s="66">
        <v>5.0489999999999997E-3</v>
      </c>
      <c r="FL34" s="66">
        <v>1.2149999999999999E-3</v>
      </c>
      <c r="FM34" s="66">
        <v>8.4480000000000006E-3</v>
      </c>
      <c r="FN34" s="66">
        <v>8.0900000000000004E-4</v>
      </c>
      <c r="FQ34" s="159">
        <f t="shared" si="89"/>
        <v>0.39971699999999999</v>
      </c>
      <c r="FR34" s="159">
        <f t="shared" si="90"/>
        <v>8.8275296657672024E-3</v>
      </c>
      <c r="FS34" s="159">
        <f t="shared" si="91"/>
        <v>0.12947700000000001</v>
      </c>
      <c r="FT34" s="159">
        <f t="shared" si="92"/>
        <v>5.2028916959706165E-3</v>
      </c>
      <c r="FU34" s="159">
        <f t="shared" si="93"/>
        <v>8.8242000000000001E-2</v>
      </c>
      <c r="FV34" s="159">
        <f t="shared" si="94"/>
        <v>2.4305853204526686E-3</v>
      </c>
      <c r="FW34" s="159">
        <f t="shared" si="95"/>
        <v>0</v>
      </c>
      <c r="FX34" s="159">
        <f t="shared" si="96"/>
        <v>0</v>
      </c>
      <c r="FY34" s="159">
        <f t="shared" si="97"/>
        <v>6.5741475291566709E-2</v>
      </c>
      <c r="FZ34" s="159">
        <f t="shared" si="98"/>
        <v>6.1223421850962641E-3</v>
      </c>
      <c r="GA34" s="159">
        <f t="shared" si="99"/>
        <v>0.39711363757845397</v>
      </c>
      <c r="GB34" s="159">
        <f t="shared" si="100"/>
        <v>8.8308583646811746E-3</v>
      </c>
      <c r="GC34" s="159">
        <f t="shared" si="101"/>
        <v>0.11618407369604522</v>
      </c>
      <c r="GD34" s="159">
        <f t="shared" si="102"/>
        <v>5.3481371968476417E-3</v>
      </c>
      <c r="GE34" s="159">
        <f t="shared" si="103"/>
        <v>-2.006429825898616E-2</v>
      </c>
      <c r="GF34" s="159">
        <f t="shared" si="104"/>
        <v>1.8685388348913799E-3</v>
      </c>
      <c r="GG34" s="3">
        <v>1.7782159136499011E-12</v>
      </c>
      <c r="GH34" s="3">
        <v>7.5535622364420377E-15</v>
      </c>
      <c r="GI34" s="6">
        <v>1</v>
      </c>
      <c r="GJ34" s="6">
        <v>5.0000000000000001E-3</v>
      </c>
      <c r="GK34" s="157">
        <f t="shared" si="105"/>
        <v>7.061537898694062E-13</v>
      </c>
      <c r="GL34" s="157">
        <f t="shared" si="106"/>
        <v>1.6372345687924314E-14</v>
      </c>
      <c r="GM34" s="157">
        <f t="shared" si="107"/>
        <v>2.066003687589805E-13</v>
      </c>
      <c r="GN34" s="157">
        <f t="shared" si="108"/>
        <v>9.6062528897437596E-15</v>
      </c>
      <c r="GO34" s="157">
        <f t="shared" si="109"/>
        <v>1.1690253755028569E-13</v>
      </c>
      <c r="GP34" s="157">
        <f t="shared" si="110"/>
        <v>1.0913829369141192E-14</v>
      </c>
      <c r="GQ34" s="157">
        <f t="shared" si="111"/>
        <v>-3.5678654460347198E-14</v>
      </c>
      <c r="GR34" s="157">
        <f t="shared" si="112"/>
        <v>-3.330900723461892E-15</v>
      </c>
      <c r="GS34" s="157">
        <f t="shared" si="113"/>
        <v>3.1505085529698241E-17</v>
      </c>
      <c r="GT34" s="157">
        <f t="shared" si="114"/>
        <v>7.3045299590706511E-19</v>
      </c>
      <c r="GU34" s="157">
        <f t="shared" si="115"/>
        <v>9.217485456564105E-18</v>
      </c>
      <c r="GV34" s="157">
        <f t="shared" si="116"/>
        <v>4.2858343788086716E-19</v>
      </c>
      <c r="GW34" s="157">
        <f t="shared" si="117"/>
        <v>5.2156123736751984E-18</v>
      </c>
      <c r="GX34" s="157">
        <f t="shared" si="118"/>
        <v>4.8692102580310465E-19</v>
      </c>
      <c r="GY34" s="147">
        <f t="shared" si="119"/>
        <v>3.4179696488983695</v>
      </c>
      <c r="GZ34" s="147">
        <f t="shared" si="120"/>
        <v>8.1408400515830606E-2</v>
      </c>
      <c r="HA34" s="4">
        <v>26.169770272470501</v>
      </c>
      <c r="HB34" s="4">
        <v>0.31897682079735301</v>
      </c>
      <c r="HC34" s="228">
        <f t="shared" si="121"/>
        <v>783.34995492789642</v>
      </c>
      <c r="HD34" s="228">
        <f t="shared" si="122"/>
        <v>20.628044830334122</v>
      </c>
      <c r="HE34" s="239">
        <f t="shared" si="123"/>
        <v>4.0244072087498061E-13</v>
      </c>
      <c r="HF34" s="229">
        <f t="shared" si="124"/>
        <v>1.6684046888393576E-14</v>
      </c>
      <c r="HG34" s="362">
        <f t="shared" si="125"/>
        <v>20.352293266325599</v>
      </c>
      <c r="HH34" s="362">
        <f t="shared" si="126"/>
        <v>0.84986255111608477</v>
      </c>
      <c r="HI34" s="4">
        <v>7.5091582159801398</v>
      </c>
      <c r="HJ34" s="4">
        <v>0.114829942558394</v>
      </c>
      <c r="HK34" s="228">
        <f t="shared" si="127"/>
        <v>768.27264374272522</v>
      </c>
      <c r="HL34" s="228">
        <f t="shared" si="128"/>
        <v>37.661879708499974</v>
      </c>
      <c r="HM34" s="239">
        <f t="shared" si="129"/>
        <v>4.1033859935814136E-13</v>
      </c>
      <c r="HN34" s="229">
        <f t="shared" si="130"/>
        <v>1.7011470451907226E-14</v>
      </c>
      <c r="HO34" s="362">
        <f t="shared" si="131"/>
        <v>20.751705976653753</v>
      </c>
      <c r="HP34" s="362">
        <f t="shared" si="132"/>
        <v>1.2194819821952696</v>
      </c>
      <c r="HQ34" s="6">
        <v>1.11613116912226</v>
      </c>
      <c r="HR34" s="6">
        <v>3.5153924948669403E-2</v>
      </c>
      <c r="HS34" s="6">
        <f t="shared" si="133"/>
        <v>24.286604842867348</v>
      </c>
      <c r="HT34" s="6">
        <f t="shared" si="134"/>
        <v>2.3813456052086712</v>
      </c>
      <c r="HU34" s="6">
        <v>1.11613116912226</v>
      </c>
      <c r="HV34" s="6">
        <v>3.5153924948669403E-2</v>
      </c>
      <c r="HW34" s="6">
        <f t="shared" si="135"/>
        <v>30.908014397308524</v>
      </c>
      <c r="HX34" s="6">
        <f t="shared" si="136"/>
        <v>3.2970569253404478</v>
      </c>
      <c r="HY34" s="3">
        <v>0.105641</v>
      </c>
      <c r="HZ34" s="3">
        <v>2.9529999999999999E-3</v>
      </c>
      <c r="IA34" s="3">
        <v>6.7330000000000003E-3</v>
      </c>
      <c r="IB34" s="3">
        <v>4.37E-4</v>
      </c>
      <c r="IC34" s="3">
        <v>1.2700000000000001E-3</v>
      </c>
      <c r="ID34" s="3">
        <v>2.43E-4</v>
      </c>
      <c r="IE34" s="3">
        <v>6.2909579999999998</v>
      </c>
      <c r="IF34" s="3">
        <v>7.5988E-2</v>
      </c>
      <c r="IG34" s="3">
        <v>0.106845</v>
      </c>
      <c r="IH34" s="3">
        <v>2.0010000000000002E-3</v>
      </c>
      <c r="II34" s="3">
        <v>0.178207</v>
      </c>
      <c r="IJ34" s="3">
        <v>1.825E-3</v>
      </c>
      <c r="IK34" s="3">
        <v>0.24659900000000001</v>
      </c>
      <c r="IL34" s="3">
        <v>4.3480000000000003E-3</v>
      </c>
      <c r="IM34" s="3">
        <v>1.3630000000000001E-3</v>
      </c>
      <c r="IN34" s="3">
        <v>2.5799999999999998E-4</v>
      </c>
      <c r="IO34" s="3">
        <v>5.8200000000000005E-4</v>
      </c>
      <c r="IP34" s="3">
        <v>1.83E-4</v>
      </c>
      <c r="IQ34" s="3">
        <v>3.9999999999999998E-6</v>
      </c>
      <c r="IR34" s="3">
        <v>9.5000000000000005E-5</v>
      </c>
      <c r="IS34" s="3">
        <v>1.024E-3</v>
      </c>
      <c r="IT34" s="3">
        <v>2.3000000000000001E-4</v>
      </c>
      <c r="IU34" s="3">
        <v>3.9100000000000002E-4</v>
      </c>
      <c r="IV34" s="3">
        <v>1.8900000000000001E-4</v>
      </c>
      <c r="IW34" s="3">
        <v>3.7300000000000001E-4</v>
      </c>
      <c r="IX34" s="3">
        <v>1.6200000000000001E-4</v>
      </c>
      <c r="IY34" s="3">
        <v>2.6499999999999999E-4</v>
      </c>
      <c r="IZ34" s="3">
        <v>1.11E-4</v>
      </c>
      <c r="JA34" s="157">
        <f t="shared" si="137"/>
        <v>0.104278</v>
      </c>
      <c r="JB34" s="157">
        <f t="shared" si="138"/>
        <v>2.9642491460739259E-3</v>
      </c>
      <c r="JC34" s="157">
        <f t="shared" si="139"/>
        <v>6.1510000000000002E-3</v>
      </c>
      <c r="JD34" s="157">
        <f t="shared" si="140"/>
        <v>4.737699863857988E-4</v>
      </c>
      <c r="JE34" s="157">
        <f t="shared" si="141"/>
        <v>1.266E-3</v>
      </c>
      <c r="JF34" s="157">
        <f t="shared" si="142"/>
        <v>2.6090994615000787E-4</v>
      </c>
      <c r="JG34" s="157">
        <f t="shared" si="143"/>
        <v>6.2899339999999997</v>
      </c>
      <c r="JH34" s="157">
        <f t="shared" si="144"/>
        <v>7.598834808047876E-2</v>
      </c>
      <c r="JI34" s="157">
        <f t="shared" si="145"/>
        <v>0.10645399999999999</v>
      </c>
      <c r="JJ34" s="157">
        <f t="shared" si="146"/>
        <v>2.0099059679497449E-3</v>
      </c>
      <c r="JK34" s="157">
        <f t="shared" si="147"/>
        <v>0.17783399999999999</v>
      </c>
      <c r="JL34" s="157">
        <f t="shared" si="148"/>
        <v>1.8321760286610018E-3</v>
      </c>
      <c r="JM34" s="157">
        <f t="shared" si="149"/>
        <v>0.24633400000000003</v>
      </c>
      <c r="JN34" s="157">
        <f t="shared" si="150"/>
        <v>4.3494166275490328E-3</v>
      </c>
      <c r="JO34" s="157">
        <f t="shared" si="316"/>
        <v>0.10368095640661</v>
      </c>
      <c r="JP34" s="157">
        <f t="shared" si="317"/>
        <v>2.9668018138050418E-3</v>
      </c>
      <c r="JQ34" s="157">
        <f t="shared" si="318"/>
        <v>-2.0688018491480005E-3</v>
      </c>
      <c r="JR34" s="157">
        <f t="shared" si="319"/>
        <v>1.7590219960526958E-3</v>
      </c>
      <c r="JS34" s="157">
        <f t="shared" si="320"/>
        <v>6.283336417437356</v>
      </c>
      <c r="JT34" s="157">
        <f t="shared" si="321"/>
        <v>7.6000511950442884E-2</v>
      </c>
      <c r="JU34" s="157">
        <f t="shared" si="322"/>
        <v>9.8092044914209989E-2</v>
      </c>
      <c r="JV34" s="157">
        <f t="shared" si="323"/>
        <v>2.647553180705703E-3</v>
      </c>
      <c r="JW34" s="157">
        <f t="shared" si="324"/>
        <v>0.174575346102948</v>
      </c>
      <c r="JX34" s="157">
        <f t="shared" si="325"/>
        <v>1.9513798503577975E-3</v>
      </c>
      <c r="JY34" s="157">
        <f t="shared" si="326"/>
        <v>0.24357957199481803</v>
      </c>
      <c r="JZ34" s="157">
        <f t="shared" si="327"/>
        <v>4.3863040213287944E-3</v>
      </c>
      <c r="KA34" s="3">
        <v>1.7696448643015688E-12</v>
      </c>
      <c r="KB34" s="3">
        <v>3.8892524257744769E-14</v>
      </c>
      <c r="KC34" s="5">
        <v>1</v>
      </c>
      <c r="KD34" s="5">
        <v>0</v>
      </c>
      <c r="KE34" s="157">
        <f t="shared" si="163"/>
        <v>1.8347847203083223E-13</v>
      </c>
      <c r="KF34" s="157">
        <f t="shared" si="164"/>
        <v>6.6200311430232591E-15</v>
      </c>
      <c r="KG34" s="157">
        <f t="shared" si="165"/>
        <v>8.185900914386855E-18</v>
      </c>
      <c r="KH34" s="157">
        <f t="shared" si="166"/>
        <v>2.9535301005143942E-19</v>
      </c>
      <c r="KI34" s="6">
        <v>1.2430056234832578</v>
      </c>
      <c r="KJ34" s="6">
        <v>0.11113867994607306</v>
      </c>
      <c r="KK34" s="157">
        <f t="shared" si="167"/>
        <v>9.7947707873810526E-14</v>
      </c>
      <c r="KL34" s="157">
        <f t="shared" si="260"/>
        <v>1.2910888291464099E-14</v>
      </c>
      <c r="KM34" s="494">
        <f t="shared" si="168"/>
        <v>7.8670917049822711</v>
      </c>
      <c r="KN34" s="494">
        <f t="shared" si="328"/>
        <v>1.0419935589776184</v>
      </c>
      <c r="KO34" s="4">
        <v>20.162258156415799</v>
      </c>
      <c r="KP34" s="4">
        <v>0.66285498057307002</v>
      </c>
      <c r="KQ34" s="229">
        <f t="shared" si="170"/>
        <v>2322.7863389651111</v>
      </c>
      <c r="KR34" s="229">
        <f t="shared" si="171"/>
        <v>113.55460488945819</v>
      </c>
      <c r="KS34" s="364">
        <f t="shared" si="172"/>
        <v>6.8637255805278592</v>
      </c>
      <c r="KT34" s="364">
        <f t="shared" si="173"/>
        <v>0.40258103036797854</v>
      </c>
      <c r="KU34" s="147">
        <f t="shared" si="174"/>
        <v>6.2198672105476005</v>
      </c>
      <c r="KV34" s="147">
        <f t="shared" si="175"/>
        <v>7.604775757551388E-2</v>
      </c>
      <c r="KW34" s="157">
        <f t="shared" si="176"/>
        <v>1.1006956065783286E-11</v>
      </c>
      <c r="KX34" s="157">
        <f t="shared" si="177"/>
        <v>2.7682085442010363E-13</v>
      </c>
      <c r="KY34" s="157">
        <f t="shared" si="178"/>
        <v>4.9107587787394693E-16</v>
      </c>
      <c r="KZ34" s="157">
        <f t="shared" si="179"/>
        <v>1.2350375827964588E-17</v>
      </c>
      <c r="LA34" s="6">
        <v>1.2485542932379501</v>
      </c>
      <c r="LB34" s="6">
        <v>5.9627651953476503E-2</v>
      </c>
      <c r="LC34" s="157">
        <f t="shared" si="180"/>
        <v>4.1254114010164289E-9</v>
      </c>
      <c r="LD34" s="157">
        <f t="shared" si="181"/>
        <v>4.6854312112941148E-10</v>
      </c>
      <c r="LE34" s="159">
        <f t="shared" si="182"/>
        <v>358.56352624517916</v>
      </c>
      <c r="LF34" s="159">
        <f t="shared" si="183"/>
        <v>40.728810883126087</v>
      </c>
      <c r="LG34" s="471"/>
      <c r="LH34" s="471"/>
      <c r="LM34" s="157">
        <f t="shared" si="184"/>
        <v>3.0893636466475081E-13</v>
      </c>
      <c r="LN34" s="157">
        <f t="shared" si="185"/>
        <v>7.617389942509057E-15</v>
      </c>
      <c r="LO34" s="157">
        <f t="shared" si="186"/>
        <v>1.3783210869401439E-17</v>
      </c>
      <c r="LP34" s="157">
        <f t="shared" si="187"/>
        <v>3.3985022124229886E-19</v>
      </c>
      <c r="LQ34" s="157">
        <f t="shared" si="188"/>
        <v>3.5085184165253036E-12</v>
      </c>
      <c r="LR34" s="157">
        <f t="shared" si="189"/>
        <v>3.2620847278038417E-13</v>
      </c>
      <c r="LS34" s="147">
        <f t="shared" si="190"/>
        <v>528.56254075977461</v>
      </c>
      <c r="LT34" s="147">
        <f t="shared" si="191"/>
        <v>49.214711052285267</v>
      </c>
      <c r="LW34" s="214" t="str">
        <f t="shared" si="192"/>
        <v>113z1</v>
      </c>
      <c r="LX34" s="214" t="str">
        <f t="shared" si="193"/>
        <v>MN2022a</v>
      </c>
      <c r="LY34" s="212">
        <f t="shared" si="194"/>
        <v>12397.751717492623</v>
      </c>
      <c r="LZ34" s="212">
        <f t="shared" si="195"/>
        <v>138.67582835515003</v>
      </c>
      <c r="MA34" s="212">
        <f t="shared" si="196"/>
        <v>15.94296801285549</v>
      </c>
      <c r="MB34" s="212">
        <f t="shared" si="197"/>
        <v>0.51667582182388183</v>
      </c>
      <c r="MC34" s="212">
        <f t="shared" si="198"/>
        <v>57496.872180236605</v>
      </c>
      <c r="MD34" s="212">
        <f t="shared" si="199"/>
        <v>4362.5121093001007</v>
      </c>
      <c r="ME34" s="212">
        <f t="shared" si="200"/>
        <v>24.286604842867348</v>
      </c>
      <c r="MF34" s="212">
        <f t="shared" si="201"/>
        <v>2.3813456052086712</v>
      </c>
      <c r="MG34" s="212">
        <f t="shared" si="202"/>
        <v>30.908014397308524</v>
      </c>
      <c r="MH34" s="212">
        <f t="shared" si="203"/>
        <v>3.2970569253404478</v>
      </c>
      <c r="MI34" s="212">
        <f t="shared" si="204"/>
        <v>20.352293266325599</v>
      </c>
      <c r="MJ34" s="212">
        <f t="shared" si="205"/>
        <v>0.84986255111608477</v>
      </c>
      <c r="MK34" s="212">
        <f t="shared" si="206"/>
        <v>20.751705976653753</v>
      </c>
      <c r="ML34" s="212">
        <f t="shared" si="207"/>
        <v>1.2194819821952696</v>
      </c>
      <c r="MM34" s="212">
        <f t="shared" si="261"/>
        <v>7.8670917049822711</v>
      </c>
      <c r="MN34" s="212">
        <f t="shared" si="208"/>
        <v>1.0419935589776184</v>
      </c>
      <c r="MO34" s="212">
        <f t="shared" si="209"/>
        <v>6.8637255805278592</v>
      </c>
      <c r="MP34" s="212">
        <f t="shared" si="210"/>
        <v>0.40258103036797854</v>
      </c>
      <c r="MQ34" s="211"/>
      <c r="MR34" s="211"/>
      <c r="MS34" s="211"/>
      <c r="MT34" s="211"/>
      <c r="MU34" s="506">
        <f t="shared" si="273"/>
        <v>777.63134866078838</v>
      </c>
      <c r="MV34" s="506">
        <f t="shared" si="274"/>
        <v>8.6992944191714177</v>
      </c>
      <c r="MW34" s="109">
        <f t="shared" si="211"/>
        <v>1.2765686570978933E-3</v>
      </c>
      <c r="MX34" s="109">
        <f t="shared" si="212"/>
        <v>6.7476747039007967E-5</v>
      </c>
      <c r="MY34" s="109">
        <f t="shared" si="213"/>
        <v>1.301621251445827E-3</v>
      </c>
      <c r="MZ34" s="109">
        <f t="shared" si="214"/>
        <v>8.735064806756044E-5</v>
      </c>
      <c r="NA34" s="513">
        <f t="shared" si="295"/>
        <v>4.9345214132266355E-4</v>
      </c>
      <c r="NB34" s="513">
        <f t="shared" si="296"/>
        <v>6.7285547868393953E-5</v>
      </c>
      <c r="NC34" s="506">
        <f t="shared" si="275"/>
        <v>705.1294865523804</v>
      </c>
      <c r="ND34" s="506">
        <f t="shared" si="276"/>
        <v>7.0564372832781261</v>
      </c>
      <c r="NE34" s="109">
        <f t="shared" si="217"/>
        <v>5.6640704595629281E-4</v>
      </c>
      <c r="NF34" s="109">
        <f t="shared" si="218"/>
        <v>2.9669989746257242E-5</v>
      </c>
      <c r="NG34" s="513">
        <f t="shared" si="219"/>
        <v>5.7752275515004147E-4</v>
      </c>
      <c r="NH34" s="513">
        <f t="shared" si="220"/>
        <v>3.0252261771570906E-5</v>
      </c>
      <c r="NI34" s="109">
        <f t="shared" si="221"/>
        <v>1.3785455127240508E-4</v>
      </c>
      <c r="NJ34" s="109">
        <f t="shared" si="221"/>
        <v>1.8797403500272064E-5</v>
      </c>
      <c r="NK34" s="621">
        <f t="shared" si="329"/>
        <v>1.8895945012255831E-9</v>
      </c>
      <c r="NL34" s="621">
        <f t="shared" si="330"/>
        <v>1.5034982129455813E-10</v>
      </c>
      <c r="NM34" s="621">
        <f t="shared" si="331"/>
        <v>4.2746799254538956E-7</v>
      </c>
      <c r="NN34" s="621">
        <f t="shared" si="332"/>
        <v>2.6464328147620497E-9</v>
      </c>
      <c r="NO34" s="621">
        <f t="shared" si="333"/>
        <v>5.2026670785965183E-6</v>
      </c>
      <c r="NP34" s="621">
        <f t="shared" si="334"/>
        <v>3.1682516195113468E-8</v>
      </c>
      <c r="NQ34" s="621">
        <f t="shared" si="335"/>
        <v>4.6442919034843594E-6</v>
      </c>
      <c r="NR34" s="621">
        <f t="shared" si="336"/>
        <v>5.2872161927536752E-8</v>
      </c>
      <c r="NS34" s="621">
        <f t="shared" si="337"/>
        <v>4.8393407691222726E-7</v>
      </c>
      <c r="NT34" s="621">
        <f t="shared" si="338"/>
        <v>2.636460226867592E-8</v>
      </c>
      <c r="NU34" s="621">
        <f t="shared" si="339"/>
        <v>7.3988947816636516E-11</v>
      </c>
      <c r="NV34" s="621">
        <f t="shared" si="340"/>
        <v>6.9173864262961563E-12</v>
      </c>
      <c r="NW34" s="621">
        <f t="shared" si="341"/>
        <v>1.4179559482315101E-12</v>
      </c>
      <c r="NX34" s="621">
        <f t="shared" si="342"/>
        <v>2.9396899268945977E-13</v>
      </c>
      <c r="NY34" s="621">
        <f t="shared" si="343"/>
        <v>1.1923150277491088E-10</v>
      </c>
      <c r="NZ34" s="621">
        <f t="shared" si="344"/>
        <v>3.5056658268969307E-12</v>
      </c>
      <c r="OA34" s="622">
        <f t="shared" si="262"/>
        <v>2753.3246287614038</v>
      </c>
      <c r="OB34" s="622">
        <f t="shared" si="238"/>
        <v>218.63048985479921</v>
      </c>
      <c r="OC34" s="622">
        <f t="shared" si="239"/>
        <v>256.10472331410239</v>
      </c>
      <c r="OD34" s="622">
        <f t="shared" si="263"/>
        <v>24.696501068410079</v>
      </c>
      <c r="OE34" s="621">
        <f t="shared" si="264"/>
        <v>3.9155992340498234E-2</v>
      </c>
      <c r="OF34" s="621">
        <f t="shared" si="265"/>
        <v>4.7990823690536822E-3</v>
      </c>
      <c r="OG34" s="621">
        <f t="shared" si="266"/>
        <v>7.5040224096324887E-4</v>
      </c>
      <c r="OH34" s="621">
        <f t="shared" si="267"/>
        <v>1.6663669842424979E-4</v>
      </c>
      <c r="OI34" s="621">
        <f t="shared" si="268"/>
        <v>6.3098989067536887E-2</v>
      </c>
      <c r="OJ34" s="621">
        <f t="shared" si="269"/>
        <v>5.3524287596495527E-3</v>
      </c>
      <c r="OK34" s="621">
        <f t="shared" si="240"/>
        <v>8.2163241677325263E-2</v>
      </c>
      <c r="OL34" s="621">
        <f t="shared" si="241"/>
        <v>2.927423415354776E-4</v>
      </c>
      <c r="OM34" s="621">
        <f t="shared" si="242"/>
        <v>3.6319727414411523E-4</v>
      </c>
      <c r="ON34" s="621">
        <f t="shared" si="243"/>
        <v>2.8840042009785412E-5</v>
      </c>
      <c r="OO34" s="621">
        <f t="shared" si="244"/>
        <v>226.2220768890551</v>
      </c>
      <c r="OP34" s="621">
        <f t="shared" si="245"/>
        <v>17.963389775971876</v>
      </c>
      <c r="OQ34" s="621">
        <f t="shared" si="246"/>
        <v>4.9567737726536609E-3</v>
      </c>
      <c r="OR34" s="621">
        <f t="shared" si="247"/>
        <v>8.8661670256104846E-6</v>
      </c>
    </row>
    <row r="35" spans="2:408" s="657" customFormat="1">
      <c r="B35" s="630" t="s">
        <v>950</v>
      </c>
      <c r="C35" s="631">
        <v>3.3600000000000001E-3</v>
      </c>
      <c r="D35" s="632">
        <f t="shared" si="308"/>
        <v>1.6800000000000002E-5</v>
      </c>
      <c r="E35" s="633">
        <v>45108</v>
      </c>
      <c r="F35" s="631" t="s">
        <v>210</v>
      </c>
      <c r="G35" s="631" t="s">
        <v>893</v>
      </c>
      <c r="H35" s="631">
        <v>2</v>
      </c>
      <c r="I35" s="631"/>
      <c r="J35" s="634">
        <v>44644</v>
      </c>
      <c r="K35" s="633" t="s">
        <v>823</v>
      </c>
      <c r="L35" s="631" t="s">
        <v>949</v>
      </c>
      <c r="M35" s="631" t="s">
        <v>951</v>
      </c>
      <c r="N35" s="631">
        <v>180</v>
      </c>
      <c r="O35" s="635">
        <v>12648.868108000001</v>
      </c>
      <c r="P35" s="635">
        <v>32.145772000000001</v>
      </c>
      <c r="Q35" s="635">
        <v>1026.2325290000001</v>
      </c>
      <c r="R35" s="635">
        <v>2.9465940000000002</v>
      </c>
      <c r="S35" s="635">
        <v>30.955662</v>
      </c>
      <c r="T35" s="635">
        <v>0.113067</v>
      </c>
      <c r="U35" s="635">
        <v>0.23893700000000001</v>
      </c>
      <c r="V35" s="635">
        <v>3.5791000000000003E-2</v>
      </c>
      <c r="W35" s="635">
        <v>5.5421550000000002</v>
      </c>
      <c r="X35" s="635">
        <v>0.101331</v>
      </c>
      <c r="Y35" s="635">
        <v>91.155595000000005</v>
      </c>
      <c r="Z35" s="635">
        <v>0.50480499999999995</v>
      </c>
      <c r="AA35" s="635">
        <v>0.17779200000000001</v>
      </c>
      <c r="AB35" s="635">
        <v>3.9175000000000001E-2</v>
      </c>
      <c r="AC35" s="635">
        <v>-2.0899000000000001E-2</v>
      </c>
      <c r="AD35" s="635">
        <v>6.6726999999999995E-2</v>
      </c>
      <c r="AE35" s="635">
        <v>8.7067000000000005E-2</v>
      </c>
      <c r="AF35" s="635">
        <v>2.2110000000000001E-2</v>
      </c>
      <c r="AG35" s="635">
        <v>0.50078500000000004</v>
      </c>
      <c r="AH35" s="635">
        <v>0.119806</v>
      </c>
      <c r="AI35" s="637">
        <f t="shared" si="1"/>
        <v>12557.712513</v>
      </c>
      <c r="AJ35" s="637">
        <f t="shared" si="2"/>
        <v>32.149735388709018</v>
      </c>
      <c r="AK35" s="637">
        <f t="shared" si="3"/>
        <v>1026.0547370000002</v>
      </c>
      <c r="AL35" s="637">
        <f t="shared" si="4"/>
        <v>2.9468544045237457</v>
      </c>
      <c r="AM35" s="637">
        <f t="shared" si="5"/>
        <v>30.976561</v>
      </c>
      <c r="AN35" s="637">
        <f t="shared" si="6"/>
        <v>0.13128838112338806</v>
      </c>
      <c r="AO35" s="637">
        <f t="shared" si="7"/>
        <v>0.15187</v>
      </c>
      <c r="AP35" s="637">
        <f t="shared" si="8"/>
        <v>4.206955884009244E-2</v>
      </c>
      <c r="AQ35" s="637">
        <f t="shared" si="9"/>
        <v>5.0413700000000006</v>
      </c>
      <c r="AR35" s="637">
        <f t="shared" si="10"/>
        <v>0.15691223405776875</v>
      </c>
      <c r="AS35" s="638">
        <v>304.12046242532097</v>
      </c>
      <c r="AT35" s="638">
        <v>0.91447361557367624</v>
      </c>
      <c r="AU35" s="639">
        <f t="shared" si="11"/>
        <v>1033.5378726232075</v>
      </c>
      <c r="AV35" s="639">
        <f t="shared" si="12"/>
        <v>2.9470291339765335</v>
      </c>
      <c r="AW35" s="639">
        <f t="shared" si="13"/>
        <v>31.428392269316685</v>
      </c>
      <c r="AX35" s="639">
        <f t="shared" si="14"/>
        <v>0.13129384397798777</v>
      </c>
      <c r="AY35" s="639">
        <f t="shared" si="15"/>
        <v>0.15519281631607487</v>
      </c>
      <c r="AZ35" s="639">
        <f t="shared" si="16"/>
        <v>4.2071548087218698E-2</v>
      </c>
      <c r="BA35" s="639">
        <f t="shared" si="17"/>
        <v>5.188439173120611</v>
      </c>
      <c r="BB35" s="639">
        <f t="shared" si="18"/>
        <v>0.15691645073424434</v>
      </c>
      <c r="BC35" s="635"/>
      <c r="BD35" s="640"/>
      <c r="BE35" s="637">
        <v>8.0449999999999999</v>
      </c>
      <c r="BF35" s="637">
        <f t="shared" si="249"/>
        <v>0.40225</v>
      </c>
      <c r="BG35" s="637">
        <f t="shared" si="250"/>
        <v>5.7496872180236611</v>
      </c>
      <c r="BH35" s="637">
        <f t="shared" si="251"/>
        <v>0.28748436090118307</v>
      </c>
      <c r="BI35" s="641">
        <f t="shared" si="309"/>
        <v>4.820097069001872E-6</v>
      </c>
      <c r="BJ35" s="641">
        <f t="shared" si="252"/>
        <v>2.4100485345009359E-7</v>
      </c>
      <c r="BK35" s="639">
        <f t="shared" si="310"/>
        <v>2088.6134623241633</v>
      </c>
      <c r="BL35" s="639">
        <f t="shared" si="253"/>
        <v>104.43067311620815</v>
      </c>
      <c r="BM35" s="639"/>
      <c r="BN35" s="639"/>
      <c r="BO35" s="642">
        <f t="shared" si="254"/>
        <v>12423.129569073741</v>
      </c>
      <c r="BP35" s="639">
        <f t="shared" si="255"/>
        <v>32.152025587858319</v>
      </c>
      <c r="BQ35" s="642">
        <f t="shared" si="271"/>
        <v>1033.5378726232075</v>
      </c>
      <c r="BR35" s="639">
        <f t="shared" si="272"/>
        <v>2.9470291339765335</v>
      </c>
      <c r="BS35" s="642">
        <f t="shared" si="256"/>
        <v>31.428392269316685</v>
      </c>
      <c r="BT35" s="639">
        <f t="shared" si="257"/>
        <v>0.13129384397798777</v>
      </c>
      <c r="BU35" s="637">
        <f t="shared" si="258"/>
        <v>4.4598699201775185</v>
      </c>
      <c r="BV35" s="637">
        <f t="shared" si="21"/>
        <v>0.16108943293049258</v>
      </c>
      <c r="BW35" s="631"/>
      <c r="BX35" s="637">
        <f t="shared" si="311"/>
        <v>4.4323938176714046</v>
      </c>
      <c r="BY35" s="637">
        <f t="shared" si="312"/>
        <v>0.16109044557859195</v>
      </c>
      <c r="BZ35" s="642">
        <f t="shared" si="313"/>
        <v>30.589934341070254</v>
      </c>
      <c r="CA35" s="637">
        <f t="shared" si="314"/>
        <v>1.9058564711936277E-2</v>
      </c>
      <c r="CB35" s="642">
        <f t="shared" si="26"/>
        <v>11113.357195951841</v>
      </c>
      <c r="CC35" s="642">
        <f t="shared" si="27"/>
        <v>57.443230525441955</v>
      </c>
      <c r="CD35" s="643">
        <v>1.5903158759700325E-12</v>
      </c>
      <c r="CE35" s="643">
        <v>4.0102150310807229E-15</v>
      </c>
      <c r="CF35" s="641">
        <f t="shared" si="28"/>
        <v>7.0489062567942567E-12</v>
      </c>
      <c r="CG35" s="641">
        <f t="shared" si="29"/>
        <v>2.5680058866448891E-13</v>
      </c>
      <c r="CH35" s="641">
        <f t="shared" si="30"/>
        <v>3.3215551478988541E-9</v>
      </c>
      <c r="CI35" s="644">
        <f t="shared" si="31"/>
        <v>1.6628883108733836E-10</v>
      </c>
      <c r="CJ35" s="641">
        <f t="shared" si="32"/>
        <v>4.8647658227484918E-11</v>
      </c>
      <c r="CK35" s="645">
        <f t="shared" si="33"/>
        <v>1.2636105435356092E-13</v>
      </c>
      <c r="CL35" s="641">
        <f t="shared" si="34"/>
        <v>1.6436516872489802E-9</v>
      </c>
      <c r="CM35" s="641">
        <f t="shared" si="35"/>
        <v>6.2565036703313481E-12</v>
      </c>
      <c r="CN35" s="641">
        <f t="shared" si="36"/>
        <v>1.9756700182930718E-8</v>
      </c>
      <c r="CO35" s="641">
        <f t="shared" si="37"/>
        <v>7.1389379606078151E-11</v>
      </c>
      <c r="CP35" s="641">
        <f t="shared" si="38"/>
        <v>2.1704176275254202E-15</v>
      </c>
      <c r="CQ35" s="641">
        <f t="shared" si="39"/>
        <v>5.6376046994147015E-18</v>
      </c>
      <c r="CR35" s="641">
        <f t="shared" si="40"/>
        <v>8.8144613535664592E-13</v>
      </c>
      <c r="CS35" s="641">
        <f t="shared" si="41"/>
        <v>3.1850406691022042E-15</v>
      </c>
      <c r="CT35" s="632">
        <v>4.9567737726536609E-3</v>
      </c>
      <c r="CU35" s="632">
        <v>8.8661670256104846E-6</v>
      </c>
      <c r="CV35" s="643">
        <v>1.1611559367069784E+19</v>
      </c>
      <c r="CW35" s="646">
        <v>1.040942599512031E+18</v>
      </c>
      <c r="CX35" s="643">
        <v>8.6527210079182822E+17</v>
      </c>
      <c r="CY35" s="643">
        <v>8.9278178143800032E+16</v>
      </c>
      <c r="CZ35" s="635">
        <v>0.49865169925804054</v>
      </c>
      <c r="DA35" s="635">
        <v>2.7936431740382541E-2</v>
      </c>
      <c r="DB35" s="638">
        <v>24.337069265073254</v>
      </c>
      <c r="DC35" s="638">
        <v>0.74264427477540718</v>
      </c>
      <c r="DD35" s="641">
        <f t="shared" si="42"/>
        <v>1.2192457441383091E-6</v>
      </c>
      <c r="DE35" s="641">
        <f t="shared" si="43"/>
        <v>1.227012805314551E-8</v>
      </c>
      <c r="DF35" s="637">
        <f t="shared" si="44"/>
        <v>14187.629725607991</v>
      </c>
      <c r="DG35" s="637">
        <f t="shared" si="45"/>
        <v>159.43142378759188</v>
      </c>
      <c r="DH35" s="647">
        <f t="shared" si="46"/>
        <v>1.4187629725607991</v>
      </c>
      <c r="DI35" s="648">
        <f t="shared" si="47"/>
        <v>1.5943142378759188E-2</v>
      </c>
      <c r="DJ35" s="641">
        <f t="shared" si="48"/>
        <v>1.6352343580276455E-9</v>
      </c>
      <c r="DK35" s="641">
        <f t="shared" si="49"/>
        <v>5.2345320209116809E-11</v>
      </c>
      <c r="DL35" s="637">
        <f t="shared" si="50"/>
        <v>17.254155861653011</v>
      </c>
      <c r="DM35" s="639">
        <f t="shared" si="51"/>
        <v>0.55901804024131607</v>
      </c>
      <c r="DN35" s="647">
        <f t="shared" si="52"/>
        <v>1.7254155861653011E-3</v>
      </c>
      <c r="DO35" s="648">
        <f t="shared" si="53"/>
        <v>5.5901804024131608E-5</v>
      </c>
      <c r="DP35" s="641">
        <f t="shared" si="54"/>
        <v>4.820097069001872E-6</v>
      </c>
      <c r="DQ35" s="641">
        <f t="shared" si="55"/>
        <v>3.6492430030107627E-7</v>
      </c>
      <c r="DR35" s="642">
        <f t="shared" si="56"/>
        <v>57496.872180236605</v>
      </c>
      <c r="DS35" s="642">
        <f t="shared" si="57"/>
        <v>4362.5121093001007</v>
      </c>
      <c r="DT35" s="637">
        <f t="shared" si="58"/>
        <v>5.7496872180236602</v>
      </c>
      <c r="DU35" s="637">
        <f t="shared" si="59"/>
        <v>0.43625121093001007</v>
      </c>
      <c r="DV35" s="639">
        <f t="shared" si="60"/>
        <v>745.6091771511667</v>
      </c>
      <c r="DW35" s="639">
        <f t="shared" si="61"/>
        <v>7.5046146221219603</v>
      </c>
      <c r="DX35" s="639">
        <f t="shared" si="62"/>
        <v>0.25295045445854186</v>
      </c>
      <c r="DY35" s="639">
        <f t="shared" si="63"/>
        <v>8.2774576688754015E-3</v>
      </c>
      <c r="DZ35" s="639">
        <f t="shared" si="64"/>
        <v>822.27318678276754</v>
      </c>
      <c r="EA35" s="639">
        <f t="shared" si="65"/>
        <v>9.2412249380644198</v>
      </c>
      <c r="EB35" s="639">
        <f t="shared" si="66"/>
        <v>0.24675480922046927</v>
      </c>
      <c r="EC35" s="639">
        <f t="shared" si="67"/>
        <v>8.5297204233204544E-3</v>
      </c>
      <c r="ED35" s="641">
        <f t="shared" si="68"/>
        <v>5.3903352203277526E-4</v>
      </c>
      <c r="EE35" s="641">
        <f t="shared" si="69"/>
        <v>1.7364531658154054E-5</v>
      </c>
      <c r="EF35" s="637">
        <f t="shared" si="70"/>
        <v>10.752733393063952</v>
      </c>
      <c r="EG35" s="637">
        <f t="shared" si="71"/>
        <v>6.347523999942975E-2</v>
      </c>
      <c r="EH35" s="641">
        <f t="shared" si="72"/>
        <v>7.2294378684060938E-7</v>
      </c>
      <c r="EI35" s="641">
        <f t="shared" si="73"/>
        <v>7.730259942766201E-9</v>
      </c>
      <c r="EJ35" s="642">
        <f t="shared" si="74"/>
        <v>93.575681299344026</v>
      </c>
      <c r="EK35" s="642">
        <f t="shared" si="75"/>
        <v>0.54011648928891387</v>
      </c>
      <c r="EL35" s="642">
        <f t="shared" si="76"/>
        <v>0.56436685948336163</v>
      </c>
      <c r="EM35" s="639">
        <f t="shared" si="77"/>
        <v>93.575681299344026</v>
      </c>
      <c r="EN35" s="639">
        <f t="shared" si="78"/>
        <v>0.54011648928891387</v>
      </c>
      <c r="EO35" s="639">
        <f t="shared" si="79"/>
        <v>0.56436685948336163</v>
      </c>
      <c r="EP35" s="649">
        <f>CL35/$CL$17</f>
        <v>777.84867101864711</v>
      </c>
      <c r="EQ35" s="642">
        <f t="shared" si="315"/>
        <v>93.575681299344026</v>
      </c>
      <c r="ER35" s="642">
        <f t="shared" si="315"/>
        <v>0.54011648928891387</v>
      </c>
      <c r="ES35" s="637">
        <f t="shared" si="81"/>
        <v>233.17825877804904</v>
      </c>
      <c r="ET35" s="637">
        <f t="shared" si="82"/>
        <v>8.4960657306066167</v>
      </c>
      <c r="EU35" s="642">
        <f t="shared" si="83"/>
        <v>2802.8036496992354</v>
      </c>
      <c r="EV35" s="642">
        <f t="shared" si="84"/>
        <v>102.12274575947953</v>
      </c>
      <c r="EW35" s="641">
        <f t="shared" si="85"/>
        <v>8.3194646475885328E-2</v>
      </c>
      <c r="EX35" s="641">
        <f t="shared" si="86"/>
        <v>3.2036555296468974E-4</v>
      </c>
      <c r="EY35" s="641">
        <f t="shared" si="87"/>
        <v>3.5678560647917968E-4</v>
      </c>
      <c r="EZ35" s="641">
        <f t="shared" si="88"/>
        <v>1.2999813877445487E-5</v>
      </c>
      <c r="FA35" s="632">
        <v>0.93391500000000005</v>
      </c>
      <c r="FB35" s="632">
        <v>1.3517E-2</v>
      </c>
      <c r="FC35" s="632">
        <v>0.28928300000000001</v>
      </c>
      <c r="FD35" s="632">
        <v>4.0169999999999997E-3</v>
      </c>
      <c r="FE35" s="632">
        <v>0.194102</v>
      </c>
      <c r="FF35" s="632">
        <v>2.4399999999999999E-3</v>
      </c>
      <c r="FG35" s="631"/>
      <c r="FH35" s="631"/>
      <c r="FI35" s="632">
        <v>1.9897000000000001E-2</v>
      </c>
      <c r="FJ35" s="632">
        <v>1.854E-3</v>
      </c>
      <c r="FK35" s="632">
        <v>8.7159999999999998E-3</v>
      </c>
      <c r="FL35" s="632">
        <v>8.3100000000000003E-4</v>
      </c>
      <c r="FM35" s="632">
        <v>7.0260000000000001E-3</v>
      </c>
      <c r="FN35" s="632">
        <v>5.4900000000000001E-4</v>
      </c>
      <c r="FO35" s="631"/>
      <c r="FP35" s="631"/>
      <c r="FQ35" s="647">
        <f t="shared" si="89"/>
        <v>0.914018</v>
      </c>
      <c r="FR35" s="647">
        <f t="shared" si="90"/>
        <v>1.3643555438374559E-2</v>
      </c>
      <c r="FS35" s="647">
        <f t="shared" si="91"/>
        <v>0.28056700000000001</v>
      </c>
      <c r="FT35" s="647">
        <f t="shared" si="92"/>
        <v>5.6808958800527226E-3</v>
      </c>
      <c r="FU35" s="647">
        <f t="shared" si="93"/>
        <v>0.18707599999999999</v>
      </c>
      <c r="FV35" s="647">
        <f t="shared" si="94"/>
        <v>2.5009999999999998E-3</v>
      </c>
      <c r="FW35" s="647">
        <f t="shared" si="95"/>
        <v>0</v>
      </c>
      <c r="FX35" s="647">
        <f t="shared" si="96"/>
        <v>0</v>
      </c>
      <c r="FY35" s="647">
        <f t="shared" si="97"/>
        <v>0.14755135110808992</v>
      </c>
      <c r="FZ35" s="647">
        <f t="shared" si="98"/>
        <v>1.3310096208886391E-2</v>
      </c>
      <c r="GA35" s="647">
        <f t="shared" si="99"/>
        <v>0.90817496649611962</v>
      </c>
      <c r="GB35" s="647">
        <f t="shared" si="100"/>
        <v>1.3653732754304758E-2</v>
      </c>
      <c r="GC35" s="647">
        <f t="shared" si="101"/>
        <v>0.25073211680594421</v>
      </c>
      <c r="GD35" s="647">
        <f t="shared" si="102"/>
        <v>6.2861499754039577E-3</v>
      </c>
      <c r="GE35" s="647">
        <f t="shared" si="103"/>
        <v>-4.5032672358189051E-2</v>
      </c>
      <c r="GF35" s="647">
        <f t="shared" si="104"/>
        <v>4.062241362952127E-3</v>
      </c>
      <c r="GG35" s="643">
        <v>1.7782159136499011E-12</v>
      </c>
      <c r="GH35" s="643">
        <v>7.5535622364420377E-15</v>
      </c>
      <c r="GI35" s="635">
        <v>1</v>
      </c>
      <c r="GJ35" s="635">
        <v>5.0000000000000001E-3</v>
      </c>
      <c r="GK35" s="641">
        <f t="shared" si="105"/>
        <v>1.6149311778018656E-12</v>
      </c>
      <c r="GL35" s="641">
        <f t="shared" si="106"/>
        <v>2.6490427315792375E-14</v>
      </c>
      <c r="GM35" s="641">
        <f t="shared" si="107"/>
        <v>4.4585584016745583E-13</v>
      </c>
      <c r="GN35" s="641">
        <f t="shared" si="108"/>
        <v>1.1554533934444516E-14</v>
      </c>
      <c r="GO35" s="641">
        <f t="shared" si="109"/>
        <v>2.6237816062094947E-13</v>
      </c>
      <c r="GP35" s="641">
        <f t="shared" si="110"/>
        <v>2.3730742142122186E-14</v>
      </c>
      <c r="GQ35" s="641">
        <f t="shared" si="111"/>
        <v>-8.0077814621513796E-14</v>
      </c>
      <c r="GR35" s="641">
        <f t="shared" si="112"/>
        <v>-7.2426225017756932E-15</v>
      </c>
      <c r="GS35" s="641">
        <f t="shared" si="113"/>
        <v>7.2050232698791299E-17</v>
      </c>
      <c r="GT35" s="641">
        <f t="shared" si="114"/>
        <v>1.1818716982009489E-18</v>
      </c>
      <c r="GU35" s="641">
        <f t="shared" si="115"/>
        <v>1.9891879899120728E-17</v>
      </c>
      <c r="GV35" s="641">
        <f t="shared" si="116"/>
        <v>5.1550609112919138E-19</v>
      </c>
      <c r="GW35" s="641">
        <f t="shared" si="117"/>
        <v>1.1706014341460446E-17</v>
      </c>
      <c r="GX35" s="641">
        <f t="shared" si="118"/>
        <v>1.0587482098260951E-18</v>
      </c>
      <c r="GY35" s="637">
        <f t="shared" si="119"/>
        <v>3.6220926862712508</v>
      </c>
      <c r="GZ35" s="637">
        <f t="shared" si="120"/>
        <v>6.0086389649816836E-2</v>
      </c>
      <c r="HA35" s="638">
        <v>26.169770272470501</v>
      </c>
      <c r="HB35" s="638">
        <v>0.31897682079735301</v>
      </c>
      <c r="HC35" s="650">
        <f t="shared" si="121"/>
        <v>788.32959423063107</v>
      </c>
      <c r="HD35" s="650">
        <f t="shared" si="122"/>
        <v>16.240075435518474</v>
      </c>
      <c r="HE35" s="651">
        <f t="shared" si="123"/>
        <v>9.2035768508479902E-13</v>
      </c>
      <c r="HF35" s="652">
        <f t="shared" si="124"/>
        <v>3.5035092676173351E-14</v>
      </c>
      <c r="HG35" s="653">
        <f t="shared" si="125"/>
        <v>21.886982282445167</v>
      </c>
      <c r="HH35" s="653">
        <f t="shared" si="126"/>
        <v>0.84032417296626483</v>
      </c>
      <c r="HI35" s="638">
        <v>7.5091582159801398</v>
      </c>
      <c r="HJ35" s="638">
        <v>0.114829942558394</v>
      </c>
      <c r="HK35" s="650">
        <f t="shared" si="127"/>
        <v>819.32976885513199</v>
      </c>
      <c r="HL35" s="650">
        <f t="shared" si="128"/>
        <v>24.745927196859736</v>
      </c>
      <c r="HM35" s="651">
        <f t="shared" si="129"/>
        <v>8.8553501655842822E-13</v>
      </c>
      <c r="HN35" s="652">
        <f t="shared" si="130"/>
        <v>3.3709504332831974E-14</v>
      </c>
      <c r="HO35" s="653">
        <f t="shared" si="131"/>
        <v>21.058866060441858</v>
      </c>
      <c r="HP35" s="653">
        <f t="shared" si="132"/>
        <v>0.93276691903753772</v>
      </c>
      <c r="HQ35" s="635">
        <v>1.11613116912226</v>
      </c>
      <c r="HR35" s="635">
        <v>3.5153924948669403E-2</v>
      </c>
      <c r="HS35" s="635">
        <f t="shared" si="133"/>
        <v>26.117965329051721</v>
      </c>
      <c r="HT35" s="635">
        <f t="shared" si="134"/>
        <v>2.5249029153435867</v>
      </c>
      <c r="HU35" s="635">
        <v>1.11613116912226</v>
      </c>
      <c r="HV35" s="635">
        <v>3.5153924948669403E-2</v>
      </c>
      <c r="HW35" s="635">
        <f t="shared" si="135"/>
        <v>31.365504894845539</v>
      </c>
      <c r="HX35" s="635">
        <f t="shared" si="136"/>
        <v>3.1190671822045122</v>
      </c>
      <c r="HY35" s="643">
        <v>0.24249200000000001</v>
      </c>
      <c r="HZ35" s="643">
        <v>4.1089999999999998E-3</v>
      </c>
      <c r="IA35" s="643">
        <v>1.6257000000000001E-2</v>
      </c>
      <c r="IB35" s="643">
        <v>7.9000000000000001E-4</v>
      </c>
      <c r="IC35" s="643">
        <v>3.1080000000000001E-3</v>
      </c>
      <c r="ID35" s="643">
        <v>1.94E-4</v>
      </c>
      <c r="IE35" s="643">
        <v>13.262943999999999</v>
      </c>
      <c r="IF35" s="643">
        <v>0.157582</v>
      </c>
      <c r="IG35" s="643">
        <v>0.19267200000000001</v>
      </c>
      <c r="IH35" s="643">
        <v>3.6440000000000001E-3</v>
      </c>
      <c r="II35" s="643">
        <v>0.312886</v>
      </c>
      <c r="IJ35" s="643">
        <v>3.8289999999999999E-3</v>
      </c>
      <c r="IK35" s="643">
        <v>0.43451499999999998</v>
      </c>
      <c r="IL35" s="643">
        <v>5.7970000000000001E-3</v>
      </c>
      <c r="IM35" s="643">
        <v>1.6800000000000001E-3</v>
      </c>
      <c r="IN35" s="643">
        <v>3.7399999999999998E-4</v>
      </c>
      <c r="IO35" s="643">
        <v>9.7000000000000005E-4</v>
      </c>
      <c r="IP35" s="643">
        <v>2.1699999999999999E-4</v>
      </c>
      <c r="IQ35" s="643">
        <v>1.9900000000000001E-4</v>
      </c>
      <c r="IR35" s="643">
        <v>6.9999999999999994E-5</v>
      </c>
      <c r="IS35" s="643">
        <v>2.0890000000000001E-3</v>
      </c>
      <c r="IT35" s="643">
        <v>6.7199999999999996E-4</v>
      </c>
      <c r="IU35" s="643">
        <v>8.9099999999999997E-4</v>
      </c>
      <c r="IV35" s="643">
        <v>1.76E-4</v>
      </c>
      <c r="IW35" s="643">
        <v>5.0100000000000003E-4</v>
      </c>
      <c r="IX35" s="643">
        <v>1.8699999999999999E-4</v>
      </c>
      <c r="IY35" s="643">
        <v>1.46E-4</v>
      </c>
      <c r="IZ35" s="643">
        <v>1.56E-4</v>
      </c>
      <c r="JA35" s="641">
        <f t="shared" si="137"/>
        <v>0.24081200000000003</v>
      </c>
      <c r="JB35" s="641">
        <f t="shared" si="138"/>
        <v>4.1259855792283133E-3</v>
      </c>
      <c r="JC35" s="641">
        <f t="shared" si="139"/>
        <v>1.5287E-2</v>
      </c>
      <c r="JD35" s="641">
        <f t="shared" si="140"/>
        <v>8.1926125259284654E-4</v>
      </c>
      <c r="JE35" s="641">
        <f t="shared" si="141"/>
        <v>2.9090000000000001E-3</v>
      </c>
      <c r="JF35" s="641">
        <f t="shared" si="142"/>
        <v>2.062425756239482E-4</v>
      </c>
      <c r="JG35" s="641">
        <f t="shared" si="143"/>
        <v>13.260854999999999</v>
      </c>
      <c r="JH35" s="641">
        <f t="shared" si="144"/>
        <v>0.15758343284749193</v>
      </c>
      <c r="JI35" s="641">
        <f t="shared" si="145"/>
        <v>0.19178100000000001</v>
      </c>
      <c r="JJ35" s="641">
        <f t="shared" si="146"/>
        <v>3.6482477986014054E-3</v>
      </c>
      <c r="JK35" s="641">
        <f t="shared" si="147"/>
        <v>0.31238500000000002</v>
      </c>
      <c r="JL35" s="641">
        <f t="shared" si="148"/>
        <v>3.8335636162714192E-3</v>
      </c>
      <c r="JM35" s="641">
        <f t="shared" si="149"/>
        <v>0.43436900000000001</v>
      </c>
      <c r="JN35" s="641">
        <f t="shared" si="150"/>
        <v>5.799098636857283E-3</v>
      </c>
      <c r="JO35" s="641">
        <f t="shared" si="316"/>
        <v>0.23944012021076502</v>
      </c>
      <c r="JP35" s="641">
        <f t="shared" si="317"/>
        <v>4.127131839649194E-3</v>
      </c>
      <c r="JQ35" s="641">
        <f t="shared" si="318"/>
        <v>-3.6003645965020006E-3</v>
      </c>
      <c r="JR35" s="641">
        <f t="shared" si="319"/>
        <v>1.5698151624356886E-3</v>
      </c>
      <c r="JS35" s="641">
        <f t="shared" si="320"/>
        <v>13.245695151915694</v>
      </c>
      <c r="JT35" s="641">
        <f t="shared" si="321"/>
        <v>0.15758709817933547</v>
      </c>
      <c r="JU35" s="641">
        <f t="shared" si="322"/>
        <v>0.172566997358165</v>
      </c>
      <c r="JV35" s="641">
        <f t="shared" si="323"/>
        <v>3.8942778192466313E-3</v>
      </c>
      <c r="JW35" s="641">
        <f t="shared" si="324"/>
        <v>0.30489730317020203</v>
      </c>
      <c r="JX35" s="641">
        <f t="shared" si="325"/>
        <v>3.8701454805168114E-3</v>
      </c>
      <c r="JY35" s="641">
        <f t="shared" si="326"/>
        <v>0.42803990752995702</v>
      </c>
      <c r="JZ35" s="641">
        <f t="shared" si="327"/>
        <v>5.8164332034219566E-3</v>
      </c>
      <c r="KA35" s="643">
        <v>1.7696448643015688E-12</v>
      </c>
      <c r="KB35" s="643">
        <v>3.8892524257744769E-14</v>
      </c>
      <c r="KC35" s="631">
        <v>1</v>
      </c>
      <c r="KD35" s="631">
        <v>0</v>
      </c>
      <c r="KE35" s="641">
        <f t="shared" si="163"/>
        <v>4.237239790387306E-13</v>
      </c>
      <c r="KF35" s="641">
        <f t="shared" si="164"/>
        <v>1.1834835013323309E-14</v>
      </c>
      <c r="KG35" s="641">
        <f t="shared" si="165"/>
        <v>1.8904465843153058E-17</v>
      </c>
      <c r="KH35" s="641">
        <f t="shared" si="166"/>
        <v>5.2801173732136123E-19</v>
      </c>
      <c r="KI35" s="635">
        <v>1.2430056234832578</v>
      </c>
      <c r="KJ35" s="635">
        <v>0.11113867994607306</v>
      </c>
      <c r="KK35" s="641">
        <f t="shared" si="167"/>
        <v>2.2619979367955471E-13</v>
      </c>
      <c r="KL35" s="641">
        <f t="shared" si="260"/>
        <v>2.9365275105043643E-14</v>
      </c>
      <c r="KM35" s="573">
        <f t="shared" si="168"/>
        <v>8.5433844395854326</v>
      </c>
      <c r="KN35" s="573">
        <f t="shared" si="328"/>
        <v>1.1141028436217681</v>
      </c>
      <c r="KO35" s="638">
        <v>20.162258156415799</v>
      </c>
      <c r="KP35" s="638">
        <v>0.66285498057307002</v>
      </c>
      <c r="KQ35" s="652">
        <f t="shared" si="170"/>
        <v>2314.8244904921498</v>
      </c>
      <c r="KR35" s="652">
        <f t="shared" si="171"/>
        <v>100.0393823447957</v>
      </c>
      <c r="KS35" s="654">
        <f t="shared" si="172"/>
        <v>7.4537641763003126</v>
      </c>
      <c r="KT35" s="654">
        <f t="shared" si="173"/>
        <v>0.40259934103703621</v>
      </c>
      <c r="KU35" s="637">
        <f t="shared" si="174"/>
        <v>13.134845650843381</v>
      </c>
      <c r="KV35" s="637">
        <f t="shared" si="175"/>
        <v>0.15765801639229388</v>
      </c>
      <c r="KW35" s="641">
        <f t="shared" si="176"/>
        <v>2.3244012149408785E-11</v>
      </c>
      <c r="KX35" s="641">
        <f t="shared" si="177"/>
        <v>5.8206979060853004E-13</v>
      </c>
      <c r="KY35" s="641">
        <f t="shared" si="178"/>
        <v>1.0370327276100845E-15</v>
      </c>
      <c r="KZ35" s="641">
        <f t="shared" si="179"/>
        <v>2.5969071901016559E-17</v>
      </c>
      <c r="LA35" s="635">
        <v>1.2485542932379501</v>
      </c>
      <c r="LB35" s="635">
        <v>5.9627651953476503E-2</v>
      </c>
      <c r="LC35" s="641">
        <f t="shared" si="180"/>
        <v>8.7118647656482219E-9</v>
      </c>
      <c r="LD35" s="641">
        <f t="shared" si="181"/>
        <v>9.892412648913996E-10</v>
      </c>
      <c r="LE35" s="647">
        <f t="shared" si="182"/>
        <v>356.0637656762421</v>
      </c>
      <c r="LF35" s="647">
        <f t="shared" si="183"/>
        <v>40.436409280875708</v>
      </c>
      <c r="LG35" s="655"/>
      <c r="LH35" s="655"/>
      <c r="LI35" s="656"/>
      <c r="LJ35" s="656"/>
      <c r="LK35" s="656"/>
      <c r="LL35" s="656"/>
      <c r="LM35" s="641">
        <f t="shared" si="184"/>
        <v>5.3955994669454643E-13</v>
      </c>
      <c r="LN35" s="641">
        <f t="shared" si="185"/>
        <v>1.3693916450665472E-14</v>
      </c>
      <c r="LO35" s="641">
        <f t="shared" si="186"/>
        <v>2.407249314933908E-17</v>
      </c>
      <c r="LP35" s="641">
        <f t="shared" si="187"/>
        <v>6.1095474571792598E-19</v>
      </c>
      <c r="LQ35" s="641">
        <f t="shared" si="188"/>
        <v>6.1276567808762793E-12</v>
      </c>
      <c r="LR35" s="641">
        <f t="shared" si="189"/>
        <v>5.7091663814428396E-13</v>
      </c>
      <c r="LS35" s="637">
        <f t="shared" si="190"/>
        <v>434.09507869228861</v>
      </c>
      <c r="LT35" s="637">
        <f t="shared" si="191"/>
        <v>40.503038288528415</v>
      </c>
      <c r="LW35" s="658" t="str">
        <f t="shared" si="192"/>
        <v>113z1</v>
      </c>
      <c r="LX35" s="658" t="str">
        <f t="shared" si="193"/>
        <v>MN2022a</v>
      </c>
      <c r="LY35" s="659">
        <f t="shared" si="194"/>
        <v>14187.629725607991</v>
      </c>
      <c r="LZ35" s="659">
        <f t="shared" si="195"/>
        <v>159.43142378759188</v>
      </c>
      <c r="MA35" s="659">
        <f t="shared" si="196"/>
        <v>17.254155861653011</v>
      </c>
      <c r="MB35" s="659">
        <f t="shared" si="197"/>
        <v>0.55901804024131607</v>
      </c>
      <c r="MC35" s="659">
        <f t="shared" si="198"/>
        <v>57496.872180236605</v>
      </c>
      <c r="MD35" s="659">
        <f t="shared" si="199"/>
        <v>4362.5121093001007</v>
      </c>
      <c r="ME35" s="659">
        <f t="shared" si="200"/>
        <v>26.117965329051721</v>
      </c>
      <c r="MF35" s="659">
        <f t="shared" si="201"/>
        <v>2.5249029153435867</v>
      </c>
      <c r="MG35" s="659">
        <f t="shared" si="202"/>
        <v>31.365504894845539</v>
      </c>
      <c r="MH35" s="659">
        <f t="shared" si="203"/>
        <v>3.1190671822045122</v>
      </c>
      <c r="MI35" s="659">
        <f t="shared" si="204"/>
        <v>21.886982282445167</v>
      </c>
      <c r="MJ35" s="659">
        <f t="shared" si="205"/>
        <v>0.84032417296626483</v>
      </c>
      <c r="MK35" s="659">
        <f t="shared" si="206"/>
        <v>21.058866060441858</v>
      </c>
      <c r="ML35" s="659">
        <f t="shared" si="207"/>
        <v>0.93276691903753772</v>
      </c>
      <c r="MM35" s="659">
        <f t="shared" si="261"/>
        <v>8.5433844395854326</v>
      </c>
      <c r="MN35" s="659">
        <f t="shared" si="208"/>
        <v>1.1141028436217681</v>
      </c>
      <c r="MO35" s="659">
        <f t="shared" si="209"/>
        <v>7.4537641763003126</v>
      </c>
      <c r="MP35" s="659">
        <f t="shared" si="210"/>
        <v>0.40259934103703621</v>
      </c>
      <c r="MQ35" s="660"/>
      <c r="MR35" s="660"/>
      <c r="MS35" s="660"/>
      <c r="MT35" s="660"/>
      <c r="MU35" s="661">
        <f t="shared" si="273"/>
        <v>822.27318678276754</v>
      </c>
      <c r="MV35" s="661">
        <f t="shared" si="274"/>
        <v>9.2412249380644198</v>
      </c>
      <c r="MW35" s="662">
        <f t="shared" si="211"/>
        <v>1.268504959497237E-3</v>
      </c>
      <c r="MX35" s="662">
        <f t="shared" si="212"/>
        <v>6.3726192498062174E-5</v>
      </c>
      <c r="MY35" s="662">
        <f t="shared" si="213"/>
        <v>1.2205097849640233E-3</v>
      </c>
      <c r="MZ35" s="662">
        <f t="shared" si="214"/>
        <v>6.6979138215669253E-5</v>
      </c>
      <c r="NA35" s="663">
        <f t="shared" si="295"/>
        <v>4.9514937201726114E-4</v>
      </c>
      <c r="NB35" s="663">
        <f t="shared" si="296"/>
        <v>6.6533129168973093E-5</v>
      </c>
      <c r="NC35" s="661">
        <f t="shared" si="275"/>
        <v>745.6091771511667</v>
      </c>
      <c r="ND35" s="661">
        <f t="shared" si="276"/>
        <v>7.5046146221219603</v>
      </c>
      <c r="NE35" s="662">
        <f t="shared" si="217"/>
        <v>5.6282922418221309E-4</v>
      </c>
      <c r="NF35" s="662">
        <f t="shared" si="218"/>
        <v>2.7993501620383958E-5</v>
      </c>
      <c r="NG35" s="663">
        <f t="shared" si="219"/>
        <v>5.4153400838918603E-4</v>
      </c>
      <c r="NH35" s="663">
        <f t="shared" si="220"/>
        <v>2.6934339032167795E-5</v>
      </c>
      <c r="NI35" s="662">
        <f t="shared" si="221"/>
        <v>1.3832870257547242E-4</v>
      </c>
      <c r="NJ35" s="662">
        <f t="shared" si="221"/>
        <v>1.8587202077496585E-5</v>
      </c>
      <c r="NK35" s="664">
        <f t="shared" si="329"/>
        <v>2.0978887669030525E-9</v>
      </c>
      <c r="NL35" s="664">
        <f t="shared" si="330"/>
        <v>7.7145199091259826E-11</v>
      </c>
      <c r="NM35" s="664">
        <f t="shared" si="331"/>
        <v>4.8918204977648221E-7</v>
      </c>
      <c r="NN35" s="664">
        <f t="shared" si="332"/>
        <v>3.0740404220710449E-9</v>
      </c>
      <c r="NO35" s="664">
        <f t="shared" si="333"/>
        <v>5.8799702925389042E-6</v>
      </c>
      <c r="NP35" s="664">
        <f t="shared" si="334"/>
        <v>3.6273674209811887E-8</v>
      </c>
      <c r="NQ35" s="664">
        <f t="shared" si="335"/>
        <v>5.260044161919052E-6</v>
      </c>
      <c r="NR35" s="664">
        <f t="shared" si="336"/>
        <v>4.0085426333929446E-8</v>
      </c>
      <c r="NS35" s="664">
        <f t="shared" si="337"/>
        <v>4.7998825325966675E-7</v>
      </c>
      <c r="NT35" s="664">
        <f t="shared" si="338"/>
        <v>3.1100238696083712E-8</v>
      </c>
      <c r="NU35" s="664">
        <f t="shared" si="339"/>
        <v>7.8088738280044485E-11</v>
      </c>
      <c r="NV35" s="664">
        <f t="shared" si="340"/>
        <v>7.0735049617029805E-12</v>
      </c>
      <c r="NW35" s="664">
        <f t="shared" si="341"/>
        <v>1.5321121756706141E-12</v>
      </c>
      <c r="NX35" s="664">
        <f t="shared" si="342"/>
        <v>1.1398085748025087E-13</v>
      </c>
      <c r="NY35" s="664">
        <f t="shared" si="343"/>
        <v>1.0100722075018427E-10</v>
      </c>
      <c r="NZ35" s="664">
        <f t="shared" si="344"/>
        <v>2.9790939571761713E-12</v>
      </c>
      <c r="OA35" s="665">
        <f t="shared" si="262"/>
        <v>2802.8036496992354</v>
      </c>
      <c r="OB35" s="665">
        <f t="shared" si="238"/>
        <v>102.12274575947953</v>
      </c>
      <c r="OC35" s="665">
        <f t="shared" si="239"/>
        <v>228.79585459062994</v>
      </c>
      <c r="OD35" s="665">
        <f t="shared" si="263"/>
        <v>17.045624732683184</v>
      </c>
      <c r="OE35" s="664">
        <f t="shared" si="264"/>
        <v>3.722253510862767E-2</v>
      </c>
      <c r="OF35" s="664">
        <f t="shared" si="265"/>
        <v>3.629435845154733E-3</v>
      </c>
      <c r="OG35" s="664">
        <f t="shared" si="266"/>
        <v>7.3031144445868327E-4</v>
      </c>
      <c r="OH35" s="664">
        <f t="shared" si="267"/>
        <v>6.060613639996597E-5</v>
      </c>
      <c r="OI35" s="664">
        <f t="shared" si="268"/>
        <v>4.8147081172131567E-2</v>
      </c>
      <c r="OJ35" s="664">
        <f t="shared" si="269"/>
        <v>2.2696258708661296E-3</v>
      </c>
      <c r="OK35" s="664">
        <f t="shared" si="240"/>
        <v>8.3194646475885328E-2</v>
      </c>
      <c r="OL35" s="664">
        <f t="shared" si="241"/>
        <v>3.2036555296468974E-4</v>
      </c>
      <c r="OM35" s="664">
        <f t="shared" si="242"/>
        <v>3.5678560647917968E-4</v>
      </c>
      <c r="ON35" s="664">
        <f t="shared" si="243"/>
        <v>1.2999813877445487E-5</v>
      </c>
      <c r="OO35" s="664">
        <f t="shared" si="244"/>
        <v>233.17825877804904</v>
      </c>
      <c r="OP35" s="664">
        <f t="shared" si="245"/>
        <v>8.4960657306066167</v>
      </c>
      <c r="OQ35" s="664">
        <f t="shared" si="246"/>
        <v>4.9567737726536609E-3</v>
      </c>
      <c r="OR35" s="664">
        <f t="shared" si="247"/>
        <v>8.8661670256104846E-6</v>
      </c>
    </row>
    <row r="36" spans="2:408">
      <c r="B36" s="245" t="s">
        <v>948</v>
      </c>
      <c r="C36" s="5">
        <v>2.7899999999999999E-3</v>
      </c>
      <c r="D36" s="66">
        <f t="shared" si="308"/>
        <v>1.395E-5</v>
      </c>
      <c r="E36" s="67">
        <v>45108</v>
      </c>
      <c r="F36" s="5" t="s">
        <v>210</v>
      </c>
      <c r="G36" s="5" t="s">
        <v>893</v>
      </c>
      <c r="H36" s="5">
        <v>2</v>
      </c>
      <c r="J36" s="327">
        <v>44644</v>
      </c>
      <c r="K36" s="67" t="s">
        <v>823</v>
      </c>
      <c r="L36" s="5" t="s">
        <v>949</v>
      </c>
      <c r="M36" s="5" t="s">
        <v>951</v>
      </c>
      <c r="N36" s="5">
        <v>180</v>
      </c>
      <c r="O36" s="6">
        <v>6255.7015389999997</v>
      </c>
      <c r="P36" s="6">
        <v>14.939939000000001</v>
      </c>
      <c r="Q36" s="6">
        <v>493.03670399999999</v>
      </c>
      <c r="R36" s="6">
        <v>1.3456410000000001</v>
      </c>
      <c r="S36" s="6">
        <v>23.468136999999999</v>
      </c>
      <c r="T36" s="6">
        <v>9.2141000000000001E-2</v>
      </c>
      <c r="U36" s="6">
        <v>0.163717</v>
      </c>
      <c r="V36" s="6">
        <v>3.7929999999999998E-2</v>
      </c>
      <c r="W36" s="6">
        <v>3.2075520000000002</v>
      </c>
      <c r="X36" s="6">
        <v>0.120874</v>
      </c>
      <c r="Y36" s="4">
        <v>100.932299</v>
      </c>
      <c r="Z36" s="4">
        <v>0.58792999999999995</v>
      </c>
      <c r="AA36" s="4">
        <v>-4.5522E-2</v>
      </c>
      <c r="AB36" s="4">
        <v>0.19354399999999999</v>
      </c>
      <c r="AC36" s="4">
        <v>-2.1506000000000001E-2</v>
      </c>
      <c r="AD36" s="4">
        <v>9.9971000000000004E-2</v>
      </c>
      <c r="AE36" s="4">
        <v>-2.0348999999999999E-2</v>
      </c>
      <c r="AF36" s="4">
        <v>7.0857000000000003E-2</v>
      </c>
      <c r="AG36" s="4">
        <v>0.523455</v>
      </c>
      <c r="AH36" s="4">
        <v>6.1580000000000003E-2</v>
      </c>
      <c r="AI36" s="147">
        <f t="shared" si="1"/>
        <v>6154.7692399999996</v>
      </c>
      <c r="AJ36" s="147">
        <f t="shared" si="2"/>
        <v>14.951502901334736</v>
      </c>
      <c r="AK36" s="147">
        <f t="shared" si="3"/>
        <v>493.08222599999999</v>
      </c>
      <c r="AL36" s="147">
        <f t="shared" si="4"/>
        <v>1.3594884997001631</v>
      </c>
      <c r="AM36" s="147">
        <f t="shared" si="5"/>
        <v>23.489642999999997</v>
      </c>
      <c r="AN36" s="147">
        <f t="shared" si="6"/>
        <v>0.13595648098564481</v>
      </c>
      <c r="AO36" s="147">
        <f t="shared" si="7"/>
        <v>0.18406600000000001</v>
      </c>
      <c r="AP36" s="147">
        <f t="shared" si="8"/>
        <v>8.0370388508455029E-2</v>
      </c>
      <c r="AQ36" s="147">
        <f t="shared" si="9"/>
        <v>2.6840970000000004</v>
      </c>
      <c r="AR36" s="147">
        <f t="shared" si="10"/>
        <v>0.13565625778415089</v>
      </c>
      <c r="AS36" s="4">
        <v>304.12046242532097</v>
      </c>
      <c r="AT36" s="4">
        <v>0.91447361557367624</v>
      </c>
      <c r="AU36" s="133">
        <f t="shared" si="11"/>
        <v>496.67833158530169</v>
      </c>
      <c r="AV36" s="133">
        <f t="shared" si="12"/>
        <v>1.3595728909241083</v>
      </c>
      <c r="AW36" s="133">
        <f t="shared" si="13"/>
        <v>23.832268355102709</v>
      </c>
      <c r="AX36" s="133">
        <f t="shared" si="14"/>
        <v>0.13596119130719572</v>
      </c>
      <c r="AY36" s="133">
        <f t="shared" si="15"/>
        <v>0.18809324374817038</v>
      </c>
      <c r="AZ36" s="133">
        <f t="shared" si="16"/>
        <v>8.0374188499336308E-2</v>
      </c>
      <c r="BA36" s="133">
        <f t="shared" si="17"/>
        <v>2.7623987168677386</v>
      </c>
      <c r="BB36" s="133">
        <f t="shared" si="18"/>
        <v>0.13565987980703867</v>
      </c>
      <c r="BC36" s="6"/>
      <c r="BD36" s="8"/>
      <c r="BE36" s="147">
        <v>6.4870000000000001</v>
      </c>
      <c r="BF36" s="147">
        <f t="shared" si="249"/>
        <v>0.32435000000000003</v>
      </c>
      <c r="BG36" s="147">
        <f t="shared" si="250"/>
        <v>4.6361990035201357</v>
      </c>
      <c r="BH36" s="147">
        <f t="shared" si="251"/>
        <v>0.23180995017600681</v>
      </c>
      <c r="BI36" s="157">
        <f t="shared" si="309"/>
        <v>3.2272942165222502E-6</v>
      </c>
      <c r="BJ36" s="157">
        <f t="shared" si="252"/>
        <v>1.6136471082611253E-7</v>
      </c>
      <c r="BK36" s="133">
        <f t="shared" si="310"/>
        <v>1403.7257599206705</v>
      </c>
      <c r="BL36" s="133">
        <f t="shared" si="253"/>
        <v>70.186287996033528</v>
      </c>
      <c r="BM36" s="133"/>
      <c r="BN36" s="133"/>
      <c r="BO36" s="143">
        <f t="shared" si="254"/>
        <v>6090.0938818735713</v>
      </c>
      <c r="BP36" s="133">
        <f t="shared" si="255"/>
        <v>14.952551000036985</v>
      </c>
      <c r="BQ36" s="143">
        <f t="shared" si="271"/>
        <v>496.67833158530169</v>
      </c>
      <c r="BR36" s="133">
        <f t="shared" si="272"/>
        <v>1.3595728909241083</v>
      </c>
      <c r="BS36" s="143">
        <f t="shared" si="256"/>
        <v>23.832268355102709</v>
      </c>
      <c r="BT36" s="133">
        <f t="shared" si="257"/>
        <v>0.13596119130719572</v>
      </c>
      <c r="BU36" s="147">
        <f t="shared" si="258"/>
        <v>2.2727382570982577</v>
      </c>
      <c r="BV36" s="147">
        <f t="shared" si="21"/>
        <v>0.13785144686913636</v>
      </c>
      <c r="BX36" s="147">
        <f t="shared" si="311"/>
        <v>2.2517157219811277</v>
      </c>
      <c r="BY36" s="147">
        <f t="shared" si="312"/>
        <v>0.13785237614343201</v>
      </c>
      <c r="BZ36" s="143">
        <f t="shared" si="313"/>
        <v>23.4049923482686</v>
      </c>
      <c r="CA36" s="147">
        <f t="shared" si="314"/>
        <v>1.6889043907963808E-2</v>
      </c>
      <c r="CB36" s="143">
        <f t="shared" si="26"/>
        <v>5424.711886028148</v>
      </c>
      <c r="CC36" s="143">
        <f t="shared" si="27"/>
        <v>43.392968704534923</v>
      </c>
      <c r="CD36" s="3">
        <v>1.5903158759700325E-12</v>
      </c>
      <c r="CE36" s="3">
        <v>4.0102150310807229E-15</v>
      </c>
      <c r="CF36" s="157">
        <f t="shared" si="28"/>
        <v>3.5809392608379113E-12</v>
      </c>
      <c r="CG36" s="157">
        <f t="shared" si="29"/>
        <v>2.1941471004556142E-13</v>
      </c>
      <c r="CH36" s="157">
        <f t="shared" si="30"/>
        <v>2.2323673615099405E-9</v>
      </c>
      <c r="CI36" s="158">
        <f t="shared" si="31"/>
        <v>1.117602275361402E-10</v>
      </c>
      <c r="CJ36" s="157">
        <f t="shared" si="32"/>
        <v>3.7221330908408689E-11</v>
      </c>
      <c r="CK36" s="477">
        <f t="shared" si="33"/>
        <v>9.7626446011873637E-14</v>
      </c>
      <c r="CL36" s="157">
        <f t="shared" si="34"/>
        <v>7.8987543597041334E-10</v>
      </c>
      <c r="CM36" s="157">
        <f t="shared" si="35"/>
        <v>2.9397464597213386E-12</v>
      </c>
      <c r="CN36" s="157">
        <f t="shared" si="36"/>
        <v>9.6851729864915046E-9</v>
      </c>
      <c r="CO36" s="157">
        <f t="shared" si="37"/>
        <v>3.4086901141600018E-11</v>
      </c>
      <c r="CP36" s="157">
        <f t="shared" si="38"/>
        <v>1.660631480878244E-15</v>
      </c>
      <c r="CQ36" s="157">
        <f t="shared" si="39"/>
        <v>4.355608722758701E-18</v>
      </c>
      <c r="CR36" s="157">
        <f t="shared" si="40"/>
        <v>4.3210446178553819E-13</v>
      </c>
      <c r="CS36" s="157">
        <f t="shared" si="41"/>
        <v>1.5207887657013455E-15</v>
      </c>
      <c r="CT36" s="66">
        <v>4.9755434089029816E-3</v>
      </c>
      <c r="CU36" s="66">
        <v>8.5369180494969687E-6</v>
      </c>
      <c r="CV36" s="3">
        <v>1.1611559367069784E+19</v>
      </c>
      <c r="CW36" s="60">
        <v>1.040942599512031E+18</v>
      </c>
      <c r="CX36" s="3">
        <v>8.6527210079182822E+17</v>
      </c>
      <c r="CY36" s="3">
        <v>8.9278178143800032E+16</v>
      </c>
      <c r="CZ36" s="6">
        <v>0.49865169925804054</v>
      </c>
      <c r="DA36" s="6">
        <v>2.7936431740382541E-2</v>
      </c>
      <c r="DB36" s="4">
        <v>24.337069265073254</v>
      </c>
      <c r="DC36" s="4">
        <v>0.74264427477540718</v>
      </c>
      <c r="DD36" s="157">
        <f t="shared" si="42"/>
        <v>5.8371203148620923E-7</v>
      </c>
      <c r="DE36" s="157">
        <f t="shared" si="43"/>
        <v>5.8483484989761811E-9</v>
      </c>
      <c r="DF36" s="147">
        <f t="shared" si="44"/>
        <v>8179.9814052534966</v>
      </c>
      <c r="DG36" s="147">
        <f t="shared" si="45"/>
        <v>91.595736406283763</v>
      </c>
      <c r="DH36" s="159">
        <f t="shared" si="46"/>
        <v>0.81799814052534969</v>
      </c>
      <c r="DI36" s="167">
        <f t="shared" si="47"/>
        <v>9.1595736406283757E-3</v>
      </c>
      <c r="DJ36" s="157">
        <f t="shared" si="48"/>
        <v>1.2464318580720424E-9</v>
      </c>
      <c r="DK36" s="157">
        <f t="shared" si="49"/>
        <v>3.9897008021169643E-11</v>
      </c>
      <c r="DL36" s="147">
        <f t="shared" si="50"/>
        <v>15.838619592913306</v>
      </c>
      <c r="DM36" s="133">
        <f t="shared" si="51"/>
        <v>0.51312595840190922</v>
      </c>
      <c r="DN36" s="159">
        <f t="shared" si="52"/>
        <v>1.5838619592913306E-3</v>
      </c>
      <c r="DO36" s="167">
        <f t="shared" si="53"/>
        <v>5.131259584019092E-5</v>
      </c>
      <c r="DP36" s="157">
        <f t="shared" si="54"/>
        <v>3.2272942165222498E-6</v>
      </c>
      <c r="DQ36" s="157">
        <f t="shared" si="55"/>
        <v>2.4432948399276909E-7</v>
      </c>
      <c r="DR36" s="143">
        <f t="shared" si="56"/>
        <v>46361.99003520135</v>
      </c>
      <c r="DS36" s="143">
        <f t="shared" si="57"/>
        <v>3517.5870636852969</v>
      </c>
      <c r="DT36" s="147">
        <f t="shared" si="58"/>
        <v>4.6361990035201348</v>
      </c>
      <c r="DU36" s="147">
        <f t="shared" si="59"/>
        <v>0.35175870636852968</v>
      </c>
      <c r="DV36" s="133">
        <f t="shared" si="60"/>
        <v>468.30641218452496</v>
      </c>
      <c r="DW36" s="133">
        <f t="shared" si="61"/>
        <v>4.6930969579158504</v>
      </c>
      <c r="DX36" s="133">
        <f t="shared" si="62"/>
        <v>0.18086731246809612</v>
      </c>
      <c r="DY36" s="133">
        <f t="shared" si="63"/>
        <v>7.5437359210672886E-3</v>
      </c>
      <c r="DZ36" s="133">
        <f t="shared" si="64"/>
        <v>516.45797522111559</v>
      </c>
      <c r="EA36" s="133">
        <f t="shared" si="65"/>
        <v>5.7841126672556875</v>
      </c>
      <c r="EB36" s="133">
        <f t="shared" si="66"/>
        <v>0.17643723660357694</v>
      </c>
      <c r="EC36" s="133">
        <f t="shared" si="67"/>
        <v>7.7322580926345343E-3</v>
      </c>
      <c r="ED36" s="157">
        <f t="shared" si="68"/>
        <v>3.4667315263740877E-4</v>
      </c>
      <c r="EE36" s="157">
        <f t="shared" si="69"/>
        <v>1.1163529050638271E-5</v>
      </c>
      <c r="EF36" s="147">
        <f t="shared" si="70"/>
        <v>10.921982178512824</v>
      </c>
      <c r="EG36" s="147">
        <f t="shared" si="71"/>
        <v>9.2340201959045839E-2</v>
      </c>
      <c r="EH36" s="157">
        <f t="shared" si="72"/>
        <v>7.402699250268017E-7</v>
      </c>
      <c r="EI36" s="157">
        <f t="shared" si="73"/>
        <v>7.8612316233793694E-9</v>
      </c>
      <c r="EJ36" s="143">
        <f t="shared" si="74"/>
        <v>95.36082868988656</v>
      </c>
      <c r="EK36" s="143">
        <f t="shared" si="75"/>
        <v>0.78792541262106452</v>
      </c>
      <c r="EL36" s="143">
        <f t="shared" si="76"/>
        <v>0.80398718506514011</v>
      </c>
      <c r="EM36" s="133">
        <f t="shared" si="77"/>
        <v>95.36082868988656</v>
      </c>
      <c r="EN36" s="133">
        <f t="shared" si="78"/>
        <v>0.78792541262106452</v>
      </c>
      <c r="EO36" s="133">
        <f t="shared" si="79"/>
        <v>0.80398718506514011</v>
      </c>
      <c r="EP36" s="501">
        <f t="shared" ref="EP36:EP37" si="345">CL36/$CL$17</f>
        <v>373.80398955949278</v>
      </c>
      <c r="EQ36" s="143">
        <f t="shared" ref="EQ36:EQ37" si="346">EM36</f>
        <v>95.36082868988656</v>
      </c>
      <c r="ER36" s="143">
        <f t="shared" ref="ER36:ER37" si="347">EN36</f>
        <v>0.78792541262106452</v>
      </c>
      <c r="ES36" s="147">
        <f t="shared" si="81"/>
        <v>220.57772512611365</v>
      </c>
      <c r="ET36" s="147">
        <f t="shared" si="82"/>
        <v>13.514852753913393</v>
      </c>
      <c r="EU36" s="143">
        <f t="shared" si="83"/>
        <v>2704.6459828043135</v>
      </c>
      <c r="EV36" s="143">
        <f t="shared" si="84"/>
        <v>165.71434032228245</v>
      </c>
      <c r="EW36" s="157">
        <f t="shared" si="85"/>
        <v>8.1555119053846561E-2</v>
      </c>
      <c r="EX36" s="157">
        <f t="shared" si="86"/>
        <v>2.9988683238208282E-4</v>
      </c>
      <c r="EY36" s="157">
        <f t="shared" si="87"/>
        <v>3.6973415609947946E-4</v>
      </c>
      <c r="EZ36" s="157">
        <f t="shared" si="88"/>
        <v>2.2653704833160069E-5</v>
      </c>
      <c r="FA36" s="66">
        <v>0.81912700000000005</v>
      </c>
      <c r="FB36" s="66">
        <v>6.2300000000000003E-3</v>
      </c>
      <c r="FC36" s="66">
        <v>0.247308</v>
      </c>
      <c r="FD36" s="66">
        <v>1.8680000000000001E-3</v>
      </c>
      <c r="FE36" s="66">
        <v>0.10709100000000001</v>
      </c>
      <c r="FF36" s="66">
        <v>2.284E-3</v>
      </c>
      <c r="FI36" s="66">
        <v>1.1462E-2</v>
      </c>
      <c r="FJ36" s="66">
        <v>1.83E-3</v>
      </c>
      <c r="FK36" s="66">
        <v>5.1029999999999999E-3</v>
      </c>
      <c r="FL36" s="66">
        <v>1.573E-3</v>
      </c>
      <c r="FM36" s="66">
        <v>6.574E-3</v>
      </c>
      <c r="FN36" s="66">
        <v>8.1400000000000005E-4</v>
      </c>
      <c r="FQ36" s="159">
        <f t="shared" si="89"/>
        <v>0.80766500000000008</v>
      </c>
      <c r="FR36" s="159">
        <f t="shared" si="90"/>
        <v>6.4932118400680564E-3</v>
      </c>
      <c r="FS36" s="159">
        <f t="shared" si="91"/>
        <v>0.242205</v>
      </c>
      <c r="FT36" s="159">
        <f t="shared" si="92"/>
        <v>2.6417509345129419E-3</v>
      </c>
      <c r="FU36" s="159">
        <f t="shared" si="93"/>
        <v>0.10051700000000001</v>
      </c>
      <c r="FV36" s="159">
        <f t="shared" si="94"/>
        <v>2.4247168906905399E-3</v>
      </c>
      <c r="FW36" s="159">
        <f t="shared" si="95"/>
        <v>0</v>
      </c>
      <c r="FX36" s="159">
        <f t="shared" si="96"/>
        <v>0</v>
      </c>
      <c r="FY36" s="159">
        <f t="shared" si="97"/>
        <v>8.4839106474877274E-2</v>
      </c>
      <c r="FZ36" s="159">
        <f t="shared" si="98"/>
        <v>7.9737968545462497E-3</v>
      </c>
      <c r="GA36" s="159">
        <f t="shared" si="99"/>
        <v>0.80430537138359492</v>
      </c>
      <c r="GB36" s="159">
        <f t="shared" si="100"/>
        <v>6.500885006298222E-3</v>
      </c>
      <c r="GC36" s="159">
        <f t="shared" si="101"/>
        <v>0.22505053267077982</v>
      </c>
      <c r="GD36" s="159">
        <f t="shared" si="102"/>
        <v>3.0948933502107489E-3</v>
      </c>
      <c r="GE36" s="159">
        <f t="shared" si="103"/>
        <v>-2.5892895296132545E-2</v>
      </c>
      <c r="GF36" s="159">
        <f t="shared" si="104"/>
        <v>2.4336028000075155E-3</v>
      </c>
      <c r="GG36" s="3">
        <v>1.7782159136499011E-12</v>
      </c>
      <c r="GH36" s="3">
        <v>7.5535622364420377E-15</v>
      </c>
      <c r="GI36" s="6">
        <v>1</v>
      </c>
      <c r="GJ36" s="6">
        <v>5.0000000000000001E-3</v>
      </c>
      <c r="GK36" s="157">
        <f t="shared" si="105"/>
        <v>1.4302286108284023E-12</v>
      </c>
      <c r="GL36" s="157">
        <f t="shared" si="106"/>
        <v>1.488899083459344E-14</v>
      </c>
      <c r="GM36" s="157">
        <f t="shared" si="107"/>
        <v>4.0018843857056764E-13</v>
      </c>
      <c r="GN36" s="157">
        <f t="shared" si="108"/>
        <v>6.0976084420989589E-15</v>
      </c>
      <c r="GO36" s="157">
        <f t="shared" si="109"/>
        <v>1.5086224923346513E-13</v>
      </c>
      <c r="GP36" s="157">
        <f t="shared" si="110"/>
        <v>1.4213636248653039E-14</v>
      </c>
      <c r="GQ36" s="157">
        <f t="shared" si="111"/>
        <v>-4.6043158466053562E-14</v>
      </c>
      <c r="GR36" s="157">
        <f t="shared" si="112"/>
        <v>-4.3380017830889083E-15</v>
      </c>
      <c r="GS36" s="157">
        <f t="shared" si="113"/>
        <v>6.3809718729263592E-17</v>
      </c>
      <c r="GT36" s="157">
        <f t="shared" si="114"/>
        <v>6.6427304809839446E-19</v>
      </c>
      <c r="GU36" s="157">
        <f t="shared" si="115"/>
        <v>1.7854426565484838E-17</v>
      </c>
      <c r="GV36" s="157">
        <f t="shared" si="116"/>
        <v>2.7204509611092343E-19</v>
      </c>
      <c r="GW36" s="157">
        <f t="shared" si="117"/>
        <v>6.7307265548797282E-18</v>
      </c>
      <c r="GX36" s="157">
        <f t="shared" si="118"/>
        <v>6.3414206952444923E-19</v>
      </c>
      <c r="GY36" s="147">
        <f t="shared" si="119"/>
        <v>3.573887881261721</v>
      </c>
      <c r="GZ36" s="147">
        <f t="shared" si="120"/>
        <v>3.7437111412721921E-2</v>
      </c>
      <c r="HA36" s="4">
        <v>26.169770272470501</v>
      </c>
      <c r="HB36" s="4">
        <v>0.31897682079735301</v>
      </c>
      <c r="HC36" s="228">
        <f>Pi*(Ar38_mole/Kr80_mole)</f>
        <v>681.06152522320758</v>
      </c>
      <c r="HD36" s="228">
        <f>Cl_79Br*SQRT((Pi_err/Pi)^2+(Ar38_moleerr/Ar38_mole)^2+(Kr80_moleerr/Kr80_mole)^2)</f>
        <v>11.062118527878804</v>
      </c>
      <c r="HE36" s="239">
        <f t="shared" si="123"/>
        <v>8.1201988428679373E-13</v>
      </c>
      <c r="HF36" s="229">
        <f t="shared" si="124"/>
        <v>2.9146789158551694E-14</v>
      </c>
      <c r="HG36" s="362">
        <f t="shared" si="125"/>
        <v>23.255783811488161</v>
      </c>
      <c r="HH36" s="362">
        <f t="shared" si="126"/>
        <v>0.84280715666243644</v>
      </c>
      <c r="HI36" s="4">
        <v>7.5091582159801398</v>
      </c>
      <c r="HJ36" s="4">
        <v>0.114829942558394</v>
      </c>
      <c r="HK36" s="228">
        <f t="shared" si="127"/>
        <v>698.42313235969834</v>
      </c>
      <c r="HL36" s="228">
        <f t="shared" si="128"/>
        <v>15.187863157775418</v>
      </c>
      <c r="HM36" s="239">
        <f t="shared" si="129"/>
        <v>7.918344557624342E-13</v>
      </c>
      <c r="HN36" s="229">
        <f t="shared" si="130"/>
        <v>2.8422249722191379E-14</v>
      </c>
      <c r="HO36" s="362">
        <f t="shared" si="131"/>
        <v>22.677684714423489</v>
      </c>
      <c r="HP36" s="362">
        <f t="shared" si="132"/>
        <v>0.88485415178771964</v>
      </c>
      <c r="HQ36" s="6">
        <v>1.11613116912226</v>
      </c>
      <c r="HR36" s="6">
        <v>3.5153924948669403E-2</v>
      </c>
      <c r="HS36" s="6">
        <f t="shared" si="133"/>
        <v>27.856455651117901</v>
      </c>
      <c r="HT36" s="6">
        <f t="shared" si="134"/>
        <v>2.6697146659003201</v>
      </c>
      <c r="HU36" s="6">
        <v>1.11613116912226</v>
      </c>
      <c r="HV36" s="6">
        <v>3.5153924948669403E-2</v>
      </c>
      <c r="HW36" s="6">
        <f t="shared" si="135"/>
        <v>33.904507091970572</v>
      </c>
      <c r="HX36" s="6">
        <f t="shared" si="136"/>
        <v>3.2957871591597825</v>
      </c>
      <c r="HY36" s="3">
        <v>0.21526000000000001</v>
      </c>
      <c r="HZ36" s="3">
        <v>2.2659999999999998E-3</v>
      </c>
      <c r="IA36" s="3">
        <v>1.4730999999999999E-2</v>
      </c>
      <c r="IB36" s="3">
        <v>9.5500000000000001E-4</v>
      </c>
      <c r="IC36" s="3">
        <v>2.2989999999999998E-3</v>
      </c>
      <c r="ID36" s="3">
        <v>2.8800000000000001E-4</v>
      </c>
      <c r="IE36" s="3">
        <v>6.161079</v>
      </c>
      <c r="IF36" s="3">
        <v>7.6765E-2</v>
      </c>
      <c r="IG36" s="3">
        <v>8.3513000000000004E-2</v>
      </c>
      <c r="IH36" s="3">
        <v>1.727E-3</v>
      </c>
      <c r="II36" s="3">
        <v>0.123667</v>
      </c>
      <c r="IJ36" s="3">
        <v>2.6090000000000002E-3</v>
      </c>
      <c r="IK36" s="3">
        <v>0.16899</v>
      </c>
      <c r="IL36" s="3">
        <v>4.712E-3</v>
      </c>
      <c r="IM36" s="3">
        <v>1.6869999999999999E-3</v>
      </c>
      <c r="IN36" s="3">
        <v>6.5399999999999996E-4</v>
      </c>
      <c r="IO36" s="3">
        <v>9.7400000000000004E-4</v>
      </c>
      <c r="IP36" s="3">
        <v>3.9300000000000001E-4</v>
      </c>
      <c r="IQ36" s="3">
        <v>3.0600000000000001E-4</v>
      </c>
      <c r="IR36" s="3">
        <v>1.03E-4</v>
      </c>
      <c r="IS36" s="3">
        <v>8.7000000000000001E-4</v>
      </c>
      <c r="IT36" s="3">
        <v>6.6399999999999999E-4</v>
      </c>
      <c r="IU36" s="3">
        <v>-9.2999999999999997E-5</v>
      </c>
      <c r="IV36" s="3">
        <v>2.8899999999999998E-4</v>
      </c>
      <c r="IW36" s="3">
        <v>-2.4399999999999999E-4</v>
      </c>
      <c r="IX36" s="3">
        <v>8.7000000000000001E-5</v>
      </c>
      <c r="IY36" s="3">
        <v>4.4200000000000001E-4</v>
      </c>
      <c r="IZ36" s="3">
        <v>4.6700000000000002E-4</v>
      </c>
      <c r="JA36" s="157">
        <f t="shared" si="137"/>
        <v>0.21357300000000001</v>
      </c>
      <c r="JB36" s="157">
        <f t="shared" si="138"/>
        <v>2.3584893470185529E-3</v>
      </c>
      <c r="JC36" s="157">
        <f t="shared" si="139"/>
        <v>1.3756999999999998E-2</v>
      </c>
      <c r="JD36" s="157">
        <f t="shared" si="140"/>
        <v>1.0327022804274232E-3</v>
      </c>
      <c r="JE36" s="157">
        <f t="shared" si="141"/>
        <v>1.993E-3</v>
      </c>
      <c r="JF36" s="157">
        <f t="shared" si="142"/>
        <v>3.0586434901766501E-4</v>
      </c>
      <c r="JG36" s="157">
        <f t="shared" si="143"/>
        <v>6.160209</v>
      </c>
      <c r="JH36" s="157">
        <f t="shared" si="144"/>
        <v>7.6767871671683072E-2</v>
      </c>
      <c r="JI36" s="157">
        <f t="shared" si="145"/>
        <v>8.3606E-2</v>
      </c>
      <c r="JJ36" s="157">
        <f t="shared" si="146"/>
        <v>1.7510139919486652E-3</v>
      </c>
      <c r="JK36" s="157">
        <f t="shared" si="147"/>
        <v>0.12391099999999999</v>
      </c>
      <c r="JL36" s="157">
        <f t="shared" si="148"/>
        <v>2.6104501527514372E-3</v>
      </c>
      <c r="JM36" s="157">
        <f t="shared" si="149"/>
        <v>0.168548</v>
      </c>
      <c r="JN36" s="157">
        <f t="shared" si="150"/>
        <v>4.7350853213009797E-3</v>
      </c>
      <c r="JO36" s="157">
        <f t="shared" si="316"/>
        <v>0.21263310435890501</v>
      </c>
      <c r="JP36" s="157">
        <f t="shared" si="317"/>
        <v>2.3628962442411219E-3</v>
      </c>
      <c r="JQ36" s="157">
        <f t="shared" si="318"/>
        <v>8.169801853459991E-4</v>
      </c>
      <c r="JR36" s="157">
        <f t="shared" si="319"/>
        <v>2.238360324103857E-3</v>
      </c>
      <c r="JS36" s="157">
        <f t="shared" si="320"/>
        <v>6.1498227582564384</v>
      </c>
      <c r="JT36" s="157">
        <f t="shared" si="321"/>
        <v>7.6784418077737671E-2</v>
      </c>
      <c r="JU36" s="157">
        <f t="shared" si="322"/>
        <v>7.0442195508704994E-2</v>
      </c>
      <c r="JV36" s="157">
        <f t="shared" si="323"/>
        <v>2.6734659161722699E-3</v>
      </c>
      <c r="JW36" s="157">
        <f t="shared" si="324"/>
        <v>0.11878106538955399</v>
      </c>
      <c r="JX36" s="157">
        <f t="shared" si="325"/>
        <v>2.7265860896986635E-3</v>
      </c>
      <c r="JY36" s="157">
        <f t="shared" si="326"/>
        <v>0.16421184280068901</v>
      </c>
      <c r="JZ36" s="157">
        <f t="shared" si="327"/>
        <v>4.7816189141632586E-3</v>
      </c>
      <c r="KA36" s="3">
        <v>1.7696448643015688E-12</v>
      </c>
      <c r="KB36" s="3">
        <v>3.8892524257744769E-14</v>
      </c>
      <c r="KC36" s="5">
        <v>1</v>
      </c>
      <c r="KD36" s="5">
        <v>0</v>
      </c>
      <c r="KE36" s="157">
        <f t="shared" si="163"/>
        <v>3.7628508110923575E-13</v>
      </c>
      <c r="KF36" s="157">
        <f t="shared" si="164"/>
        <v>9.2668796570947212E-15</v>
      </c>
      <c r="KG36" s="157">
        <f t="shared" si="165"/>
        <v>1.6787977114855274E-17</v>
      </c>
      <c r="KH36" s="157">
        <f t="shared" si="166"/>
        <v>4.1344228475379063E-19</v>
      </c>
      <c r="KI36" s="6">
        <v>1.2430056234832578</v>
      </c>
      <c r="KJ36" s="6">
        <v>0.11113867994607306</v>
      </c>
      <c r="KK36" s="157">
        <f t="shared" si="167"/>
        <v>2.0087512607782725E-13</v>
      </c>
      <c r="KL36" s="157">
        <f t="shared" si="260"/>
        <v>2.5942959616369724E-14</v>
      </c>
      <c r="KM36" s="494">
        <f t="shared" si="168"/>
        <v>9.1369023072916224</v>
      </c>
      <c r="KN36" s="494">
        <f t="shared" si="328"/>
        <v>1.1850280711958887</v>
      </c>
      <c r="KO36" s="4">
        <v>20.162258156415799</v>
      </c>
      <c r="KP36" s="4">
        <v>0.66285498057307002</v>
      </c>
      <c r="KQ36" s="229">
        <f t="shared" si="170"/>
        <v>1994.4082834441524</v>
      </c>
      <c r="KR36" s="229">
        <f t="shared" si="171"/>
        <v>82.091546004131231</v>
      </c>
      <c r="KS36" s="364">
        <f t="shared" si="172"/>
        <v>7.9415131417131519</v>
      </c>
      <c r="KT36" s="364">
        <f t="shared" si="173"/>
        <v>0.41598601136296937</v>
      </c>
      <c r="KU36" s="147">
        <f t="shared" si="174"/>
        <v>6.1066383099246018</v>
      </c>
      <c r="KV36" s="147">
        <f t="shared" si="175"/>
        <v>7.6810950477227566E-2</v>
      </c>
      <c r="KW36" s="157">
        <f t="shared" si="176"/>
        <v>1.0806581123305284E-11</v>
      </c>
      <c r="KX36" s="157">
        <f t="shared" si="177"/>
        <v>2.736492724436244E-13</v>
      </c>
      <c r="KY36" s="157">
        <f t="shared" si="178"/>
        <v>4.821361401123676E-16</v>
      </c>
      <c r="KZ36" s="157">
        <f t="shared" si="179"/>
        <v>1.2208875544422004E-17</v>
      </c>
      <c r="LA36" s="6">
        <v>1.2485542932379501</v>
      </c>
      <c r="LB36" s="6">
        <v>5.9627651953476503E-2</v>
      </c>
      <c r="LC36" s="157">
        <f t="shared" si="180"/>
        <v>4.0503107948873229E-9</v>
      </c>
      <c r="LD36" s="157">
        <f t="shared" si="181"/>
        <v>4.6016909978336905E-10</v>
      </c>
      <c r="LE36" s="159">
        <f t="shared" si="182"/>
        <v>199.36094284211163</v>
      </c>
      <c r="LF36" s="159">
        <f t="shared" si="183"/>
        <v>22.655050883853647</v>
      </c>
      <c r="LG36" s="471"/>
      <c r="LH36" s="471"/>
      <c r="LM36" s="157">
        <f t="shared" si="184"/>
        <v>2.1020030234289303E-13</v>
      </c>
      <c r="LN36" s="157">
        <f t="shared" si="185"/>
        <v>6.6800502055254083E-15</v>
      </c>
      <c r="LO36" s="157">
        <f t="shared" si="186"/>
        <v>9.3780966677329524E-18</v>
      </c>
      <c r="LP36" s="157">
        <f t="shared" si="187"/>
        <v>2.9803076344280071E-19</v>
      </c>
      <c r="LQ36" s="157">
        <f t="shared" si="188"/>
        <v>2.387195928616343E-12</v>
      </c>
      <c r="LR36" s="157">
        <f t="shared" si="189"/>
        <v>2.270540302219384E-13</v>
      </c>
      <c r="LS36" s="147">
        <f t="shared" si="190"/>
        <v>203.66367198745016</v>
      </c>
      <c r="LT36" s="147">
        <f t="shared" si="191"/>
        <v>19.397866941141746</v>
      </c>
      <c r="LW36" s="214" t="str">
        <f t="shared" si="192"/>
        <v>125z2</v>
      </c>
      <c r="LX36" s="214" t="str">
        <f t="shared" si="193"/>
        <v>MN2022a</v>
      </c>
      <c r="LY36" s="212">
        <f t="shared" si="194"/>
        <v>8179.9814052534966</v>
      </c>
      <c r="LZ36" s="212">
        <f t="shared" si="195"/>
        <v>91.595736406283763</v>
      </c>
      <c r="MA36" s="212">
        <f t="shared" si="196"/>
        <v>15.838619592913306</v>
      </c>
      <c r="MB36" s="212">
        <f t="shared" si="197"/>
        <v>0.51312595840190922</v>
      </c>
      <c r="MC36" s="212">
        <f t="shared" si="198"/>
        <v>46361.99003520135</v>
      </c>
      <c r="MD36" s="212">
        <f t="shared" si="199"/>
        <v>3517.5870636852969</v>
      </c>
      <c r="ME36" s="212">
        <f t="shared" si="200"/>
        <v>27.856455651117901</v>
      </c>
      <c r="MF36" s="212">
        <f t="shared" si="201"/>
        <v>2.6697146659003201</v>
      </c>
      <c r="MG36" s="212">
        <f t="shared" si="202"/>
        <v>33.904507091970572</v>
      </c>
      <c r="MH36" s="212">
        <f t="shared" si="203"/>
        <v>3.2957871591597825</v>
      </c>
      <c r="MI36" s="212">
        <f t="shared" si="204"/>
        <v>23.255783811488161</v>
      </c>
      <c r="MJ36" s="212">
        <f t="shared" si="205"/>
        <v>0.84280715666243644</v>
      </c>
      <c r="MK36" s="212">
        <f t="shared" si="206"/>
        <v>22.677684714423489</v>
      </c>
      <c r="ML36" s="212">
        <f t="shared" si="207"/>
        <v>0.88485415178771964</v>
      </c>
      <c r="MM36" s="212">
        <f t="shared" si="261"/>
        <v>9.1369023072916224</v>
      </c>
      <c r="MN36" s="212">
        <f t="shared" si="208"/>
        <v>1.1850280711958887</v>
      </c>
      <c r="MO36" s="212">
        <f t="shared" si="209"/>
        <v>7.9415131417131519</v>
      </c>
      <c r="MP36" s="212">
        <f t="shared" si="210"/>
        <v>0.41598601136296937</v>
      </c>
      <c r="MQ36" s="211"/>
      <c r="MR36" s="211"/>
      <c r="MS36" s="211"/>
      <c r="MT36" s="211"/>
      <c r="MU36" s="506">
        <f t="shared" si="273"/>
        <v>516.45797522111559</v>
      </c>
      <c r="MV36" s="506">
        <f t="shared" si="274"/>
        <v>5.7841126672556875</v>
      </c>
      <c r="MW36" s="109">
        <f t="shared" si="211"/>
        <v>1.4682961273906425E-3</v>
      </c>
      <c r="MX36" s="109">
        <f t="shared" si="212"/>
        <v>7.1374400457805139E-5</v>
      </c>
      <c r="MY36" s="109">
        <f t="shared" si="213"/>
        <v>1.4317967914685061E-3</v>
      </c>
      <c r="MZ36" s="109">
        <f t="shared" si="214"/>
        <v>7.2613907737794088E-5</v>
      </c>
      <c r="NA36" s="513">
        <f t="shared" si="295"/>
        <v>5.7687491347918726E-4</v>
      </c>
      <c r="NB36" s="513">
        <f t="shared" si="296"/>
        <v>7.7117766453007819E-5</v>
      </c>
      <c r="NC36" s="506">
        <f t="shared" si="275"/>
        <v>468.30641218452496</v>
      </c>
      <c r="ND36" s="506">
        <f t="shared" si="276"/>
        <v>4.6930969579158504</v>
      </c>
      <c r="NE36" s="109">
        <f t="shared" si="217"/>
        <v>6.5147555321861794E-4</v>
      </c>
      <c r="NF36" s="109">
        <f t="shared" si="218"/>
        <v>3.1331618299574275E-5</v>
      </c>
      <c r="NG36" s="513">
        <f t="shared" si="219"/>
        <v>6.3528098277849617E-4</v>
      </c>
      <c r="NH36" s="513">
        <f t="shared" si="220"/>
        <v>3.0552767739413359E-5</v>
      </c>
      <c r="NI36" s="109">
        <f t="shared" si="221"/>
        <v>1.6116017274708786E-4</v>
      </c>
      <c r="NJ36" s="109">
        <f t="shared" si="221"/>
        <v>2.1544207024847005E-5</v>
      </c>
      <c r="NK36" s="621">
        <f t="shared" si="329"/>
        <v>1.283490774493875E-9</v>
      </c>
      <c r="NL36" s="621">
        <f t="shared" si="330"/>
        <v>7.8904669591082141E-11</v>
      </c>
      <c r="NM36" s="621">
        <f t="shared" si="331"/>
        <v>2.831094752582127E-7</v>
      </c>
      <c r="NN36" s="621">
        <f t="shared" si="332"/>
        <v>1.764653011587444E-9</v>
      </c>
      <c r="NO36" s="621">
        <f t="shared" si="333"/>
        <v>3.4713881672012562E-6</v>
      </c>
      <c r="NP36" s="621">
        <f t="shared" si="334"/>
        <v>2.1225724211164446E-8</v>
      </c>
      <c r="NQ36" s="621">
        <f t="shared" si="335"/>
        <v>3.0921166433383159E-6</v>
      </c>
      <c r="NR36" s="621">
        <f t="shared" si="336"/>
        <v>3.0192862616788977E-8</v>
      </c>
      <c r="NS36" s="621">
        <f t="shared" si="337"/>
        <v>3.5798913407882264E-7</v>
      </c>
      <c r="NT36" s="621">
        <f t="shared" si="338"/>
        <v>1.7665551002402814E-8</v>
      </c>
      <c r="NU36" s="621">
        <f t="shared" si="339"/>
        <v>5.4072490764682842E-11</v>
      </c>
      <c r="NV36" s="621">
        <f t="shared" si="340"/>
        <v>5.1016622415739323E-12</v>
      </c>
      <c r="NW36" s="621">
        <f t="shared" si="341"/>
        <v>1.2641226575458877E-12</v>
      </c>
      <c r="NX36" s="621">
        <f t="shared" si="342"/>
        <v>1.9608512930466241E-13</v>
      </c>
      <c r="NY36" s="621">
        <f t="shared" si="343"/>
        <v>5.3029723485590315E-11</v>
      </c>
      <c r="NZ36" s="621">
        <f t="shared" si="344"/>
        <v>1.6316017993191246E-12</v>
      </c>
      <c r="OA36" s="622">
        <f t="shared" si="262"/>
        <v>2704.6459828043135</v>
      </c>
      <c r="OB36" s="622">
        <f t="shared" si="238"/>
        <v>165.71434032228245</v>
      </c>
      <c r="OC36" s="622">
        <f t="shared" si="239"/>
        <v>278.91835390869107</v>
      </c>
      <c r="OD36" s="622">
        <f t="shared" si="263"/>
        <v>21.987653189882089</v>
      </c>
      <c r="OE36" s="621">
        <f t="shared" si="264"/>
        <v>4.2129239912928475E-2</v>
      </c>
      <c r="OF36" s="621">
        <f t="shared" si="265"/>
        <v>4.7348143910970076E-3</v>
      </c>
      <c r="OG36" s="621">
        <f t="shared" si="266"/>
        <v>9.8490981210548633E-4</v>
      </c>
      <c r="OH36" s="621">
        <f t="shared" si="267"/>
        <v>1.6433603153512429E-4</v>
      </c>
      <c r="OI36" s="621">
        <f t="shared" si="268"/>
        <v>4.1316793653231966E-2</v>
      </c>
      <c r="OJ36" s="621">
        <f t="shared" si="269"/>
        <v>2.8403679675258098E-3</v>
      </c>
      <c r="OK36" s="621">
        <f t="shared" si="240"/>
        <v>8.1555119053846561E-2</v>
      </c>
      <c r="OL36" s="621">
        <f t="shared" si="241"/>
        <v>2.9988683238208282E-4</v>
      </c>
      <c r="OM36" s="621">
        <f t="shared" si="242"/>
        <v>3.6973415609947946E-4</v>
      </c>
      <c r="ON36" s="621">
        <f t="shared" si="243"/>
        <v>2.2653704833160069E-5</v>
      </c>
      <c r="OO36" s="621">
        <f t="shared" si="244"/>
        <v>220.57772512611365</v>
      </c>
      <c r="OP36" s="621">
        <f t="shared" si="245"/>
        <v>13.514852753913393</v>
      </c>
      <c r="OQ36" s="621">
        <f t="shared" si="246"/>
        <v>4.9755434089029816E-3</v>
      </c>
      <c r="OR36" s="621">
        <f t="shared" si="247"/>
        <v>8.5369180494969687E-6</v>
      </c>
    </row>
    <row r="37" spans="2:408" s="657" customFormat="1">
      <c r="B37" s="630" t="s">
        <v>948</v>
      </c>
      <c r="C37" s="631">
        <v>3.5999999999999999E-3</v>
      </c>
      <c r="D37" s="632">
        <f t="shared" si="308"/>
        <v>1.8E-5</v>
      </c>
      <c r="E37" s="633">
        <v>45108</v>
      </c>
      <c r="F37" s="631" t="s">
        <v>210</v>
      </c>
      <c r="G37" s="631" t="s">
        <v>893</v>
      </c>
      <c r="H37" s="631">
        <v>2</v>
      </c>
      <c r="I37" s="631"/>
      <c r="J37" s="634">
        <v>44644</v>
      </c>
      <c r="K37" s="633" t="s">
        <v>823</v>
      </c>
      <c r="L37" s="631" t="s">
        <v>949</v>
      </c>
      <c r="M37" s="631" t="s">
        <v>951</v>
      </c>
      <c r="N37" s="631">
        <v>180</v>
      </c>
      <c r="O37" s="635">
        <v>6285.8825200000001</v>
      </c>
      <c r="P37" s="635">
        <v>14.699923999999999</v>
      </c>
      <c r="Q37" s="635">
        <v>467.305252</v>
      </c>
      <c r="R37" s="635">
        <v>1.263622</v>
      </c>
      <c r="S37" s="635">
        <v>24.761116999999999</v>
      </c>
      <c r="T37" s="635">
        <v>8.9672000000000002E-2</v>
      </c>
      <c r="U37" s="635">
        <v>0.22203200000000001</v>
      </c>
      <c r="V37" s="635">
        <v>3.6027999999999998E-2</v>
      </c>
      <c r="W37" s="635">
        <v>4.0140529999999996</v>
      </c>
      <c r="X37" s="635">
        <v>5.4510999999999997E-2</v>
      </c>
      <c r="Y37" s="638">
        <v>96.619076000000007</v>
      </c>
      <c r="Z37" s="638">
        <v>0.52119499999999996</v>
      </c>
      <c r="AA37" s="638">
        <v>0.17118</v>
      </c>
      <c r="AB37" s="638">
        <v>6.3788999999999998E-2</v>
      </c>
      <c r="AC37" s="638">
        <v>0.20138400000000001</v>
      </c>
      <c r="AD37" s="638">
        <v>6.7654000000000006E-2</v>
      </c>
      <c r="AE37" s="638">
        <v>6.105E-2</v>
      </c>
      <c r="AF37" s="638">
        <v>1.8501E-2</v>
      </c>
      <c r="AG37" s="638">
        <v>0.55820000000000003</v>
      </c>
      <c r="AH37" s="638">
        <v>0.125467</v>
      </c>
      <c r="AI37" s="637">
        <f t="shared" si="1"/>
        <v>6189.2634440000002</v>
      </c>
      <c r="AJ37" s="637">
        <f t="shared" si="2"/>
        <v>14.709160745392682</v>
      </c>
      <c r="AK37" s="637">
        <f t="shared" si="3"/>
        <v>467.134072</v>
      </c>
      <c r="AL37" s="637">
        <f t="shared" si="4"/>
        <v>1.2652310442780796</v>
      </c>
      <c r="AM37" s="637">
        <f t="shared" si="5"/>
        <v>24.559732999999998</v>
      </c>
      <c r="AN37" s="637">
        <f t="shared" si="6"/>
        <v>0.11233045579895064</v>
      </c>
      <c r="AO37" s="637">
        <f t="shared" si="7"/>
        <v>0.16098200000000001</v>
      </c>
      <c r="AP37" s="637">
        <f t="shared" si="8"/>
        <v>4.0500664006902401E-2</v>
      </c>
      <c r="AQ37" s="637">
        <f t="shared" si="9"/>
        <v>3.4558529999999994</v>
      </c>
      <c r="AR37" s="637">
        <f t="shared" si="10"/>
        <v>0.13679699269355303</v>
      </c>
      <c r="AS37" s="638">
        <v>304.12046242532097</v>
      </c>
      <c r="AT37" s="638">
        <v>0.91447361557367624</v>
      </c>
      <c r="AU37" s="639">
        <f t="shared" si="11"/>
        <v>470.54093470326831</v>
      </c>
      <c r="AV37" s="639">
        <f t="shared" si="12"/>
        <v>1.2653112107722904</v>
      </c>
      <c r="AW37" s="639">
        <f t="shared" si="13"/>
        <v>24.917966934860257</v>
      </c>
      <c r="AX37" s="639">
        <f t="shared" si="14"/>
        <v>0.11233489148844757</v>
      </c>
      <c r="AY37" s="639">
        <f t="shared" si="15"/>
        <v>0.16450418091917013</v>
      </c>
      <c r="AZ37" s="639">
        <f t="shared" si="16"/>
        <v>4.0502579123020174E-2</v>
      </c>
      <c r="BA37" s="639">
        <f t="shared" si="17"/>
        <v>3.5566687392011254</v>
      </c>
      <c r="BB37" s="639">
        <f t="shared" si="18"/>
        <v>0.13680065427719967</v>
      </c>
      <c r="BC37" s="635"/>
      <c r="BD37" s="640"/>
      <c r="BE37" s="637">
        <v>6.4870000000000001</v>
      </c>
      <c r="BF37" s="637">
        <f t="shared" si="249"/>
        <v>0.32435000000000003</v>
      </c>
      <c r="BG37" s="637">
        <f t="shared" si="250"/>
        <v>4.6361990035201357</v>
      </c>
      <c r="BH37" s="637">
        <f t="shared" si="251"/>
        <v>0.23180995017600681</v>
      </c>
      <c r="BI37" s="641">
        <f t="shared" si="309"/>
        <v>4.1642506019641936E-6</v>
      </c>
      <c r="BJ37" s="641">
        <f t="shared" si="252"/>
        <v>2.0821253009820971E-7</v>
      </c>
      <c r="BK37" s="639">
        <f t="shared" si="310"/>
        <v>1584.8537948034759</v>
      </c>
      <c r="BL37" s="639">
        <f t="shared" si="253"/>
        <v>79.242689740173816</v>
      </c>
      <c r="BM37" s="639"/>
      <c r="BN37" s="639"/>
      <c r="BO37" s="642">
        <f t="shared" si="254"/>
        <v>6127.9915874888775</v>
      </c>
      <c r="BP37" s="639">
        <f t="shared" si="255"/>
        <v>14.710083508997807</v>
      </c>
      <c r="BQ37" s="642">
        <f t="shared" si="271"/>
        <v>470.54093470326831</v>
      </c>
      <c r="BR37" s="639">
        <f t="shared" si="272"/>
        <v>1.2653112107722904</v>
      </c>
      <c r="BS37" s="642">
        <f t="shared" si="256"/>
        <v>24.917966934860257</v>
      </c>
      <c r="BT37" s="639">
        <f t="shared" si="257"/>
        <v>0.11233489148844757</v>
      </c>
      <c r="BU37" s="637">
        <f t="shared" si="258"/>
        <v>3.0038255414851172</v>
      </c>
      <c r="BV37" s="637">
        <f t="shared" si="21"/>
        <v>0.13956542556744511</v>
      </c>
      <c r="BW37" s="631"/>
      <c r="BX37" s="637">
        <f t="shared" si="311"/>
        <v>2.9819512778954755</v>
      </c>
      <c r="BY37" s="637">
        <f t="shared" si="312"/>
        <v>0.13956606782662756</v>
      </c>
      <c r="BZ37" s="642">
        <f t="shared" si="313"/>
        <v>24.353246127884997</v>
      </c>
      <c r="CA37" s="637">
        <f t="shared" si="314"/>
        <v>1.4127694304613924E-2</v>
      </c>
      <c r="CB37" s="642">
        <f t="shared" si="26"/>
        <v>5246.8249848707646</v>
      </c>
      <c r="CC37" s="642">
        <f t="shared" si="27"/>
        <v>43.786646372529049</v>
      </c>
      <c r="CD37" s="643">
        <v>1.5903158759700325E-12</v>
      </c>
      <c r="CE37" s="643">
        <v>4.0102150310807229E-15</v>
      </c>
      <c r="CF37" s="641">
        <f t="shared" si="28"/>
        <v>4.7422444586063009E-12</v>
      </c>
      <c r="CG37" s="641">
        <f t="shared" si="29"/>
        <v>2.2227603888008681E-13</v>
      </c>
      <c r="CH37" s="641">
        <f t="shared" si="30"/>
        <v>2.52041815096732E-9</v>
      </c>
      <c r="CI37" s="644">
        <f t="shared" si="31"/>
        <v>1.2618107167083808E-10</v>
      </c>
      <c r="CJ37" s="641">
        <f t="shared" si="32"/>
        <v>3.8729353948581232E-11</v>
      </c>
      <c r="CK37" s="645">
        <f t="shared" si="33"/>
        <v>1.00212806229173E-13</v>
      </c>
      <c r="CL37" s="641">
        <f t="shared" si="34"/>
        <v>7.4830871875238598E-10</v>
      </c>
      <c r="CM37" s="641">
        <f t="shared" si="35"/>
        <v>2.7585838716498466E-12</v>
      </c>
      <c r="CN37" s="641">
        <f t="shared" si="36"/>
        <v>9.745442309394364E-9</v>
      </c>
      <c r="CO37" s="641">
        <f t="shared" si="37"/>
        <v>3.3928946751337506E-11</v>
      </c>
      <c r="CP37" s="641">
        <f t="shared" si="38"/>
        <v>1.7279120018398011E-15</v>
      </c>
      <c r="CQ37" s="641">
        <f t="shared" si="39"/>
        <v>4.4709993149232151E-18</v>
      </c>
      <c r="CR37" s="641">
        <f t="shared" si="40"/>
        <v>4.3479338054532102E-13</v>
      </c>
      <c r="CS37" s="641">
        <f t="shared" si="41"/>
        <v>1.513741623286171E-15</v>
      </c>
      <c r="CT37" s="632">
        <v>4.3536063349529095E-3</v>
      </c>
      <c r="CU37" s="632">
        <v>9.2169599584457924E-6</v>
      </c>
      <c r="CV37" s="643">
        <v>1.1611559367069784E+19</v>
      </c>
      <c r="CW37" s="646">
        <v>1.040942599512031E+18</v>
      </c>
      <c r="CX37" s="643">
        <v>8.6527210079182822E+17</v>
      </c>
      <c r="CY37" s="643">
        <v>8.9278178143800032E+16</v>
      </c>
      <c r="CZ37" s="635">
        <v>0.49865169925804054</v>
      </c>
      <c r="DA37" s="635">
        <v>2.7936431740382541E-2</v>
      </c>
      <c r="DB37" s="638">
        <v>24.337069265073254</v>
      </c>
      <c r="DC37" s="638">
        <v>0.74264427477540718</v>
      </c>
      <c r="DD37" s="641">
        <f t="shared" si="42"/>
        <v>6.3199290906401404E-7</v>
      </c>
      <c r="DE37" s="641">
        <f t="shared" si="43"/>
        <v>6.3722093074283611E-9</v>
      </c>
      <c r="DF37" s="637">
        <f t="shared" si="44"/>
        <v>6863.8467656826506</v>
      </c>
      <c r="DG37" s="637">
        <f t="shared" si="45"/>
        <v>77.248409821090817</v>
      </c>
      <c r="DH37" s="647">
        <f t="shared" si="46"/>
        <v>0.68638467656826507</v>
      </c>
      <c r="DI37" s="648">
        <f t="shared" si="47"/>
        <v>7.7248409821090817E-3</v>
      </c>
      <c r="DJ37" s="641">
        <f t="shared" si="48"/>
        <v>1.4822049472686062E-9</v>
      </c>
      <c r="DK37" s="641">
        <f t="shared" si="49"/>
        <v>4.7475201901569827E-11</v>
      </c>
      <c r="DL37" s="637">
        <f t="shared" si="50"/>
        <v>14.596836665420527</v>
      </c>
      <c r="DM37" s="639">
        <f t="shared" si="51"/>
        <v>0.47320067353242046</v>
      </c>
      <c r="DN37" s="647">
        <f t="shared" si="52"/>
        <v>1.4596836665420527E-3</v>
      </c>
      <c r="DO37" s="648">
        <f t="shared" si="53"/>
        <v>4.7320067353242044E-5</v>
      </c>
      <c r="DP37" s="641">
        <f t="shared" si="54"/>
        <v>4.1642506019641936E-6</v>
      </c>
      <c r="DQ37" s="641">
        <f t="shared" si="55"/>
        <v>3.1530615064905715E-7</v>
      </c>
      <c r="DR37" s="642">
        <f t="shared" si="56"/>
        <v>46361.990035201357</v>
      </c>
      <c r="DS37" s="642">
        <f t="shared" si="57"/>
        <v>3518.0569834218204</v>
      </c>
      <c r="DT37" s="637">
        <f t="shared" si="58"/>
        <v>4.6361990035201357</v>
      </c>
      <c r="DU37" s="637">
        <f t="shared" si="59"/>
        <v>0.35180569834218206</v>
      </c>
      <c r="DV37" s="639">
        <f t="shared" si="60"/>
        <v>426.38699204765499</v>
      </c>
      <c r="DW37" s="639">
        <f t="shared" si="61"/>
        <v>4.3001677707082022</v>
      </c>
      <c r="DX37" s="639">
        <f t="shared" si="62"/>
        <v>0.1517663007038807</v>
      </c>
      <c r="DY37" s="639">
        <f t="shared" si="63"/>
        <v>7.2633393694987898E-3</v>
      </c>
      <c r="DZ37" s="639">
        <f t="shared" si="64"/>
        <v>470.22837365460833</v>
      </c>
      <c r="EA37" s="639">
        <f t="shared" si="65"/>
        <v>5.2931845320471353</v>
      </c>
      <c r="EB37" s="639">
        <f t="shared" si="66"/>
        <v>0.14804901084856634</v>
      </c>
      <c r="EC37" s="639">
        <f t="shared" si="67"/>
        <v>7.4243331285653007E-3</v>
      </c>
      <c r="ED37" s="641">
        <f t="shared" si="68"/>
        <v>2.9334228127260963E-4</v>
      </c>
      <c r="EE37" s="641">
        <f t="shared" si="69"/>
        <v>9.4511293419033984E-6</v>
      </c>
      <c r="EF37" s="637">
        <f t="shared" si="70"/>
        <v>11.150623883933729</v>
      </c>
      <c r="EG37" s="637">
        <f t="shared" si="71"/>
        <v>9.7767553987326866E-2</v>
      </c>
      <c r="EH37" s="641">
        <f t="shared" si="72"/>
        <v>6.8797192865542292E-7</v>
      </c>
      <c r="EI37" s="641">
        <f t="shared" si="73"/>
        <v>7.3385123231284841E-9</v>
      </c>
      <c r="EJ37" s="642">
        <f t="shared" si="74"/>
        <v>85.424738547285145</v>
      </c>
      <c r="EK37" s="642">
        <f t="shared" si="75"/>
        <v>0.73399357637802087</v>
      </c>
      <c r="EL37" s="642">
        <f t="shared" si="76"/>
        <v>0.75508724750848588</v>
      </c>
      <c r="EM37" s="639">
        <f t="shared" si="77"/>
        <v>85.424738547285145</v>
      </c>
      <c r="EN37" s="639">
        <f t="shared" si="78"/>
        <v>0.73399357637802087</v>
      </c>
      <c r="EO37" s="639">
        <f t="shared" si="79"/>
        <v>0.75508724750848588</v>
      </c>
      <c r="EP37" s="649">
        <f t="shared" si="345"/>
        <v>354.13278063032703</v>
      </c>
      <c r="EQ37" s="642">
        <f t="shared" si="346"/>
        <v>85.424738547285145</v>
      </c>
      <c r="ER37" s="642">
        <f t="shared" si="347"/>
        <v>0.73399357637802087</v>
      </c>
      <c r="ES37" s="637">
        <f t="shared" si="81"/>
        <v>157.79631887055999</v>
      </c>
      <c r="ET37" s="637">
        <f t="shared" si="82"/>
        <v>7.395143727490562</v>
      </c>
      <c r="EU37" s="642">
        <f t="shared" si="83"/>
        <v>2055.0274019948888</v>
      </c>
      <c r="EV37" s="642">
        <f t="shared" si="84"/>
        <v>96.309109809779414</v>
      </c>
      <c r="EW37" s="641">
        <f t="shared" si="85"/>
        <v>7.6785505982733593E-2</v>
      </c>
      <c r="EX37" s="641">
        <f t="shared" si="86"/>
        <v>2.7678272792549521E-4</v>
      </c>
      <c r="EY37" s="641">
        <f t="shared" si="87"/>
        <v>4.8661151624025266E-4</v>
      </c>
      <c r="EZ37" s="641">
        <f t="shared" si="88"/>
        <v>2.2805108051986117E-5</v>
      </c>
      <c r="FA37" s="632">
        <v>1.0951280000000001</v>
      </c>
      <c r="FB37" s="632">
        <v>5.5789999999999998E-3</v>
      </c>
      <c r="FC37" s="632">
        <v>0.33343899999999999</v>
      </c>
      <c r="FD37" s="632">
        <v>5.045E-3</v>
      </c>
      <c r="FE37" s="632">
        <v>0.155697</v>
      </c>
      <c r="FF37" s="632">
        <v>4.2030000000000001E-3</v>
      </c>
      <c r="FG37" s="631"/>
      <c r="FH37" s="631"/>
      <c r="FI37" s="632">
        <v>1.4517E-2</v>
      </c>
      <c r="FJ37" s="632">
        <v>2.0950000000000001E-3</v>
      </c>
      <c r="FK37" s="632">
        <v>5.2050000000000004E-3</v>
      </c>
      <c r="FL37" s="632">
        <v>1.09E-3</v>
      </c>
      <c r="FM37" s="632">
        <v>6.7629999999999999E-3</v>
      </c>
      <c r="FN37" s="632">
        <v>5.4199999999999995E-4</v>
      </c>
      <c r="FO37" s="631"/>
      <c r="FP37" s="631"/>
      <c r="FQ37" s="647">
        <f t="shared" si="89"/>
        <v>1.0806110000000002</v>
      </c>
      <c r="FR37" s="647">
        <f t="shared" si="90"/>
        <v>5.9593846997823526E-3</v>
      </c>
      <c r="FS37" s="647">
        <f t="shared" si="91"/>
        <v>0.32823399999999997</v>
      </c>
      <c r="FT37" s="647">
        <f t="shared" si="92"/>
        <v>7.1347074221722647E-3</v>
      </c>
      <c r="FU37" s="647">
        <f t="shared" si="93"/>
        <v>0.14893400000000001</v>
      </c>
      <c r="FV37" s="647">
        <f t="shared" si="94"/>
        <v>4.2378028505346962E-3</v>
      </c>
      <c r="FW37" s="647">
        <f t="shared" si="95"/>
        <v>0</v>
      </c>
      <c r="FX37" s="647">
        <f t="shared" si="96"/>
        <v>0</v>
      </c>
      <c r="FY37" s="647">
        <f t="shared" si="97"/>
        <v>0.13186862852379547</v>
      </c>
      <c r="FZ37" s="647">
        <f t="shared" si="98"/>
        <v>1.253862447018492E-2</v>
      </c>
      <c r="GA37" s="647">
        <f t="shared" si="99"/>
        <v>1.075389002310458</v>
      </c>
      <c r="GB37" s="647">
        <f t="shared" si="100"/>
        <v>5.9800340779286656E-3</v>
      </c>
      <c r="GC37" s="647">
        <f t="shared" si="101"/>
        <v>0.30157016331248854</v>
      </c>
      <c r="GD37" s="647">
        <f t="shared" si="102"/>
        <v>7.571779587793483E-3</v>
      </c>
      <c r="GE37" s="647">
        <f t="shared" si="103"/>
        <v>-4.0246305425462377E-2</v>
      </c>
      <c r="GF37" s="647">
        <f t="shared" si="104"/>
        <v>3.826788188300438E-3</v>
      </c>
      <c r="GG37" s="643">
        <v>1.7782159136499011E-12</v>
      </c>
      <c r="GH37" s="643">
        <v>7.5535622364420377E-15</v>
      </c>
      <c r="GI37" s="635">
        <v>1</v>
      </c>
      <c r="GJ37" s="635">
        <v>5.0000000000000001E-3</v>
      </c>
      <c r="GK37" s="641">
        <f t="shared" si="105"/>
        <v>1.9122738372725468E-12</v>
      </c>
      <c r="GL37" s="641">
        <f t="shared" si="106"/>
        <v>1.6446298228834718E-14</v>
      </c>
      <c r="GM37" s="641">
        <f t="shared" si="107"/>
        <v>5.3625686348426666E-13</v>
      </c>
      <c r="GN37" s="641">
        <f t="shared" si="108"/>
        <v>1.3916339870322389E-14</v>
      </c>
      <c r="GO37" s="641">
        <f t="shared" si="109"/>
        <v>2.3449089375220038E-13</v>
      </c>
      <c r="GP37" s="641">
        <f t="shared" si="110"/>
        <v>2.2349394884035127E-14</v>
      </c>
      <c r="GQ37" s="641">
        <f t="shared" si="111"/>
        <v>-7.1566620773171555E-14</v>
      </c>
      <c r="GR37" s="641">
        <f t="shared" si="112"/>
        <v>-6.821035318607521E-15</v>
      </c>
      <c r="GS37" s="641">
        <f t="shared" si="113"/>
        <v>8.5316189849547654E-17</v>
      </c>
      <c r="GT37" s="641">
        <f t="shared" si="114"/>
        <v>7.3375239354081996E-19</v>
      </c>
      <c r="GU37" s="641">
        <f t="shared" si="115"/>
        <v>2.392512593196449E-17</v>
      </c>
      <c r="GV37" s="641">
        <f t="shared" si="116"/>
        <v>6.2087817735204831E-19</v>
      </c>
      <c r="GW37" s="641">
        <f t="shared" si="117"/>
        <v>1.0461822579702794E-17</v>
      </c>
      <c r="GX37" s="641">
        <f t="shared" si="118"/>
        <v>9.9711933501310202E-19</v>
      </c>
      <c r="GY37" s="637">
        <f t="shared" si="119"/>
        <v>3.5659661768201341</v>
      </c>
      <c r="GZ37" s="637">
        <f t="shared" si="120"/>
        <v>3.1342143547377084E-2</v>
      </c>
      <c r="HA37" s="638">
        <v>26.169770272470501</v>
      </c>
      <c r="HB37" s="638">
        <v>0.31897682079735301</v>
      </c>
      <c r="HC37" s="650">
        <f t="shared" si="121"/>
        <v>530.0173415964141</v>
      </c>
      <c r="HD37" s="650">
        <f t="shared" si="122"/>
        <v>8.0246022364437337</v>
      </c>
      <c r="HE37" s="651">
        <f>(Cl_mole/Cl_79Br)/(MW_Br/MW_Cl)</f>
        <v>1.2408024691313904E-12</v>
      </c>
      <c r="HF37" s="652">
        <f t="shared" si="124"/>
        <v>4.3959376916794443E-14</v>
      </c>
      <c r="HG37" s="653">
        <f>(Cl_ppm/Cl_79Br)*10^3</f>
        <v>27.540300137076276</v>
      </c>
      <c r="HH37" s="653">
        <f t="shared" si="126"/>
        <v>0.98537184189890092</v>
      </c>
      <c r="HI37" s="638">
        <v>7.5091582159801398</v>
      </c>
      <c r="HJ37" s="638">
        <v>0.114829942558394</v>
      </c>
      <c r="HK37" s="650">
        <f t="shared" si="127"/>
        <v>542.32377467952756</v>
      </c>
      <c r="HL37" s="650">
        <f t="shared" si="128"/>
        <v>16.395663767553355</v>
      </c>
      <c r="HM37" s="651">
        <f t="shared" si="129"/>
        <v>1.2126461291945128E-12</v>
      </c>
      <c r="HN37" s="652">
        <f t="shared" si="130"/>
        <v>4.2961848953500609E-14</v>
      </c>
      <c r="HO37" s="653">
        <f t="shared" si="131"/>
        <v>26.915354529766201</v>
      </c>
      <c r="HP37" s="653">
        <f t="shared" si="132"/>
        <v>1.1930872871978691</v>
      </c>
      <c r="HQ37" s="635">
        <v>1.11613116912226</v>
      </c>
      <c r="HR37" s="635">
        <v>3.5153924948669403E-2</v>
      </c>
      <c r="HS37" s="635">
        <f t="shared" si="133"/>
        <v>28.86504120847459</v>
      </c>
      <c r="HT37" s="635">
        <f t="shared" si="134"/>
        <v>2.7611896298970828</v>
      </c>
      <c r="HU37" s="635">
        <v>1.11613116912226</v>
      </c>
      <c r="HV37" s="635">
        <v>3.5153924948669403E-2</v>
      </c>
      <c r="HW37" s="635">
        <f t="shared" si="135"/>
        <v>35.210116612685376</v>
      </c>
      <c r="HX37" s="635">
        <f t="shared" si="136"/>
        <v>3.501711127448436</v>
      </c>
      <c r="HY37" s="643">
        <v>0.31564999999999999</v>
      </c>
      <c r="HZ37" s="643">
        <v>4.2919999999999998E-3</v>
      </c>
      <c r="IA37" s="643">
        <v>2.1412E-2</v>
      </c>
      <c r="IB37" s="643">
        <v>1.232E-3</v>
      </c>
      <c r="IC37" s="643">
        <v>3.6870000000000002E-3</v>
      </c>
      <c r="ID37" s="643">
        <v>4.5399999999999998E-4</v>
      </c>
      <c r="IE37" s="643">
        <v>4.7075189999999996</v>
      </c>
      <c r="IF37" s="643">
        <v>6.3242999999999994E-2</v>
      </c>
      <c r="IG37" s="643">
        <v>9.6784999999999996E-2</v>
      </c>
      <c r="IH37" s="643">
        <v>1.5870000000000001E-3</v>
      </c>
      <c r="II37" s="643">
        <v>0.13525499999999999</v>
      </c>
      <c r="IJ37" s="643">
        <v>2.771E-3</v>
      </c>
      <c r="IK37" s="643">
        <v>0.18840499999999999</v>
      </c>
      <c r="IL37" s="643">
        <v>2.2060000000000001E-3</v>
      </c>
      <c r="IM37" s="643">
        <v>1.684E-3</v>
      </c>
      <c r="IN37" s="643">
        <v>4.5800000000000002E-4</v>
      </c>
      <c r="IO37" s="643">
        <v>5.6800000000000004E-4</v>
      </c>
      <c r="IP37" s="643">
        <v>2.6699999999999998E-4</v>
      </c>
      <c r="IQ37" s="643">
        <v>6.3E-5</v>
      </c>
      <c r="IR37" s="643">
        <v>9.6000000000000002E-5</v>
      </c>
      <c r="IS37" s="643">
        <v>2.5040000000000001E-3</v>
      </c>
      <c r="IT37" s="643">
        <v>2.5099999999999998E-4</v>
      </c>
      <c r="IU37" s="643">
        <v>6.6100000000000002E-4</v>
      </c>
      <c r="IV37" s="643">
        <v>2.1100000000000001E-4</v>
      </c>
      <c r="IW37" s="643">
        <v>3.7800000000000003E-4</v>
      </c>
      <c r="IX37" s="643">
        <v>1.5899999999999999E-4</v>
      </c>
      <c r="IY37" s="643">
        <v>1.63E-4</v>
      </c>
      <c r="IZ37" s="643">
        <v>5.0000000000000002E-5</v>
      </c>
      <c r="JA37" s="641">
        <f t="shared" si="137"/>
        <v>0.31396599999999997</v>
      </c>
      <c r="JB37" s="641">
        <f t="shared" si="138"/>
        <v>4.3163674542374166E-3</v>
      </c>
      <c r="JC37" s="641">
        <f t="shared" si="139"/>
        <v>2.0844000000000001E-2</v>
      </c>
      <c r="JD37" s="641">
        <f t="shared" si="140"/>
        <v>1.2606002538473487E-3</v>
      </c>
      <c r="JE37" s="641">
        <f t="shared" si="141"/>
        <v>3.6240000000000001E-3</v>
      </c>
      <c r="JF37" s="641">
        <f t="shared" si="142"/>
        <v>4.6403879148191907E-4</v>
      </c>
      <c r="JG37" s="641">
        <f t="shared" si="143"/>
        <v>4.7050149999999995</v>
      </c>
      <c r="JH37" s="641">
        <f t="shared" si="144"/>
        <v>6.3243498084783384E-2</v>
      </c>
      <c r="JI37" s="641">
        <f t="shared" si="145"/>
        <v>9.6124000000000001E-2</v>
      </c>
      <c r="JJ37" s="641">
        <f t="shared" si="146"/>
        <v>1.6009653337908352E-3</v>
      </c>
      <c r="JK37" s="641">
        <f t="shared" si="147"/>
        <v>0.134877</v>
      </c>
      <c r="JL37" s="641">
        <f t="shared" si="148"/>
        <v>2.7755579619240522E-3</v>
      </c>
      <c r="JM37" s="641">
        <f t="shared" si="149"/>
        <v>0.18824199999999999</v>
      </c>
      <c r="JN37" s="641">
        <f t="shared" si="150"/>
        <v>2.2065665636912023E-3</v>
      </c>
      <c r="JO37" s="641">
        <f t="shared" si="316"/>
        <v>0.31225692734403998</v>
      </c>
      <c r="JP37" s="641">
        <f t="shared" si="317"/>
        <v>4.3219114900079972E-3</v>
      </c>
      <c r="JQ37" s="641">
        <f t="shared" si="318"/>
        <v>-2.6856697482719981E-3</v>
      </c>
      <c r="JR37" s="641">
        <f t="shared" si="319"/>
        <v>3.2659704338713381E-3</v>
      </c>
      <c r="JS37" s="641">
        <f t="shared" si="320"/>
        <v>4.6861290290623838</v>
      </c>
      <c r="JT37" s="641">
        <f t="shared" si="321"/>
        <v>6.3289715567975427E-2</v>
      </c>
      <c r="JU37" s="641">
        <f t="shared" si="322"/>
        <v>7.2187408190440006E-2</v>
      </c>
      <c r="JV37" s="641">
        <f t="shared" si="323"/>
        <v>3.4579221477441971E-3</v>
      </c>
      <c r="JW37" s="641">
        <f t="shared" si="324"/>
        <v>0.12554891017147199</v>
      </c>
      <c r="JX37" s="641">
        <f t="shared" si="325"/>
        <v>3.0216506481636741E-3</v>
      </c>
      <c r="JY37" s="641">
        <f t="shared" si="326"/>
        <v>0.18035728665815198</v>
      </c>
      <c r="JZ37" s="641">
        <f t="shared" si="327"/>
        <v>2.4265697329334604E-3</v>
      </c>
      <c r="KA37" s="643">
        <v>1.7696448643015688E-12</v>
      </c>
      <c r="KB37" s="643">
        <v>3.8892524257744769E-14</v>
      </c>
      <c r="KC37" s="631">
        <v>1</v>
      </c>
      <c r="KD37" s="631">
        <v>0</v>
      </c>
      <c r="KE37" s="641">
        <f t="shared" si="163"/>
        <v>5.5258386781696841E-13</v>
      </c>
      <c r="KF37" s="641">
        <f t="shared" si="164"/>
        <v>1.4352129330978042E-14</v>
      </c>
      <c r="KG37" s="641">
        <f t="shared" si="165"/>
        <v>2.4653556020884143E-17</v>
      </c>
      <c r="KH37" s="641">
        <f t="shared" si="166"/>
        <v>6.403209452463839E-19</v>
      </c>
      <c r="KI37" s="635">
        <v>1.2430056234832578</v>
      </c>
      <c r="KJ37" s="635">
        <v>0.11113867994607306</v>
      </c>
      <c r="KK37" s="641">
        <f t="shared" si="167"/>
        <v>2.9499004794209072E-13</v>
      </c>
      <c r="KL37" s="641">
        <f t="shared" si="260"/>
        <v>3.8175545100797569E-14</v>
      </c>
      <c r="KM37" s="573">
        <f t="shared" si="168"/>
        <v>10.398767927518627</v>
      </c>
      <c r="KN37" s="573">
        <f t="shared" si="328"/>
        <v>1.3507356842348268</v>
      </c>
      <c r="KO37" s="638">
        <v>20.162258156415799</v>
      </c>
      <c r="KP37" s="638">
        <v>0.66285498057307002</v>
      </c>
      <c r="KQ37" s="652">
        <f t="shared" si="170"/>
        <v>1413.1270889745615</v>
      </c>
      <c r="KR37" s="652">
        <f t="shared" si="171"/>
        <v>59.31958233097955</v>
      </c>
      <c r="KS37" s="654">
        <f t="shared" si="172"/>
        <v>10.32945782393341</v>
      </c>
      <c r="KT37" s="654">
        <f t="shared" si="173"/>
        <v>0.54785495616668289</v>
      </c>
      <c r="KU37" s="637">
        <f t="shared" si="174"/>
        <v>4.6404840400514074</v>
      </c>
      <c r="KV37" s="637">
        <f t="shared" si="175"/>
        <v>6.3326534688131292E-2</v>
      </c>
      <c r="KW37" s="641">
        <f t="shared" si="176"/>
        <v>8.2120087493503687E-12</v>
      </c>
      <c r="KX37" s="641">
        <f t="shared" si="177"/>
        <v>2.1244234831209827E-13</v>
      </c>
      <c r="KY37" s="641">
        <f t="shared" si="178"/>
        <v>3.6637916800922431E-16</v>
      </c>
      <c r="KZ37" s="641">
        <f t="shared" si="179"/>
        <v>9.4781256595996015E-18</v>
      </c>
      <c r="LA37" s="635">
        <v>1.2485542932379501</v>
      </c>
      <c r="LB37" s="635">
        <v>5.9627651953476503E-2</v>
      </c>
      <c r="LC37" s="641">
        <f t="shared" si="180"/>
        <v>3.0778640631746566E-9</v>
      </c>
      <c r="LD37" s="641">
        <f t="shared" si="181"/>
        <v>3.5006550390012399E-10</v>
      </c>
      <c r="LE37" s="647">
        <f t="shared" si="182"/>
        <v>117.40939950099614</v>
      </c>
      <c r="LF37" s="647">
        <f t="shared" si="183"/>
        <v>13.358734848359319</v>
      </c>
      <c r="LG37" s="655"/>
      <c r="LH37" s="655"/>
      <c r="LI37" s="656"/>
      <c r="LJ37" s="656"/>
      <c r="LK37" s="656"/>
      <c r="LL37" s="656"/>
      <c r="LM37" s="641">
        <f t="shared" si="184"/>
        <v>2.221769841036044E-13</v>
      </c>
      <c r="LN37" s="641">
        <f t="shared" si="185"/>
        <v>7.2412648436456863E-15</v>
      </c>
      <c r="LO37" s="641">
        <f t="shared" si="186"/>
        <v>9.9124369044439537E-18</v>
      </c>
      <c r="LP37" s="641">
        <f t="shared" si="187"/>
        <v>3.230693817002217E-19</v>
      </c>
      <c r="LQ37" s="641">
        <f t="shared" si="188"/>
        <v>2.523212316884257E-12</v>
      </c>
      <c r="LR37" s="641">
        <f t="shared" si="189"/>
        <v>2.4068406245105328E-13</v>
      </c>
      <c r="LS37" s="637">
        <f t="shared" si="190"/>
        <v>166.8326326351484</v>
      </c>
      <c r="LT37" s="637">
        <f t="shared" si="191"/>
        <v>15.935671007767123</v>
      </c>
      <c r="LW37" s="658" t="str">
        <f t="shared" si="192"/>
        <v>125z2</v>
      </c>
      <c r="LX37" s="658" t="str">
        <f t="shared" si="193"/>
        <v>MN2022a</v>
      </c>
      <c r="LY37" s="659">
        <f t="shared" si="194"/>
        <v>6863.8467656826506</v>
      </c>
      <c r="LZ37" s="659">
        <f t="shared" si="195"/>
        <v>77.248409821090817</v>
      </c>
      <c r="MA37" s="659">
        <f t="shared" si="196"/>
        <v>14.596836665420527</v>
      </c>
      <c r="MB37" s="659">
        <f t="shared" si="197"/>
        <v>0.47320067353242046</v>
      </c>
      <c r="MC37" s="659">
        <f t="shared" si="198"/>
        <v>46361.990035201357</v>
      </c>
      <c r="MD37" s="659">
        <f t="shared" si="199"/>
        <v>3518.0569834218204</v>
      </c>
      <c r="ME37" s="659">
        <f t="shared" si="200"/>
        <v>28.86504120847459</v>
      </c>
      <c r="MF37" s="659">
        <f t="shared" si="201"/>
        <v>2.7611896298970828</v>
      </c>
      <c r="MG37" s="659">
        <f t="shared" si="202"/>
        <v>35.210116612685376</v>
      </c>
      <c r="MH37" s="659">
        <f t="shared" si="203"/>
        <v>3.501711127448436</v>
      </c>
      <c r="MI37" s="659">
        <f t="shared" si="204"/>
        <v>27.540300137076276</v>
      </c>
      <c r="MJ37" s="659">
        <f t="shared" si="205"/>
        <v>0.98537184189890092</v>
      </c>
      <c r="MK37" s="659">
        <f t="shared" si="206"/>
        <v>26.915354529766201</v>
      </c>
      <c r="ML37" s="659">
        <f t="shared" si="207"/>
        <v>1.1930872871978691</v>
      </c>
      <c r="MM37" s="659">
        <f t="shared" si="261"/>
        <v>10.398767927518627</v>
      </c>
      <c r="MN37" s="659">
        <f t="shared" si="208"/>
        <v>1.3507356842348268</v>
      </c>
      <c r="MO37" s="659">
        <f t="shared" si="209"/>
        <v>10.32945782393341</v>
      </c>
      <c r="MP37" s="659">
        <f t="shared" si="210"/>
        <v>0.54785495616668289</v>
      </c>
      <c r="MQ37" s="660"/>
      <c r="MR37" s="660"/>
      <c r="MS37" s="660"/>
      <c r="MT37" s="660"/>
      <c r="MU37" s="661">
        <f t="shared" si="273"/>
        <v>470.22837365460833</v>
      </c>
      <c r="MV37" s="661">
        <f t="shared" si="274"/>
        <v>5.2931845320471353</v>
      </c>
      <c r="MW37" s="662">
        <f t="shared" si="211"/>
        <v>1.886730719013828E-3</v>
      </c>
      <c r="MX37" s="662">
        <f t="shared" si="212"/>
        <v>9.1093828511428033E-5</v>
      </c>
      <c r="MY37" s="662">
        <f t="shared" si="213"/>
        <v>1.8439169490419714E-3</v>
      </c>
      <c r="MZ37" s="662">
        <f t="shared" si="214"/>
        <v>1.0126186308902511E-4</v>
      </c>
      <c r="NA37" s="663">
        <f t="shared" si="295"/>
        <v>7.1239873171650937E-4</v>
      </c>
      <c r="NB37" s="663">
        <f t="shared" si="296"/>
        <v>9.5374554818181657E-5</v>
      </c>
      <c r="NC37" s="661">
        <f t="shared" si="275"/>
        <v>426.38699204765499</v>
      </c>
      <c r="ND37" s="661">
        <f t="shared" si="276"/>
        <v>4.3001677707082022</v>
      </c>
      <c r="NE37" s="662">
        <f t="shared" si="217"/>
        <v>8.3713286169900445E-4</v>
      </c>
      <c r="NF37" s="662">
        <f t="shared" si="218"/>
        <v>3.998205368998266E-5</v>
      </c>
      <c r="NG37" s="663">
        <f t="shared" si="219"/>
        <v>8.1813660886044537E-4</v>
      </c>
      <c r="NH37" s="663">
        <f t="shared" si="220"/>
        <v>3.9074779306609044E-5</v>
      </c>
      <c r="NI37" s="662">
        <f t="shared" ref="NI37:NJ37" si="348">NA37*$NC$4/NI$3</f>
        <v>1.9902113956699405E-4</v>
      </c>
      <c r="NJ37" s="662">
        <f t="shared" si="348"/>
        <v>2.6644562575053461E-5</v>
      </c>
      <c r="NK37" s="664">
        <f t="shared" si="329"/>
        <v>1.3172901273906392E-9</v>
      </c>
      <c r="NL37" s="664">
        <f t="shared" si="330"/>
        <v>6.2093654078039455E-11</v>
      </c>
      <c r="NM37" s="664">
        <f t="shared" si="331"/>
        <v>2.0786353298677389E-7</v>
      </c>
      <c r="NN37" s="664">
        <f t="shared" si="332"/>
        <v>1.2912613892553895E-9</v>
      </c>
      <c r="NO37" s="664">
        <f t="shared" si="333"/>
        <v>2.707067308165101E-6</v>
      </c>
      <c r="NP37" s="664">
        <f t="shared" si="334"/>
        <v>1.649334548937778E-8</v>
      </c>
      <c r="NQ37" s="664">
        <f t="shared" si="335"/>
        <v>2.3178080755211678E-6</v>
      </c>
      <c r="NR37" s="664">
        <f t="shared" si="336"/>
        <v>2.329411483961679E-8</v>
      </c>
      <c r="NS37" s="664">
        <f t="shared" si="337"/>
        <v>9.4604904515583994E-8</v>
      </c>
      <c r="NT37" s="664">
        <f t="shared" si="338"/>
        <v>1.4565860720565147E-8</v>
      </c>
      <c r="NU37" s="664">
        <f t="shared" si="339"/>
        <v>6.5136359375611219E-11</v>
      </c>
      <c r="NV37" s="664">
        <f t="shared" si="340"/>
        <v>6.2167020476344799E-12</v>
      </c>
      <c r="NW37" s="664">
        <f t="shared" si="341"/>
        <v>1.7814424967302461E-12</v>
      </c>
      <c r="NX37" s="664">
        <f t="shared" si="342"/>
        <v>2.3161355023129582E-13</v>
      </c>
      <c r="NY37" s="664">
        <f t="shared" si="343"/>
        <v>4.7251484148923338E-11</v>
      </c>
      <c r="NZ37" s="664">
        <f t="shared" si="344"/>
        <v>1.3242310271030555E-12</v>
      </c>
      <c r="OA37" s="665">
        <f t="shared" si="262"/>
        <v>2055.0274019948888</v>
      </c>
      <c r="OB37" s="665">
        <f t="shared" si="238"/>
        <v>96.309109809779414</v>
      </c>
      <c r="OC37" s="665">
        <f t="shared" si="239"/>
        <v>71.817819437379825</v>
      </c>
      <c r="OD37" s="665">
        <f t="shared" si="263"/>
        <v>11.564054201005817</v>
      </c>
      <c r="OE37" s="664">
        <f t="shared" si="264"/>
        <v>4.9447238707115267E-2</v>
      </c>
      <c r="OF37" s="664">
        <f t="shared" si="265"/>
        <v>5.2518897347857731E-3</v>
      </c>
      <c r="OG37" s="664">
        <f t="shared" si="266"/>
        <v>1.3523539421486635E-3</v>
      </c>
      <c r="OH37" s="664">
        <f t="shared" si="267"/>
        <v>1.8702490171086211E-4</v>
      </c>
      <c r="OI37" s="664">
        <f t="shared" si="268"/>
        <v>3.587021808363635E-2</v>
      </c>
      <c r="OJ37" s="664">
        <f t="shared" si="269"/>
        <v>1.9670968630406222E-3</v>
      </c>
      <c r="OK37" s="664">
        <f t="shared" si="240"/>
        <v>7.6785505982733593E-2</v>
      </c>
      <c r="OL37" s="664">
        <f t="shared" si="241"/>
        <v>2.7678272792549521E-4</v>
      </c>
      <c r="OM37" s="664">
        <f t="shared" si="242"/>
        <v>4.8661151624025266E-4</v>
      </c>
      <c r="ON37" s="664">
        <f t="shared" si="243"/>
        <v>2.2805108051986117E-5</v>
      </c>
      <c r="OO37" s="664">
        <f t="shared" si="244"/>
        <v>157.79631887055999</v>
      </c>
      <c r="OP37" s="664">
        <f t="shared" si="245"/>
        <v>7.395143727490562</v>
      </c>
      <c r="OQ37" s="664">
        <f t="shared" si="246"/>
        <v>4.3536063349529095E-3</v>
      </c>
      <c r="OR37" s="664">
        <f t="shared" si="247"/>
        <v>9.2169599584457924E-6</v>
      </c>
    </row>
    <row r="38" spans="2:408">
      <c r="D38" s="66"/>
      <c r="J38" s="327"/>
      <c r="V38" s="6"/>
      <c r="W38" s="6"/>
      <c r="X38" s="6"/>
      <c r="Y38" s="118"/>
      <c r="Z38" s="118"/>
      <c r="AA38" s="118"/>
      <c r="AB38" s="118"/>
      <c r="AC38" s="118"/>
      <c r="AD38" s="118"/>
      <c r="AE38" s="118"/>
      <c r="AF38" s="118"/>
      <c r="AG38" s="118"/>
      <c r="AH38" s="118"/>
      <c r="AI38" s="147"/>
      <c r="AJ38" s="147"/>
      <c r="AK38" s="147"/>
      <c r="AL38" s="147"/>
      <c r="AM38" s="147"/>
      <c r="AN38" s="147"/>
      <c r="AO38" s="147"/>
      <c r="AP38" s="147"/>
      <c r="AQ38" s="147"/>
      <c r="AR38" s="147"/>
      <c r="AS38" s="4"/>
      <c r="AT38" s="4"/>
      <c r="AU38" s="133"/>
      <c r="AV38" s="133"/>
      <c r="AW38" s="133"/>
      <c r="AX38" s="133"/>
      <c r="AY38" s="133"/>
      <c r="AZ38" s="133"/>
      <c r="BA38" s="133"/>
      <c r="BB38" s="133"/>
      <c r="BC38" s="6"/>
      <c r="BD38" s="8"/>
      <c r="BE38" s="8"/>
      <c r="BF38" s="8"/>
      <c r="BG38" s="8"/>
      <c r="BH38" s="8"/>
      <c r="BM38" s="133"/>
      <c r="BN38" s="133"/>
      <c r="BO38" s="143"/>
      <c r="BP38" s="133"/>
      <c r="BQ38" s="143"/>
      <c r="BR38" s="133"/>
      <c r="BS38" s="143"/>
      <c r="BT38" s="133"/>
      <c r="BU38" s="147"/>
      <c r="BV38" s="147"/>
      <c r="BX38" s="147"/>
      <c r="BY38" s="147"/>
      <c r="CD38" s="3"/>
      <c r="CE38" s="3"/>
      <c r="CF38" s="157"/>
      <c r="CG38" s="157"/>
      <c r="CH38" s="157"/>
      <c r="CI38" s="158"/>
      <c r="CJ38" s="157"/>
      <c r="CK38" s="477"/>
      <c r="CL38" s="157"/>
      <c r="CM38" s="157"/>
      <c r="CN38" s="157"/>
      <c r="CO38" s="157"/>
      <c r="CP38" s="157"/>
      <c r="CQ38" s="157"/>
      <c r="CR38" s="157"/>
      <c r="CS38" s="157"/>
      <c r="CT38" s="66"/>
      <c r="CU38" s="66"/>
      <c r="CV38" s="3"/>
      <c r="CW38" s="60"/>
      <c r="CX38" s="3"/>
      <c r="CY38" s="3"/>
      <c r="CZ38" s="6"/>
      <c r="DA38" s="6"/>
      <c r="DB38" s="4"/>
      <c r="DC38" s="4"/>
      <c r="DD38" s="157"/>
      <c r="DE38" s="157"/>
      <c r="DF38" s="147"/>
      <c r="DG38" s="147"/>
      <c r="DH38" s="159"/>
      <c r="DI38" s="167"/>
      <c r="DJ38" s="157"/>
      <c r="DK38" s="157"/>
      <c r="DL38" s="147"/>
      <c r="DM38" s="133"/>
      <c r="DN38" s="159"/>
      <c r="DO38" s="167"/>
      <c r="DP38" s="157"/>
      <c r="DQ38" s="157"/>
      <c r="DR38" s="143"/>
      <c r="DS38" s="143"/>
      <c r="DT38" s="147"/>
      <c r="DU38" s="147"/>
      <c r="DV38" s="133"/>
      <c r="DW38" s="133"/>
      <c r="DX38" s="133"/>
      <c r="DY38" s="133"/>
      <c r="DZ38" s="133"/>
      <c r="EA38" s="133"/>
      <c r="EB38" s="133"/>
      <c r="EC38" s="133"/>
      <c r="ED38" s="157"/>
      <c r="EE38" s="157"/>
      <c r="EF38" s="147"/>
      <c r="EG38" s="147"/>
      <c r="EH38" s="157"/>
      <c r="EI38" s="157"/>
      <c r="EJ38" s="143"/>
      <c r="EK38" s="143"/>
      <c r="EL38" s="143"/>
      <c r="EM38" s="133"/>
      <c r="EN38" s="133"/>
      <c r="EO38" s="133"/>
      <c r="EP38" s="501"/>
      <c r="EQ38" s="143"/>
      <c r="ER38" s="143"/>
      <c r="ES38" s="147"/>
      <c r="ET38" s="147"/>
      <c r="EU38" s="143"/>
      <c r="EV38" s="143"/>
      <c r="EW38" s="157"/>
      <c r="EX38" s="157"/>
      <c r="EY38" s="157"/>
      <c r="EZ38" s="157"/>
      <c r="GG38" s="3"/>
      <c r="GH38" s="3"/>
      <c r="GI38" s="6"/>
      <c r="GJ38" s="6"/>
      <c r="GK38" s="157"/>
      <c r="GL38" s="157"/>
      <c r="GM38" s="157"/>
      <c r="GN38" s="157"/>
      <c r="GO38" s="157"/>
      <c r="GP38" s="157"/>
      <c r="GQ38" s="157"/>
      <c r="GR38" s="157"/>
      <c r="GS38" s="157"/>
      <c r="GT38" s="157"/>
      <c r="GU38" s="157"/>
      <c r="GV38" s="157"/>
      <c r="GW38" s="157"/>
      <c r="GX38" s="157"/>
      <c r="GY38" s="147"/>
      <c r="GZ38" s="147"/>
      <c r="HA38" s="4"/>
      <c r="HB38" s="4"/>
      <c r="HC38" s="228"/>
      <c r="HD38" s="228"/>
      <c r="HE38" s="239"/>
      <c r="HF38" s="229"/>
      <c r="HG38" s="362"/>
      <c r="HH38" s="362"/>
      <c r="HI38" s="4"/>
      <c r="HJ38" s="4"/>
      <c r="HK38" s="228"/>
      <c r="HL38" s="228"/>
      <c r="HM38" s="239"/>
      <c r="HN38" s="229"/>
      <c r="HO38" s="362"/>
      <c r="HP38" s="362"/>
      <c r="HQ38" s="6"/>
      <c r="HR38" s="6"/>
      <c r="HS38" s="6"/>
      <c r="HT38" s="6"/>
      <c r="HU38" s="6"/>
      <c r="HV38" s="6"/>
      <c r="HW38" s="6"/>
      <c r="HX38" s="6"/>
      <c r="KA38" s="3"/>
      <c r="KB38" s="3"/>
      <c r="KE38" s="157"/>
      <c r="KF38" s="157"/>
      <c r="KG38" s="157"/>
      <c r="KH38" s="157"/>
      <c r="KI38" s="6"/>
      <c r="KJ38" s="6"/>
      <c r="KK38" s="157"/>
      <c r="KL38" s="157"/>
      <c r="KM38" s="494"/>
      <c r="KN38" s="494"/>
      <c r="KO38" s="467"/>
      <c r="KP38" s="467"/>
      <c r="KQ38" s="229"/>
      <c r="KR38" s="229"/>
      <c r="KS38" s="364"/>
      <c r="KT38" s="364"/>
      <c r="KU38" s="147"/>
      <c r="KV38" s="147"/>
      <c r="KW38" s="157"/>
      <c r="KX38" s="157"/>
      <c r="KY38" s="157"/>
      <c r="KZ38" s="157"/>
      <c r="LA38" s="6"/>
      <c r="LB38" s="6"/>
      <c r="LC38" s="157"/>
      <c r="LD38" s="157"/>
      <c r="LE38" s="159"/>
      <c r="LF38" s="159"/>
      <c r="LG38" s="471"/>
      <c r="LH38" s="471"/>
      <c r="LM38" s="157"/>
      <c r="LN38" s="157"/>
      <c r="LO38" s="157"/>
      <c r="LP38" s="157"/>
      <c r="LQ38" s="157"/>
      <c r="LR38" s="157"/>
      <c r="LS38" s="147"/>
      <c r="LT38" s="147"/>
      <c r="LW38" s="214"/>
      <c r="LX38" s="214"/>
      <c r="LY38" s="212"/>
      <c r="LZ38" s="212"/>
      <c r="MA38" s="212"/>
      <c r="MB38" s="212"/>
      <c r="MC38" s="212"/>
      <c r="MD38" s="212"/>
      <c r="ME38" s="212"/>
      <c r="MF38" s="212"/>
      <c r="MG38" s="212"/>
      <c r="MH38" s="212"/>
      <c r="MI38" s="212"/>
      <c r="MJ38" s="212"/>
      <c r="MK38" s="212"/>
      <c r="ML38" s="212"/>
      <c r="MM38" s="212"/>
      <c r="MN38" s="212"/>
      <c r="MO38" s="212"/>
      <c r="MP38" s="212"/>
      <c r="MQ38" s="211"/>
      <c r="MR38" s="211"/>
      <c r="MS38" s="211"/>
      <c r="MT38" s="211"/>
      <c r="MU38" s="506"/>
      <c r="MV38" s="506"/>
      <c r="MW38" s="109"/>
      <c r="MX38" s="109"/>
      <c r="MY38" s="109"/>
      <c r="MZ38" s="109"/>
      <c r="NA38" s="513"/>
      <c r="NB38" s="513"/>
      <c r="NC38" s="512"/>
      <c r="ND38" s="512"/>
      <c r="NE38" s="109"/>
      <c r="NF38" s="109"/>
      <c r="NG38" s="513"/>
      <c r="NH38" s="513"/>
      <c r="NI38" s="109"/>
      <c r="NJ38" s="109"/>
    </row>
    <row r="39" spans="2:408">
      <c r="D39" s="66"/>
      <c r="J39" s="327"/>
      <c r="V39" s="6"/>
      <c r="W39" s="6"/>
      <c r="X39" s="6"/>
      <c r="Y39" s="118"/>
      <c r="Z39" s="118"/>
      <c r="AA39" s="118"/>
      <c r="AB39" s="118"/>
      <c r="AC39" s="118"/>
      <c r="AD39" s="118"/>
      <c r="AE39" s="118"/>
      <c r="AF39" s="118"/>
      <c r="AG39" s="118"/>
      <c r="AH39" s="118"/>
      <c r="AI39" s="147"/>
      <c r="AJ39" s="147"/>
      <c r="AK39" s="147"/>
      <c r="AL39" s="147"/>
      <c r="AM39" s="147"/>
      <c r="AN39" s="147"/>
      <c r="AO39" s="147"/>
      <c r="AP39" s="147"/>
      <c r="AQ39" s="147"/>
      <c r="AR39" s="147"/>
      <c r="AS39" s="4"/>
      <c r="AT39" s="4"/>
      <c r="AU39" s="133"/>
      <c r="AV39" s="133"/>
      <c r="AW39" s="133"/>
      <c r="AX39" s="133"/>
      <c r="AY39" s="133"/>
      <c r="AZ39" s="133"/>
      <c r="BA39" s="133"/>
      <c r="BB39" s="133"/>
      <c r="BC39" s="6"/>
      <c r="BD39" s="8"/>
      <c r="BE39" s="8"/>
      <c r="BF39" s="8"/>
      <c r="BG39" s="8"/>
      <c r="BH39" s="8"/>
      <c r="BM39" s="133"/>
      <c r="BN39" s="133"/>
      <c r="BO39" s="143"/>
      <c r="BP39" s="133"/>
      <c r="BQ39" s="143"/>
      <c r="BR39" s="133"/>
      <c r="BS39" s="143"/>
      <c r="BT39" s="133"/>
      <c r="BU39" s="147"/>
      <c r="BV39" s="147"/>
      <c r="BX39" s="147"/>
      <c r="BY39" s="147"/>
      <c r="CD39" s="3"/>
      <c r="CE39" s="3"/>
      <c r="CF39" s="157"/>
      <c r="CG39" s="157"/>
      <c r="CH39" s="157"/>
      <c r="CI39" s="158"/>
      <c r="CJ39" s="157"/>
      <c r="CK39" s="477"/>
      <c r="CL39" s="157"/>
      <c r="CM39" s="157"/>
      <c r="CN39" s="157"/>
      <c r="CO39" s="157"/>
      <c r="CP39" s="157"/>
      <c r="CQ39" s="157"/>
      <c r="CR39" s="157"/>
      <c r="CS39" s="157"/>
      <c r="CT39" s="66"/>
      <c r="CU39" s="66"/>
      <c r="CV39" s="3"/>
      <c r="CW39" s="60"/>
      <c r="CX39" s="3"/>
      <c r="CY39" s="3"/>
      <c r="CZ39" s="6"/>
      <c r="DA39" s="6"/>
      <c r="DB39" s="4"/>
      <c r="DC39" s="4"/>
      <c r="DD39" s="157"/>
      <c r="DE39" s="157"/>
      <c r="DF39" s="147"/>
      <c r="DG39" s="147"/>
      <c r="DH39" s="159"/>
      <c r="DI39" s="167"/>
      <c r="DJ39" s="157"/>
      <c r="DK39" s="157"/>
      <c r="DL39" s="147"/>
      <c r="DM39" s="133"/>
      <c r="DN39" s="159"/>
      <c r="DO39" s="167"/>
      <c r="DP39" s="157"/>
      <c r="DQ39" s="157"/>
      <c r="DR39" s="143"/>
      <c r="DS39" s="143"/>
      <c r="DT39" s="147"/>
      <c r="DU39" s="147"/>
      <c r="DV39" s="133"/>
      <c r="DW39" s="133"/>
      <c r="DX39" s="133"/>
      <c r="DY39" s="133"/>
      <c r="DZ39" s="133"/>
      <c r="EA39" s="133"/>
      <c r="EB39" s="133"/>
      <c r="EC39" s="133"/>
      <c r="ED39" s="157"/>
      <c r="EE39" s="157"/>
      <c r="EF39" s="147"/>
      <c r="EG39" s="147"/>
      <c r="EH39" s="157"/>
      <c r="EI39" s="157"/>
      <c r="EJ39" s="143"/>
      <c r="EK39" s="143"/>
      <c r="EL39" s="143"/>
      <c r="EM39" s="133"/>
      <c r="EN39" s="133"/>
      <c r="EO39" s="133"/>
      <c r="EP39" s="501"/>
      <c r="EQ39" s="143"/>
      <c r="ER39" s="143"/>
      <c r="ES39" s="147"/>
      <c r="ET39" s="147"/>
      <c r="EU39" s="143"/>
      <c r="EV39" s="143"/>
      <c r="EW39" s="157"/>
      <c r="EX39" s="157"/>
      <c r="EY39" s="157"/>
      <c r="EZ39" s="157"/>
      <c r="GG39" s="3"/>
      <c r="GH39" s="3"/>
      <c r="GI39" s="6"/>
      <c r="GJ39" s="6"/>
      <c r="GK39" s="157"/>
      <c r="GL39" s="157"/>
      <c r="GM39" s="157"/>
      <c r="GN39" s="157"/>
      <c r="GO39" s="157"/>
      <c r="GP39" s="157"/>
      <c r="GQ39" s="157"/>
      <c r="GR39" s="157"/>
      <c r="GS39" s="157"/>
      <c r="GT39" s="157"/>
      <c r="GU39" s="157"/>
      <c r="GV39" s="157"/>
      <c r="GW39" s="157"/>
      <c r="GX39" s="157"/>
      <c r="GY39" s="147"/>
      <c r="GZ39" s="147"/>
      <c r="HA39" s="4"/>
      <c r="HB39" s="4"/>
      <c r="HC39" s="228"/>
      <c r="HD39" s="228"/>
      <c r="HE39" s="239"/>
      <c r="HF39" s="229"/>
      <c r="HG39" s="362"/>
      <c r="HH39" s="362"/>
      <c r="HI39" s="4"/>
      <c r="HJ39" s="4"/>
      <c r="HK39" s="228"/>
      <c r="HL39" s="228"/>
      <c r="HM39" s="239"/>
      <c r="HN39" s="229"/>
      <c r="HO39" s="362"/>
      <c r="HP39" s="362"/>
      <c r="HQ39" s="6"/>
      <c r="HR39" s="6"/>
      <c r="HS39" s="6"/>
      <c r="HT39" s="6"/>
      <c r="HU39" s="6"/>
      <c r="HV39" s="6"/>
      <c r="HW39" s="6"/>
      <c r="HX39" s="6"/>
      <c r="KA39" s="3"/>
      <c r="KB39" s="3"/>
      <c r="KE39" s="157"/>
      <c r="KF39" s="157"/>
      <c r="KG39" s="157"/>
      <c r="KH39" s="157"/>
      <c r="KI39" s="6"/>
      <c r="KJ39" s="6"/>
      <c r="KK39" s="157">
        <f>KK37/C37</f>
        <v>8.1941679983914094E-11</v>
      </c>
      <c r="KL39" s="157"/>
      <c r="KM39" s="494">
        <f>KK39*MW_I*1000000000</f>
        <v>10.398767927518627</v>
      </c>
      <c r="KN39" s="494"/>
      <c r="KO39" s="467"/>
      <c r="KP39" s="467"/>
      <c r="KQ39" s="229"/>
      <c r="KR39" s="229"/>
      <c r="KS39" s="364"/>
      <c r="KT39" s="364"/>
      <c r="KU39" s="147"/>
      <c r="KV39" s="147"/>
      <c r="KW39" s="157"/>
      <c r="KX39" s="157"/>
      <c r="KY39" s="157"/>
      <c r="KZ39" s="157"/>
      <c r="LA39" s="6"/>
      <c r="LB39" s="6"/>
      <c r="LC39" s="157"/>
      <c r="LD39" s="157"/>
      <c r="LE39" s="159"/>
      <c r="LF39" s="159"/>
      <c r="LG39" s="471"/>
      <c r="LH39" s="471"/>
      <c r="LM39" s="157"/>
      <c r="LN39" s="157"/>
      <c r="LO39" s="157"/>
      <c r="LP39" s="157"/>
      <c r="LQ39" s="157"/>
      <c r="LR39" s="157"/>
      <c r="LS39" s="147"/>
      <c r="LT39" s="147"/>
      <c r="LW39" s="214"/>
      <c r="LX39" s="214"/>
      <c r="LY39" s="212"/>
      <c r="LZ39" s="212"/>
      <c r="MA39" s="212"/>
      <c r="MB39" s="212"/>
      <c r="MC39" s="212"/>
      <c r="MD39" s="212"/>
      <c r="ME39" s="212"/>
      <c r="MF39" s="212"/>
      <c r="MG39" s="212"/>
      <c r="MH39" s="212"/>
      <c r="MI39" s="212"/>
      <c r="MJ39" s="212"/>
      <c r="MK39" s="212"/>
      <c r="ML39" s="212"/>
      <c r="MM39" s="212"/>
      <c r="MN39" s="212"/>
      <c r="MO39" s="212"/>
      <c r="MP39" s="212"/>
      <c r="MQ39" s="211"/>
      <c r="MR39" s="211"/>
      <c r="MS39" s="211"/>
      <c r="MT39" s="211"/>
      <c r="MU39" s="506"/>
      <c r="MV39" s="506"/>
      <c r="MW39" s="109"/>
      <c r="MX39" s="109"/>
      <c r="MY39" s="109"/>
      <c r="MZ39" s="109"/>
      <c r="NB39" s="513"/>
      <c r="NC39" s="512"/>
      <c r="ND39" s="512"/>
      <c r="NE39" s="109"/>
      <c r="NF39" s="109"/>
      <c r="NG39" s="513"/>
      <c r="NH39" s="513"/>
      <c r="NI39" s="701"/>
      <c r="NJ39" s="109"/>
    </row>
    <row r="40" spans="2:408">
      <c r="D40" s="66"/>
      <c r="J40" s="327"/>
      <c r="V40" s="6"/>
      <c r="W40" s="6"/>
      <c r="X40" s="6"/>
      <c r="Y40" s="118"/>
      <c r="Z40" s="118"/>
      <c r="AA40" s="118"/>
      <c r="AB40" s="118"/>
      <c r="AC40" s="118"/>
      <c r="AD40" s="118"/>
      <c r="AE40" s="118"/>
      <c r="AF40" s="118"/>
      <c r="AG40" s="118"/>
      <c r="AH40" s="118"/>
      <c r="AI40" s="147"/>
      <c r="AJ40" s="147"/>
      <c r="AK40" s="147"/>
      <c r="AL40" s="147"/>
      <c r="AM40" s="147"/>
      <c r="AN40" s="147"/>
      <c r="AO40" s="147"/>
      <c r="AP40" s="147"/>
      <c r="AQ40" s="147"/>
      <c r="AR40" s="147"/>
      <c r="AS40" s="4"/>
      <c r="AT40" s="4"/>
      <c r="AU40" s="133"/>
      <c r="AV40" s="133"/>
      <c r="AW40" s="133"/>
      <c r="AX40" s="133"/>
      <c r="AY40" s="133"/>
      <c r="AZ40" s="133"/>
      <c r="BA40" s="133"/>
      <c r="BB40" s="133"/>
      <c r="BC40" s="6"/>
      <c r="BD40" s="8"/>
      <c r="BE40" s="8"/>
      <c r="BF40" s="8"/>
      <c r="BG40" s="8"/>
      <c r="BH40" s="8"/>
      <c r="BM40" s="133"/>
      <c r="BN40" s="133"/>
      <c r="BO40" s="143"/>
      <c r="BP40" s="133"/>
      <c r="BQ40" s="143"/>
      <c r="BR40" s="133"/>
      <c r="BS40" s="143"/>
      <c r="BT40" s="133"/>
      <c r="BU40" s="147"/>
      <c r="BV40" s="147"/>
      <c r="BX40" s="147"/>
      <c r="BY40" s="147"/>
      <c r="CD40" s="3"/>
      <c r="CE40" s="3"/>
      <c r="CF40" s="157"/>
      <c r="CG40" s="157"/>
      <c r="CH40" s="157"/>
      <c r="CI40" s="158"/>
      <c r="CJ40" s="157"/>
      <c r="CK40" s="477"/>
      <c r="CL40" s="157"/>
      <c r="CM40" s="157"/>
      <c r="CN40" s="157"/>
      <c r="CO40" s="157"/>
      <c r="CP40" s="157"/>
      <c r="CQ40" s="157"/>
      <c r="CR40" s="157"/>
      <c r="CS40" s="157"/>
      <c r="CT40" s="66"/>
      <c r="CU40" s="66"/>
      <c r="CV40" s="3"/>
      <c r="CW40" s="60"/>
      <c r="CX40" s="3"/>
      <c r="CY40" s="3"/>
      <c r="CZ40" s="6"/>
      <c r="DA40" s="6"/>
      <c r="DB40" s="4"/>
      <c r="DC40" s="4"/>
      <c r="DD40" s="157"/>
      <c r="DE40" s="157"/>
      <c r="DF40" s="147"/>
      <c r="DG40" s="147"/>
      <c r="DH40" s="159"/>
      <c r="DI40" s="167"/>
      <c r="DJ40" s="157"/>
      <c r="DK40" s="157"/>
      <c r="DL40" s="147"/>
      <c r="DM40" s="133"/>
      <c r="DN40" s="159"/>
      <c r="DO40" s="167"/>
      <c r="DP40" s="157"/>
      <c r="DQ40" s="157"/>
      <c r="DR40" s="143"/>
      <c r="DS40" s="143"/>
      <c r="DT40" s="147"/>
      <c r="DU40" s="147"/>
      <c r="DV40" s="133"/>
      <c r="DW40" s="133"/>
      <c r="DX40" s="133"/>
      <c r="DY40" s="133"/>
      <c r="DZ40" s="133"/>
      <c r="EA40" s="133"/>
      <c r="EB40" s="133"/>
      <c r="EC40" s="133"/>
      <c r="ED40" s="157"/>
      <c r="EE40" s="157"/>
      <c r="EF40" s="147"/>
      <c r="EG40" s="147"/>
      <c r="EH40" s="157"/>
      <c r="EI40" s="157"/>
      <c r="EJ40" s="143"/>
      <c r="EK40" s="143"/>
      <c r="EL40" s="143"/>
      <c r="EM40" s="133"/>
      <c r="EN40" s="133"/>
      <c r="EO40" s="133"/>
      <c r="EP40" s="501"/>
      <c r="EQ40" s="143"/>
      <c r="ER40" s="143"/>
      <c r="ES40" s="147"/>
      <c r="ET40" s="147"/>
      <c r="EU40" s="143"/>
      <c r="EV40" s="143"/>
      <c r="EW40" s="157"/>
      <c r="EX40" s="157"/>
      <c r="EY40" s="157"/>
      <c r="EZ40" s="157"/>
      <c r="GG40" s="3"/>
      <c r="GH40" s="3"/>
      <c r="GI40" s="6"/>
      <c r="GJ40" s="6"/>
      <c r="GK40" s="157"/>
      <c r="GL40" s="157"/>
      <c r="GM40" s="157"/>
      <c r="GN40" s="157"/>
      <c r="GO40" s="157"/>
      <c r="GP40" s="157"/>
      <c r="GQ40" s="157"/>
      <c r="GR40" s="157"/>
      <c r="GS40" s="157"/>
      <c r="GT40" s="157"/>
      <c r="GU40" s="157"/>
      <c r="GV40" s="157"/>
      <c r="GW40" s="157"/>
      <c r="GX40" s="157"/>
      <c r="GY40" s="147"/>
      <c r="GZ40" s="147"/>
      <c r="HA40" s="4"/>
      <c r="HB40" s="4"/>
      <c r="HC40" s="228"/>
      <c r="HD40" s="228"/>
      <c r="HE40" s="239">
        <f>HE37/C37</f>
        <v>3.4466735253649733E-10</v>
      </c>
      <c r="HF40" s="229"/>
      <c r="HG40" s="362">
        <f>HE40*MW_Br*1000000000</f>
        <v>27.540300137076283</v>
      </c>
      <c r="HH40" s="362"/>
      <c r="HI40" s="4"/>
      <c r="HJ40" s="4"/>
      <c r="HK40" s="228"/>
      <c r="HL40" s="228"/>
      <c r="HM40" s="239"/>
      <c r="HN40" s="229"/>
      <c r="HO40" s="362"/>
      <c r="HP40" s="362"/>
      <c r="HQ40" s="6"/>
      <c r="HR40" s="6"/>
      <c r="HS40" s="6"/>
      <c r="HT40" s="6"/>
      <c r="HU40" s="6"/>
      <c r="HV40" s="6"/>
      <c r="HW40" s="6"/>
      <c r="HX40" s="6"/>
      <c r="KA40" s="3"/>
      <c r="KB40" s="3"/>
      <c r="KE40" s="157"/>
      <c r="KF40" s="157"/>
      <c r="KG40" s="157"/>
      <c r="KH40" s="157"/>
      <c r="KI40" s="6"/>
      <c r="KJ40" s="6"/>
      <c r="KK40" s="157"/>
      <c r="KL40" s="157"/>
      <c r="KM40" s="494"/>
      <c r="KN40" s="494"/>
      <c r="KO40" s="467"/>
      <c r="KP40" s="467"/>
      <c r="KQ40" s="229"/>
      <c r="KR40" s="229"/>
      <c r="KS40" s="364"/>
      <c r="KT40" s="364"/>
      <c r="KU40" s="147"/>
      <c r="KV40" s="147"/>
      <c r="KW40" s="157"/>
      <c r="KX40" s="157"/>
      <c r="KY40" s="157"/>
      <c r="KZ40" s="157"/>
      <c r="LA40" s="6"/>
      <c r="LB40" s="6"/>
      <c r="LC40" s="157"/>
      <c r="LD40" s="157"/>
      <c r="LE40" s="159"/>
      <c r="LF40" s="159"/>
      <c r="LG40" s="471"/>
      <c r="LH40" s="471"/>
      <c r="LM40" s="157"/>
      <c r="LN40" s="157"/>
      <c r="LO40" s="157"/>
      <c r="LP40" s="157"/>
      <c r="LQ40" s="157"/>
      <c r="LR40" s="157"/>
      <c r="LS40" s="147"/>
      <c r="LT40" s="147"/>
      <c r="LW40" s="214"/>
      <c r="LX40" s="214"/>
      <c r="LY40" s="212"/>
      <c r="LZ40" s="212"/>
      <c r="MA40" s="212"/>
      <c r="MB40" s="212"/>
      <c r="MC40" s="212"/>
      <c r="MD40" s="212"/>
      <c r="ME40" s="212"/>
      <c r="MF40" s="212"/>
      <c r="MG40" s="212"/>
      <c r="MH40" s="212"/>
      <c r="MI40" s="212"/>
      <c r="MJ40" s="212"/>
      <c r="MK40" s="212"/>
      <c r="ML40" s="212"/>
      <c r="MM40" s="212"/>
      <c r="MN40" s="212"/>
      <c r="MO40" s="212"/>
      <c r="MP40" s="212"/>
      <c r="MQ40" s="211"/>
      <c r="MR40" s="211"/>
      <c r="MS40" s="211"/>
      <c r="MT40" s="211"/>
      <c r="MU40" s="506"/>
      <c r="MV40" s="506"/>
      <c r="MW40" s="109"/>
      <c r="MX40" s="109"/>
      <c r="MY40" s="109"/>
      <c r="MZ40" s="109"/>
      <c r="NB40" s="513"/>
      <c r="NC40" s="512"/>
      <c r="ND40" s="512"/>
      <c r="NE40" s="109"/>
      <c r="NF40" s="109"/>
      <c r="NG40" s="109"/>
      <c r="NH40" s="109"/>
      <c r="NI40" s="506"/>
      <c r="NJ40" s="109"/>
    </row>
    <row r="41" spans="2:408">
      <c r="D41" s="66"/>
      <c r="J41" s="327"/>
      <c r="V41" s="6"/>
      <c r="W41" s="6"/>
      <c r="X41" s="6"/>
      <c r="Y41" s="118"/>
      <c r="Z41" s="118"/>
      <c r="AA41" s="118"/>
      <c r="AB41" s="118"/>
      <c r="AC41" s="118"/>
      <c r="AD41" s="118"/>
      <c r="AE41" s="118"/>
      <c r="AF41" s="118"/>
      <c r="AG41" s="118"/>
      <c r="AH41" s="118"/>
      <c r="AI41" s="147"/>
      <c r="AJ41" s="147"/>
      <c r="AK41" s="147"/>
      <c r="AL41" s="147"/>
      <c r="AM41" s="147"/>
      <c r="AN41" s="147"/>
      <c r="AO41" s="147"/>
      <c r="AP41" s="147"/>
      <c r="AQ41" s="147"/>
      <c r="AR41" s="147"/>
      <c r="AS41" s="4"/>
      <c r="AT41" s="4"/>
      <c r="AU41" s="133"/>
      <c r="AV41" s="133"/>
      <c r="AW41" s="133"/>
      <c r="AX41" s="133"/>
      <c r="AY41" s="133"/>
      <c r="AZ41" s="133"/>
      <c r="BA41" s="133"/>
      <c r="BB41" s="133"/>
      <c r="BC41" s="6"/>
      <c r="BD41" s="8"/>
      <c r="BE41" s="8"/>
      <c r="BF41" s="8"/>
      <c r="BG41" s="8"/>
      <c r="BH41" s="8"/>
      <c r="BM41" s="133"/>
      <c r="BN41" s="133"/>
      <c r="BO41" s="143"/>
      <c r="BP41" s="133"/>
      <c r="BQ41" s="143"/>
      <c r="BR41" s="133"/>
      <c r="BS41" s="143"/>
      <c r="BT41" s="133"/>
      <c r="BU41" s="147"/>
      <c r="BV41" s="147"/>
      <c r="BX41" s="147"/>
      <c r="BY41" s="147"/>
      <c r="CD41" s="3"/>
      <c r="CE41" s="3"/>
      <c r="CF41" s="157"/>
      <c r="CG41" s="157"/>
      <c r="CH41" s="157"/>
      <c r="CI41" s="158"/>
      <c r="CJ41" s="157"/>
      <c r="CK41" s="477"/>
      <c r="CL41" s="157"/>
      <c r="CM41" s="157"/>
      <c r="CN41" s="157"/>
      <c r="CO41" s="157"/>
      <c r="CP41" s="157"/>
      <c r="CQ41" s="157"/>
      <c r="CR41" s="157"/>
      <c r="CS41" s="157"/>
      <c r="CT41" s="66"/>
      <c r="CU41" s="66"/>
      <c r="CV41" s="3"/>
      <c r="CW41" s="60"/>
      <c r="CX41" s="3"/>
      <c r="CY41" s="3"/>
      <c r="CZ41" s="6"/>
      <c r="DA41" s="6"/>
      <c r="DB41" s="4"/>
      <c r="DC41" s="4"/>
      <c r="DD41" s="157"/>
      <c r="DE41" s="157"/>
      <c r="DF41" s="147"/>
      <c r="DG41" s="147"/>
      <c r="DH41" s="159"/>
      <c r="DI41" s="167"/>
      <c r="DJ41" s="157"/>
      <c r="DK41" s="157"/>
      <c r="DL41" s="147"/>
      <c r="DM41" s="133"/>
      <c r="DN41" s="159"/>
      <c r="DO41" s="167"/>
      <c r="DP41" s="157"/>
      <c r="DQ41" s="157"/>
      <c r="DR41" s="143"/>
      <c r="DS41" s="143"/>
      <c r="DT41" s="147"/>
      <c r="DU41" s="147"/>
      <c r="DV41" s="133"/>
      <c r="DW41" s="133"/>
      <c r="DX41" s="133"/>
      <c r="DY41" s="133"/>
      <c r="DZ41" s="133"/>
      <c r="EA41" s="133"/>
      <c r="EB41" s="133"/>
      <c r="EC41" s="133"/>
      <c r="ED41" s="157"/>
      <c r="EE41" s="157"/>
      <c r="EF41" s="147"/>
      <c r="EG41" s="147"/>
      <c r="EH41" s="157"/>
      <c r="EI41" s="157"/>
      <c r="EJ41" s="143"/>
      <c r="EK41" s="143"/>
      <c r="EL41" s="143"/>
      <c r="EM41" s="133"/>
      <c r="EN41" s="133"/>
      <c r="EO41" s="133"/>
      <c r="EP41" s="501"/>
      <c r="EQ41" s="143"/>
      <c r="ER41" s="143"/>
      <c r="ES41" s="147"/>
      <c r="ET41" s="147"/>
      <c r="EU41" s="143"/>
      <c r="EV41" s="143"/>
      <c r="EW41" s="157"/>
      <c r="EX41" s="157"/>
      <c r="EY41" s="157"/>
      <c r="EZ41" s="157"/>
      <c r="GG41" s="3"/>
      <c r="GH41" s="3"/>
      <c r="GI41" s="6"/>
      <c r="GJ41" s="6"/>
      <c r="GK41" s="157"/>
      <c r="GL41" s="157"/>
      <c r="GM41" s="157"/>
      <c r="GN41" s="157"/>
      <c r="GO41" s="157"/>
      <c r="GP41" s="157"/>
      <c r="GQ41" s="157"/>
      <c r="GR41" s="157"/>
      <c r="GS41" s="157"/>
      <c r="GT41" s="157"/>
      <c r="GU41" s="157"/>
      <c r="GV41" s="157"/>
      <c r="GW41" s="157"/>
      <c r="GX41" s="157"/>
      <c r="GY41" s="147"/>
      <c r="GZ41" s="147"/>
      <c r="HA41" s="4"/>
      <c r="HB41" s="4"/>
      <c r="HC41" s="228"/>
      <c r="HD41" s="228"/>
      <c r="HE41" s="239"/>
      <c r="HF41" s="229"/>
      <c r="HG41" s="362"/>
      <c r="HH41" s="362"/>
      <c r="HI41" s="4"/>
      <c r="HJ41" s="4"/>
      <c r="HK41" s="228"/>
      <c r="HL41" s="228"/>
      <c r="HM41" s="239"/>
      <c r="HN41" s="229"/>
      <c r="HO41" s="362"/>
      <c r="HP41" s="362"/>
      <c r="HQ41" s="6"/>
      <c r="HR41" s="6"/>
      <c r="HS41" s="6"/>
      <c r="HT41" s="6"/>
      <c r="HU41" s="6"/>
      <c r="HV41" s="6"/>
      <c r="HW41" s="6"/>
      <c r="HX41" s="6"/>
      <c r="KA41" s="3"/>
      <c r="KB41" s="3"/>
      <c r="KE41" s="157"/>
      <c r="KF41" s="157"/>
      <c r="KG41" s="157"/>
      <c r="KH41" s="157"/>
      <c r="KI41" s="6"/>
      <c r="KJ41" s="6"/>
      <c r="KK41" s="157"/>
      <c r="KL41" s="157"/>
      <c r="KM41" s="494"/>
      <c r="KN41" s="494"/>
      <c r="KO41" s="467"/>
      <c r="KP41" s="467"/>
      <c r="KQ41" s="229"/>
      <c r="KR41" s="229"/>
      <c r="KS41" s="364"/>
      <c r="KT41" s="364"/>
      <c r="KU41" s="147"/>
      <c r="KV41" s="147"/>
      <c r="KW41" s="157"/>
      <c r="KX41" s="157"/>
      <c r="KY41" s="157"/>
      <c r="KZ41" s="157"/>
      <c r="LA41" s="6"/>
      <c r="LB41" s="6"/>
      <c r="LC41" s="157"/>
      <c r="LD41" s="157"/>
      <c r="LE41" s="159"/>
      <c r="LF41" s="159"/>
      <c r="LG41" s="471"/>
      <c r="LH41" s="471"/>
      <c r="LM41" s="157"/>
      <c r="LN41" s="157"/>
      <c r="LO41" s="157"/>
      <c r="LP41" s="157"/>
      <c r="LQ41" s="157"/>
      <c r="LR41" s="157"/>
      <c r="LS41" s="147"/>
      <c r="LT41" s="147"/>
      <c r="LW41" s="214"/>
      <c r="LX41" s="214"/>
      <c r="LY41" s="212"/>
      <c r="LZ41" s="212"/>
      <c r="MA41" s="212"/>
      <c r="MB41" s="212"/>
      <c r="MC41" s="212"/>
      <c r="MD41" s="212"/>
      <c r="ME41" s="212"/>
      <c r="MF41" s="212"/>
      <c r="MG41" s="212"/>
      <c r="MH41" s="212"/>
      <c r="MI41" s="212"/>
      <c r="MJ41" s="212"/>
      <c r="MK41" s="212"/>
      <c r="ML41" s="212"/>
      <c r="MM41" s="212"/>
      <c r="MN41" s="212"/>
      <c r="MO41" s="212"/>
      <c r="MP41" s="212"/>
      <c r="MQ41" s="211"/>
      <c r="MR41" s="211"/>
      <c r="MS41" s="211"/>
      <c r="MT41" s="211"/>
      <c r="MU41" s="506"/>
      <c r="MV41" s="506"/>
      <c r="MW41" s="109"/>
      <c r="MX41" s="109"/>
      <c r="MY41" s="109"/>
      <c r="MZ41" s="109"/>
      <c r="NA41" s="513"/>
      <c r="NB41" s="513"/>
      <c r="NC41" s="512"/>
      <c r="ND41" s="512"/>
      <c r="NE41" s="109"/>
      <c r="NF41" s="109"/>
      <c r="NG41" s="109"/>
      <c r="NH41" s="109"/>
      <c r="NI41" s="109"/>
      <c r="NJ41" s="109"/>
    </row>
    <row r="42" spans="2:408" s="484" customFormat="1">
      <c r="B42" s="485"/>
      <c r="C42" s="117"/>
      <c r="D42" s="486"/>
      <c r="E42" s="487"/>
      <c r="F42" s="117"/>
      <c r="G42" s="117"/>
      <c r="H42" s="117"/>
      <c r="I42" s="117"/>
      <c r="J42" s="488"/>
      <c r="K42" s="487"/>
      <c r="L42" s="117"/>
      <c r="M42" s="117"/>
      <c r="N42" s="117"/>
      <c r="O42" s="514"/>
      <c r="P42" s="514"/>
      <c r="Q42" s="514"/>
      <c r="R42" s="514"/>
      <c r="S42" s="514"/>
      <c r="T42" s="514"/>
      <c r="U42" s="514"/>
      <c r="V42" s="514"/>
      <c r="W42" s="514"/>
      <c r="X42" s="118"/>
      <c r="Y42" s="118"/>
      <c r="Z42" s="118"/>
      <c r="AA42" s="118"/>
      <c r="AB42" s="118"/>
      <c r="AC42" s="118"/>
      <c r="AD42" s="118"/>
      <c r="AE42" s="118"/>
      <c r="AF42" s="118"/>
      <c r="AG42" s="118"/>
      <c r="AH42" s="118"/>
      <c r="AI42" s="147"/>
      <c r="AJ42" s="147"/>
      <c r="AK42" s="147"/>
      <c r="AL42" s="147"/>
      <c r="AM42" s="147"/>
      <c r="AN42" s="147"/>
      <c r="AO42" s="147"/>
      <c r="AP42" s="147"/>
      <c r="AQ42" s="147"/>
      <c r="AR42" s="147"/>
      <c r="AS42" s="4"/>
      <c r="AT42" s="4"/>
      <c r="AU42" s="133"/>
      <c r="AV42" s="133"/>
      <c r="AW42" s="133"/>
      <c r="AX42" s="133"/>
      <c r="AY42" s="133"/>
      <c r="AZ42" s="133"/>
      <c r="BA42" s="133"/>
      <c r="BB42" s="133"/>
      <c r="BC42" s="6"/>
      <c r="BD42" s="8"/>
      <c r="BE42" s="8"/>
      <c r="BF42" s="8"/>
      <c r="BG42" s="8"/>
      <c r="BH42" s="8"/>
      <c r="BI42" s="3"/>
      <c r="BJ42" s="3"/>
      <c r="BK42" s="133"/>
      <c r="BL42" s="133"/>
      <c r="BM42" s="133"/>
      <c r="BN42" s="133"/>
      <c r="BO42" s="143"/>
      <c r="BP42" s="133"/>
      <c r="BQ42" s="143"/>
      <c r="BR42" s="133"/>
      <c r="BS42" s="143"/>
      <c r="BT42" s="133"/>
      <c r="BU42" s="147"/>
      <c r="BV42" s="147"/>
      <c r="BW42" s="5"/>
      <c r="BX42" s="147"/>
      <c r="BY42" s="147"/>
      <c r="BZ42" s="143"/>
      <c r="CA42" s="147"/>
      <c r="CB42" s="143"/>
      <c r="CC42" s="143"/>
      <c r="CD42" s="3"/>
      <c r="CE42" s="3"/>
      <c r="CF42" s="157"/>
      <c r="CG42" s="157"/>
      <c r="CH42" s="157"/>
      <c r="CI42" s="158"/>
      <c r="CJ42" s="157"/>
      <c r="CK42" s="477"/>
      <c r="CL42" s="157"/>
      <c r="CM42" s="157"/>
      <c r="CN42" s="157"/>
      <c r="CO42" s="157"/>
      <c r="CP42" s="157"/>
      <c r="CQ42" s="157"/>
      <c r="CR42" s="157"/>
      <c r="CS42" s="157"/>
      <c r="CT42" s="66"/>
      <c r="CU42" s="66"/>
      <c r="CV42" s="3"/>
      <c r="CW42" s="60"/>
      <c r="CX42" s="3"/>
      <c r="CY42" s="3"/>
      <c r="CZ42" s="6"/>
      <c r="DA42" s="6"/>
      <c r="DB42" s="4"/>
      <c r="DC42" s="4"/>
      <c r="DD42" s="157"/>
      <c r="DE42" s="157"/>
      <c r="DF42" s="147"/>
      <c r="DG42" s="147"/>
      <c r="DH42" s="159"/>
      <c r="DI42" s="167"/>
      <c r="DJ42" s="157"/>
      <c r="DK42" s="157"/>
      <c r="DL42" s="147"/>
      <c r="DM42" s="133"/>
      <c r="DN42" s="159"/>
      <c r="DO42" s="167"/>
      <c r="DP42" s="157"/>
      <c r="DQ42" s="157"/>
      <c r="DR42" s="143"/>
      <c r="DS42" s="143"/>
      <c r="DT42" s="147"/>
      <c r="DU42" s="147"/>
      <c r="DV42" s="133"/>
      <c r="DW42" s="133"/>
      <c r="DX42" s="133"/>
      <c r="DY42" s="133"/>
      <c r="DZ42" s="133"/>
      <c r="EA42" s="133"/>
      <c r="EB42" s="133"/>
      <c r="EC42" s="133"/>
      <c r="ED42" s="157"/>
      <c r="EE42" s="157"/>
      <c r="EF42" s="147"/>
      <c r="EG42" s="147"/>
      <c r="EH42" s="157"/>
      <c r="EI42" s="157"/>
      <c r="EJ42" s="143"/>
      <c r="EK42" s="143"/>
      <c r="EL42" s="143"/>
      <c r="EM42" s="133"/>
      <c r="EN42" s="133"/>
      <c r="EO42" s="133"/>
      <c r="EP42" s="501"/>
      <c r="EQ42" s="143"/>
      <c r="ER42" s="143"/>
      <c r="ES42" s="147"/>
      <c r="ET42" s="147"/>
      <c r="EU42" s="143"/>
      <c r="EV42" s="143"/>
      <c r="EW42" s="157"/>
      <c r="EX42" s="157"/>
      <c r="EY42" s="157"/>
      <c r="EZ42" s="157"/>
      <c r="FA42" s="486"/>
      <c r="FB42" s="486"/>
      <c r="FC42" s="486"/>
      <c r="FD42" s="486"/>
      <c r="FE42" s="486"/>
      <c r="FF42" s="486"/>
      <c r="FG42" s="117"/>
      <c r="FH42" s="117"/>
      <c r="FI42" s="66"/>
      <c r="FJ42" s="66"/>
      <c r="FK42" s="66"/>
      <c r="FL42" s="66"/>
      <c r="FM42" s="66"/>
      <c r="FN42" s="66"/>
      <c r="FO42" s="117"/>
      <c r="FP42" s="117"/>
      <c r="FQ42" s="159"/>
      <c r="FR42" s="159"/>
      <c r="FS42" s="159"/>
      <c r="FT42" s="159"/>
      <c r="FU42" s="159"/>
      <c r="FV42" s="159"/>
      <c r="FW42" s="159"/>
      <c r="FX42" s="159"/>
      <c r="FY42" s="159"/>
      <c r="FZ42" s="159"/>
      <c r="GA42" s="159"/>
      <c r="GB42" s="159"/>
      <c r="GC42" s="159"/>
      <c r="GD42" s="159"/>
      <c r="GE42" s="159"/>
      <c r="GF42" s="159"/>
      <c r="GG42" s="3"/>
      <c r="GH42" s="3"/>
      <c r="GI42" s="6"/>
      <c r="GJ42" s="6"/>
      <c r="GK42" s="157"/>
      <c r="GL42" s="157"/>
      <c r="GM42" s="157"/>
      <c r="GN42" s="157"/>
      <c r="GO42" s="157"/>
      <c r="GP42" s="157"/>
      <c r="GQ42" s="157"/>
      <c r="GR42" s="157"/>
      <c r="GS42" s="157"/>
      <c r="GT42" s="157"/>
      <c r="GU42" s="157"/>
      <c r="GV42" s="157"/>
      <c r="GW42" s="157"/>
      <c r="GX42" s="157"/>
      <c r="GY42" s="147"/>
      <c r="GZ42" s="147"/>
      <c r="HA42" s="4"/>
      <c r="HB42" s="4"/>
      <c r="HC42" s="228"/>
      <c r="HD42" s="228"/>
      <c r="HE42" s="239"/>
      <c r="HF42" s="229"/>
      <c r="HG42" s="362"/>
      <c r="HH42" s="362"/>
      <c r="HI42" s="4"/>
      <c r="HJ42" s="4"/>
      <c r="HK42" s="228"/>
      <c r="HL42" s="228"/>
      <c r="HM42" s="239"/>
      <c r="HN42" s="229"/>
      <c r="HO42" s="362"/>
      <c r="HP42" s="362"/>
      <c r="HQ42" s="6"/>
      <c r="HR42" s="6"/>
      <c r="HS42" s="6"/>
      <c r="HT42" s="6"/>
      <c r="HU42" s="6"/>
      <c r="HV42" s="6"/>
      <c r="HW42" s="6"/>
      <c r="HX42" s="6"/>
      <c r="HY42" s="3"/>
      <c r="HZ42" s="3"/>
      <c r="IA42" s="3"/>
      <c r="IB42" s="3"/>
      <c r="IC42" s="3"/>
      <c r="ID42" s="3"/>
      <c r="IE42" s="3"/>
      <c r="IF42" s="3"/>
      <c r="IG42" s="3"/>
      <c r="IH42" s="3"/>
      <c r="II42" s="3"/>
      <c r="IJ42" s="3"/>
      <c r="IK42" s="3"/>
      <c r="IL42" s="3"/>
      <c r="IM42" s="3"/>
      <c r="IN42" s="3"/>
      <c r="IO42" s="3"/>
      <c r="IP42" s="3"/>
      <c r="IQ42" s="3"/>
      <c r="IR42" s="3"/>
      <c r="IS42" s="3"/>
      <c r="IT42" s="3"/>
      <c r="IU42" s="3"/>
      <c r="IV42" s="3"/>
      <c r="IW42" s="3"/>
      <c r="IX42" s="3"/>
      <c r="IY42" s="3"/>
      <c r="IZ42" s="3"/>
      <c r="JA42" s="157"/>
      <c r="JB42" s="157"/>
      <c r="JC42" s="157"/>
      <c r="JD42" s="157"/>
      <c r="JE42" s="157"/>
      <c r="JF42" s="157"/>
      <c r="JG42" s="157"/>
      <c r="JH42" s="157"/>
      <c r="JI42" s="157"/>
      <c r="JJ42" s="157"/>
      <c r="JK42" s="157"/>
      <c r="JL42" s="157"/>
      <c r="JM42" s="157"/>
      <c r="JN42" s="157"/>
      <c r="JO42" s="157"/>
      <c r="JP42" s="157"/>
      <c r="JQ42" s="157"/>
      <c r="JR42" s="157"/>
      <c r="JS42" s="157"/>
      <c r="JT42" s="157"/>
      <c r="JU42" s="157"/>
      <c r="JV42" s="157"/>
      <c r="JW42" s="157"/>
      <c r="JX42" s="157"/>
      <c r="JY42" s="157"/>
      <c r="JZ42" s="157"/>
      <c r="KA42" s="3"/>
      <c r="KB42" s="3"/>
      <c r="KC42" s="5"/>
      <c r="KD42" s="5"/>
      <c r="KE42" s="157"/>
      <c r="KF42" s="157"/>
      <c r="KG42" s="157"/>
      <c r="KH42" s="157"/>
      <c r="KI42" s="6"/>
      <c r="KJ42" s="6"/>
      <c r="KK42" s="157"/>
      <c r="KL42" s="157"/>
      <c r="KM42" s="494"/>
      <c r="KN42" s="494"/>
      <c r="KO42" s="467"/>
      <c r="KP42" s="467"/>
      <c r="KQ42" s="229"/>
      <c r="KR42" s="229"/>
      <c r="KS42" s="364"/>
      <c r="KT42" s="364"/>
      <c r="KU42" s="147"/>
      <c r="KV42" s="147"/>
      <c r="KW42" s="157"/>
      <c r="KX42" s="157"/>
      <c r="KY42" s="157"/>
      <c r="KZ42" s="157"/>
      <c r="LA42" s="6"/>
      <c r="LB42" s="6"/>
      <c r="LC42" s="157"/>
      <c r="LD42" s="157"/>
      <c r="LE42" s="159"/>
      <c r="LF42" s="159"/>
      <c r="LG42" s="471"/>
      <c r="LH42" s="471"/>
      <c r="LI42" s="134"/>
      <c r="LJ42" s="134"/>
      <c r="LK42" s="134"/>
      <c r="LL42" s="134"/>
      <c r="LM42" s="157"/>
      <c r="LN42" s="157"/>
      <c r="LO42" s="157"/>
      <c r="LP42" s="157"/>
      <c r="LQ42" s="157"/>
      <c r="LR42" s="157"/>
      <c r="LS42" s="147"/>
      <c r="LT42" s="147"/>
      <c r="LU42" s="1"/>
      <c r="LV42" s="1"/>
      <c r="LW42" s="214"/>
      <c r="LX42" s="214"/>
      <c r="LY42" s="212"/>
      <c r="LZ42" s="212"/>
      <c r="MA42" s="212"/>
      <c r="MB42" s="212"/>
      <c r="MC42" s="212"/>
      <c r="MD42" s="212"/>
      <c r="ME42" s="212"/>
      <c r="MF42" s="212"/>
      <c r="MG42" s="212"/>
      <c r="MH42" s="212"/>
      <c r="MI42" s="212"/>
      <c r="MJ42" s="212"/>
      <c r="MK42" s="212"/>
      <c r="ML42" s="212"/>
      <c r="MM42" s="212"/>
      <c r="MN42" s="212"/>
      <c r="MO42" s="212"/>
      <c r="MP42" s="212"/>
      <c r="MQ42" s="211"/>
      <c r="MR42" s="211"/>
      <c r="MS42" s="211"/>
      <c r="MT42" s="211"/>
      <c r="MU42" s="506"/>
      <c r="MV42" s="506"/>
      <c r="MW42" s="109"/>
      <c r="MX42" s="109"/>
      <c r="MY42" s="109"/>
      <c r="MZ42" s="109"/>
      <c r="NA42" s="513"/>
      <c r="NB42" s="513"/>
      <c r="NC42" s="512"/>
      <c r="ND42" s="512"/>
      <c r="NE42" s="109"/>
      <c r="NF42" s="109"/>
      <c r="NG42" s="109"/>
      <c r="NH42" s="109"/>
      <c r="NI42" s="109"/>
      <c r="NJ42" s="109"/>
      <c r="NK42" s="540"/>
      <c r="NL42" s="540"/>
      <c r="NM42" s="540"/>
      <c r="NN42" s="540"/>
      <c r="NO42" s="540"/>
      <c r="NP42" s="540"/>
      <c r="NQ42" s="540"/>
      <c r="NR42" s="540"/>
      <c r="NS42" s="540"/>
      <c r="NT42" s="540"/>
      <c r="NU42" s="540"/>
      <c r="NV42" s="540"/>
      <c r="NW42" s="540"/>
      <c r="NX42" s="540"/>
      <c r="NY42" s="540"/>
      <c r="NZ42" s="540"/>
      <c r="OA42" s="540"/>
      <c r="OB42" s="540"/>
      <c r="OC42" s="540"/>
      <c r="OD42" s="540"/>
      <c r="OE42" s="540"/>
      <c r="OF42" s="540"/>
      <c r="OG42" s="707"/>
      <c r="OH42" s="707"/>
      <c r="OI42" s="705"/>
      <c r="OJ42" s="705"/>
      <c r="OK42" s="540"/>
      <c r="OL42" s="540"/>
      <c r="OM42" s="540"/>
      <c r="ON42" s="540"/>
      <c r="OO42" s="540"/>
      <c r="OP42" s="540"/>
      <c r="OQ42" s="540"/>
      <c r="OR42" s="540"/>
    </row>
    <row r="43" spans="2:408">
      <c r="D43" s="66"/>
      <c r="J43" s="327"/>
      <c r="Q43" s="6"/>
      <c r="R43" s="6"/>
      <c r="S43" s="6"/>
      <c r="T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133"/>
      <c r="AJ43" s="133"/>
      <c r="AK43" s="133"/>
      <c r="AL43" s="133"/>
      <c r="AM43" s="133"/>
      <c r="AN43" s="133"/>
      <c r="AO43" s="133"/>
      <c r="AP43" s="133"/>
      <c r="AQ43" s="133"/>
      <c r="AR43" s="133"/>
      <c r="AU43" s="133"/>
      <c r="AV43" s="133"/>
      <c r="AW43" s="133"/>
      <c r="AX43" s="133"/>
      <c r="AY43" s="133"/>
      <c r="AZ43" s="133"/>
      <c r="BA43" s="133"/>
      <c r="BB43" s="133"/>
      <c r="BC43" s="6"/>
      <c r="BD43" s="8"/>
      <c r="BE43" s="8"/>
      <c r="BF43" s="8"/>
      <c r="BG43" s="8"/>
      <c r="BH43" s="8"/>
      <c r="BM43" s="133"/>
      <c r="BN43" s="133"/>
      <c r="BO43" s="143"/>
      <c r="BP43" s="133"/>
      <c r="BQ43" s="143"/>
      <c r="BR43" s="133"/>
      <c r="BS43" s="143"/>
      <c r="BT43" s="133"/>
      <c r="BU43" s="147"/>
      <c r="BV43" s="147"/>
      <c r="BX43" s="147"/>
      <c r="BY43" s="147"/>
      <c r="CB43" s="476"/>
      <c r="CD43" s="3"/>
      <c r="CE43" s="3"/>
      <c r="CF43" s="157"/>
      <c r="CG43" s="157"/>
      <c r="CH43" s="157"/>
      <c r="CI43" s="158"/>
      <c r="CJ43" s="157"/>
      <c r="CK43" s="477"/>
      <c r="CL43" s="157"/>
      <c r="CM43" s="157"/>
      <c r="CN43" s="157"/>
      <c r="CO43" s="157"/>
      <c r="CP43" s="157"/>
      <c r="CQ43" s="157"/>
      <c r="CR43" s="157"/>
      <c r="CS43" s="157"/>
      <c r="CT43" s="66"/>
      <c r="CU43" s="66"/>
      <c r="CV43" s="3"/>
      <c r="CW43" s="60"/>
      <c r="CX43" s="3"/>
      <c r="CY43" s="3"/>
      <c r="CZ43" s="6"/>
      <c r="DA43" s="6"/>
      <c r="DB43" s="4"/>
      <c r="DC43" s="4"/>
      <c r="DD43" s="157"/>
      <c r="DE43" s="157"/>
      <c r="DF43" s="143"/>
      <c r="DG43" s="143"/>
      <c r="DH43" s="159"/>
      <c r="DI43" s="167"/>
      <c r="DJ43" s="157"/>
      <c r="DK43" s="157"/>
      <c r="DL43" s="147"/>
      <c r="DM43" s="133"/>
      <c r="DN43" s="159"/>
      <c r="DO43" s="167"/>
      <c r="DP43" s="157"/>
      <c r="DQ43" s="157"/>
      <c r="DR43" s="143"/>
      <c r="DS43" s="143"/>
      <c r="DT43" s="147"/>
      <c r="DU43" s="147"/>
      <c r="DV43" s="133"/>
      <c r="DW43" s="133"/>
      <c r="DX43" s="133"/>
      <c r="DY43" s="133"/>
      <c r="DZ43" s="133"/>
      <c r="EA43" s="133"/>
      <c r="EB43" s="133"/>
      <c r="EC43" s="133"/>
      <c r="ED43" s="157"/>
      <c r="EE43" s="157"/>
      <c r="EF43" s="147"/>
      <c r="EG43" s="147"/>
      <c r="EH43" s="157"/>
      <c r="EI43" s="157"/>
      <c r="EJ43" s="147"/>
      <c r="EK43" s="147"/>
      <c r="EL43" s="147"/>
      <c r="EM43" s="143"/>
      <c r="EN43" s="147"/>
      <c r="EO43" s="147"/>
      <c r="EP43" s="501"/>
      <c r="EQ43" s="143"/>
      <c r="ER43" s="143"/>
      <c r="ES43" s="147"/>
      <c r="ET43" s="147"/>
      <c r="EU43" s="143"/>
      <c r="EV43" s="143"/>
      <c r="EW43" s="157"/>
      <c r="EX43" s="157"/>
      <c r="EY43" s="157"/>
      <c r="EZ43" s="157"/>
      <c r="LW43" s="214"/>
      <c r="LX43" s="214"/>
      <c r="LY43" s="211"/>
      <c r="LZ43" s="211"/>
      <c r="MA43" s="211"/>
      <c r="MB43" s="211"/>
      <c r="MC43" s="212"/>
      <c r="MD43" s="212"/>
      <c r="ME43" s="211"/>
      <c r="MF43" s="211"/>
      <c r="MG43" s="211"/>
      <c r="MH43" s="212"/>
      <c r="MI43" s="212"/>
      <c r="MJ43" s="211"/>
      <c r="MK43" s="211"/>
      <c r="ML43" s="211"/>
      <c r="MM43" s="211"/>
      <c r="MN43" s="211"/>
      <c r="MO43" s="211"/>
      <c r="MP43" s="211"/>
      <c r="MQ43" s="211"/>
      <c r="MR43" s="211"/>
      <c r="MS43" s="211"/>
      <c r="MT43" s="211"/>
      <c r="MU43" s="506"/>
      <c r="MV43" s="506"/>
      <c r="MW43" s="109"/>
      <c r="MX43" s="109"/>
      <c r="MY43" s="109"/>
      <c r="MZ43" s="109"/>
      <c r="NA43" s="109"/>
      <c r="NB43" s="109"/>
      <c r="NC43" s="506"/>
      <c r="ND43" s="506"/>
      <c r="NE43" s="109"/>
      <c r="NF43" s="109"/>
      <c r="NG43" s="109"/>
      <c r="NH43" s="109"/>
      <c r="NI43" s="109"/>
      <c r="NJ43" s="109"/>
    </row>
    <row r="44" spans="2:408">
      <c r="D44" s="66"/>
      <c r="J44" s="327"/>
      <c r="Q44" s="6"/>
      <c r="R44" s="6"/>
      <c r="S44" s="6"/>
      <c r="T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133"/>
      <c r="AJ44" s="133"/>
      <c r="AK44" s="133"/>
      <c r="AL44" s="133"/>
      <c r="AM44" s="133"/>
      <c r="AN44" s="133"/>
      <c r="AO44" s="133"/>
      <c r="AP44" s="133"/>
      <c r="AQ44" s="133"/>
      <c r="AR44" s="133"/>
      <c r="AU44" s="133"/>
      <c r="AV44" s="133"/>
      <c r="AW44" s="133"/>
      <c r="AX44" s="133"/>
      <c r="AY44" s="133"/>
      <c r="AZ44" s="133"/>
      <c r="BA44" s="133"/>
      <c r="BB44" s="133"/>
      <c r="BC44" s="6"/>
      <c r="BD44" s="8"/>
      <c r="BE44" s="8"/>
      <c r="BF44" s="8"/>
      <c r="BG44" s="8"/>
      <c r="BH44" s="8"/>
      <c r="BM44" s="133"/>
      <c r="BN44" s="133"/>
      <c r="BO44" s="143"/>
      <c r="BP44" s="133"/>
      <c r="BQ44" s="143"/>
      <c r="BR44" s="133"/>
      <c r="BS44" s="143"/>
      <c r="BT44" s="133"/>
      <c r="BU44" s="147"/>
      <c r="BV44" s="147"/>
      <c r="BX44" s="147"/>
      <c r="BY44" s="147"/>
      <c r="CD44" s="3"/>
      <c r="CE44" s="3"/>
      <c r="CF44" s="157"/>
      <c r="CG44" s="157"/>
      <c r="CH44" s="157"/>
      <c r="CI44" s="158"/>
      <c r="CJ44" s="157"/>
      <c r="CK44" s="477"/>
      <c r="CL44" s="157"/>
      <c r="CM44" s="157"/>
      <c r="CN44" s="157"/>
      <c r="CO44" s="157"/>
      <c r="CP44" s="157"/>
      <c r="CQ44" s="157"/>
      <c r="CR44" s="157"/>
      <c r="CS44" s="157"/>
      <c r="CT44" s="66"/>
      <c r="CU44" s="66"/>
      <c r="CV44" s="3"/>
      <c r="CW44" s="60"/>
      <c r="CX44" s="3"/>
      <c r="CY44" s="3"/>
      <c r="CZ44" s="6"/>
      <c r="DA44" s="6"/>
      <c r="DB44" s="4"/>
      <c r="DC44" s="4"/>
      <c r="DD44" s="157"/>
      <c r="DE44" s="157"/>
      <c r="DF44" s="133"/>
      <c r="DG44" s="133"/>
      <c r="DH44" s="159"/>
      <c r="DI44" s="167"/>
      <c r="DJ44" s="157"/>
      <c r="DK44" s="157"/>
      <c r="DL44" s="147"/>
      <c r="DM44" s="133"/>
      <c r="DN44" s="159"/>
      <c r="DO44" s="167"/>
      <c r="DP44" s="157"/>
      <c r="DQ44" s="157"/>
      <c r="DR44" s="143"/>
      <c r="DS44" s="143"/>
      <c r="DT44" s="147"/>
      <c r="DU44" s="147"/>
      <c r="DV44" s="133"/>
      <c r="DW44" s="133"/>
      <c r="DX44" s="133"/>
      <c r="DY44" s="133"/>
      <c r="DZ44" s="133"/>
      <c r="EA44" s="133"/>
      <c r="EB44" s="133"/>
      <c r="EC44" s="133"/>
      <c r="ED44" s="157"/>
      <c r="EE44" s="157"/>
      <c r="EF44" s="147"/>
      <c r="EG44" s="147"/>
      <c r="EH44" s="157"/>
      <c r="EI44" s="157"/>
      <c r="EJ44" s="147"/>
      <c r="EK44" s="147"/>
      <c r="EL44" s="147"/>
      <c r="EM44" s="143"/>
      <c r="EN44" s="147"/>
      <c r="EO44" s="147"/>
      <c r="EP44" s="504"/>
      <c r="EQ44" s="143"/>
      <c r="ER44" s="143"/>
      <c r="ES44" s="147"/>
      <c r="ET44" s="147"/>
      <c r="EU44" s="143"/>
      <c r="EV44" s="143"/>
      <c r="EW44" s="167"/>
      <c r="EX44" s="167"/>
      <c r="EY44" s="167"/>
      <c r="EZ44" s="167"/>
      <c r="FA44" s="472"/>
      <c r="FB44" s="472"/>
      <c r="FC44" s="472"/>
      <c r="FD44" s="472"/>
      <c r="FE44" s="472"/>
      <c r="FF44" s="472"/>
      <c r="FG44" s="473"/>
      <c r="FH44" s="473"/>
      <c r="FO44" s="471"/>
      <c r="FP44" s="471"/>
      <c r="GG44" s="477"/>
      <c r="GH44" s="477"/>
      <c r="GI44" s="473"/>
      <c r="GJ44" s="473"/>
      <c r="GK44" s="157"/>
      <c r="GL44" s="157"/>
      <c r="GM44" s="157"/>
      <c r="GN44" s="157"/>
      <c r="GO44" s="157"/>
      <c r="GP44" s="157"/>
      <c r="GQ44" s="157"/>
      <c r="GR44" s="157"/>
      <c r="GS44" s="157"/>
      <c r="GT44" s="157"/>
      <c r="GU44" s="157"/>
      <c r="GV44" s="157"/>
      <c r="GW44" s="157"/>
      <c r="GX44" s="157"/>
      <c r="GY44" s="147"/>
      <c r="GZ44" s="147"/>
      <c r="HA44" s="474"/>
      <c r="HB44" s="474"/>
      <c r="HC44" s="228"/>
      <c r="HD44" s="228"/>
      <c r="HE44" s="239"/>
      <c r="HF44" s="229"/>
      <c r="HG44" s="228"/>
      <c r="HH44" s="228"/>
      <c r="HI44" s="474"/>
      <c r="HJ44" s="474"/>
      <c r="HK44" s="228"/>
      <c r="HL44" s="228"/>
      <c r="HM44" s="239"/>
      <c r="HN44" s="229"/>
      <c r="HO44" s="228"/>
      <c r="HP44" s="228"/>
      <c r="HQ44" s="6"/>
      <c r="HR44" s="6"/>
      <c r="HS44" s="467"/>
      <c r="HT44" s="467"/>
      <c r="HU44" s="6"/>
      <c r="HV44" s="6"/>
      <c r="HW44" s="467"/>
      <c r="HX44" s="467"/>
      <c r="HY44" s="477"/>
      <c r="HZ44" s="477"/>
      <c r="IA44" s="477"/>
      <c r="IB44" s="477"/>
      <c r="IC44" s="477"/>
      <c r="ID44" s="477"/>
      <c r="IE44" s="477"/>
      <c r="IF44" s="477"/>
      <c r="IG44" s="477"/>
      <c r="IH44" s="477"/>
      <c r="II44" s="477"/>
      <c r="IJ44" s="477"/>
      <c r="IK44" s="477"/>
      <c r="IL44" s="477"/>
      <c r="IM44" s="477"/>
      <c r="IN44" s="477"/>
      <c r="IO44" s="477"/>
      <c r="IP44" s="477"/>
      <c r="IQ44" s="477"/>
      <c r="IR44" s="477"/>
      <c r="IS44" s="477"/>
      <c r="IT44" s="477"/>
      <c r="IU44" s="477"/>
      <c r="IV44" s="477"/>
      <c r="IW44" s="477"/>
      <c r="IX44" s="477"/>
      <c r="IY44" s="477"/>
      <c r="IZ44" s="477"/>
      <c r="KA44" s="3"/>
      <c r="KB44" s="3"/>
      <c r="KE44" s="157"/>
      <c r="KF44" s="157"/>
      <c r="KG44" s="157"/>
      <c r="KH44" s="157"/>
      <c r="KI44" s="6"/>
      <c r="KJ44" s="6"/>
      <c r="KK44" s="157"/>
      <c r="KL44" s="157"/>
      <c r="KM44" s="247"/>
      <c r="KN44" s="247"/>
      <c r="KO44" s="467"/>
      <c r="KP44" s="467"/>
      <c r="KQ44" s="229"/>
      <c r="KR44" s="229"/>
      <c r="KS44" s="228"/>
      <c r="KT44" s="228"/>
      <c r="KU44" s="147"/>
      <c r="KV44" s="147"/>
      <c r="KW44" s="157"/>
      <c r="KX44" s="157"/>
      <c r="KY44" s="157"/>
      <c r="KZ44" s="157"/>
      <c r="LA44" s="6"/>
      <c r="LB44" s="6"/>
      <c r="LC44" s="157"/>
      <c r="LD44" s="157"/>
      <c r="LE44" s="133"/>
      <c r="LF44" s="143"/>
      <c r="LG44" s="471"/>
      <c r="LH44" s="471"/>
      <c r="LM44" s="157"/>
      <c r="LN44" s="157"/>
      <c r="LO44" s="157"/>
      <c r="LP44" s="157"/>
      <c r="LQ44" s="157"/>
      <c r="LR44" s="157"/>
      <c r="LS44" s="143"/>
      <c r="LT44" s="143"/>
      <c r="LU44" s="471"/>
      <c r="LV44" s="471"/>
      <c r="LW44" s="214"/>
      <c r="LX44" s="214"/>
      <c r="LY44" s="211"/>
      <c r="LZ44" s="211"/>
      <c r="MA44" s="211"/>
      <c r="MB44" s="211"/>
      <c r="MC44" s="212"/>
      <c r="MD44" s="212"/>
      <c r="ME44" s="211"/>
      <c r="MF44" s="211"/>
      <c r="MG44" s="211"/>
      <c r="MH44" s="212"/>
      <c r="MI44" s="212"/>
      <c r="MJ44" s="211"/>
      <c r="MK44" s="211"/>
      <c r="ML44" s="211"/>
      <c r="MM44" s="211"/>
      <c r="MN44" s="211"/>
      <c r="MO44" s="211"/>
      <c r="MP44" s="211"/>
      <c r="MQ44" s="211"/>
      <c r="MR44" s="211"/>
      <c r="MS44" s="211"/>
      <c r="MT44" s="211"/>
      <c r="MU44" s="506"/>
      <c r="MV44" s="506"/>
      <c r="MW44" s="109"/>
      <c r="MX44" s="109"/>
      <c r="MY44" s="109"/>
      <c r="MZ44" s="109"/>
      <c r="NA44" s="109"/>
      <c r="NB44" s="109"/>
      <c r="NC44" s="506"/>
      <c r="ND44" s="506"/>
      <c r="NE44" s="109"/>
      <c r="NF44" s="109"/>
      <c r="NG44" s="109"/>
      <c r="NH44" s="109"/>
      <c r="NI44" s="109"/>
      <c r="NJ44" s="109"/>
    </row>
    <row r="45" spans="2:408">
      <c r="D45" s="66"/>
      <c r="J45" s="327"/>
      <c r="Q45" s="6"/>
      <c r="R45" s="6"/>
      <c r="S45" s="6"/>
      <c r="T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133"/>
      <c r="AJ45" s="133"/>
      <c r="AK45" s="133"/>
      <c r="AL45" s="133"/>
      <c r="AM45" s="133"/>
      <c r="AN45" s="133"/>
      <c r="AO45" s="133"/>
      <c r="AP45" s="133"/>
      <c r="AQ45" s="133"/>
      <c r="AR45" s="133"/>
      <c r="AU45" s="133"/>
      <c r="AV45" s="133"/>
      <c r="AW45" s="133"/>
      <c r="AX45" s="133"/>
      <c r="AY45" s="133"/>
      <c r="AZ45" s="133"/>
      <c r="BA45" s="133"/>
      <c r="BB45" s="133"/>
      <c r="BC45" s="6"/>
      <c r="BD45" s="8"/>
      <c r="BE45" s="8"/>
      <c r="BF45" s="8"/>
      <c r="BG45" s="8"/>
      <c r="BH45" s="8"/>
      <c r="BM45" s="133"/>
      <c r="BN45" s="133"/>
      <c r="BO45" s="143"/>
      <c r="BP45" s="133"/>
      <c r="BQ45" s="143"/>
      <c r="BR45" s="133"/>
      <c r="BS45" s="143"/>
      <c r="BT45" s="133"/>
      <c r="BU45" s="147"/>
      <c r="BV45" s="147"/>
      <c r="BX45" s="147"/>
      <c r="BY45" s="147"/>
      <c r="CD45" s="3"/>
      <c r="CE45" s="3"/>
      <c r="CF45" s="157"/>
      <c r="CG45" s="157"/>
      <c r="CH45" s="157"/>
      <c r="CI45" s="158"/>
      <c r="CJ45" s="157"/>
      <c r="CK45" s="477"/>
      <c r="CL45" s="157"/>
      <c r="CM45" s="157"/>
      <c r="CN45" s="157"/>
      <c r="CO45" s="157"/>
      <c r="CP45" s="157"/>
      <c r="CQ45" s="157"/>
      <c r="CR45" s="157"/>
      <c r="CS45" s="157"/>
      <c r="CT45" s="66"/>
      <c r="CU45" s="66"/>
      <c r="CV45" s="3"/>
      <c r="CW45" s="60"/>
      <c r="CX45" s="3"/>
      <c r="CY45" s="3"/>
      <c r="CZ45" s="6"/>
      <c r="DA45" s="6"/>
      <c r="DB45" s="4"/>
      <c r="DC45" s="4"/>
      <c r="DD45" s="157"/>
      <c r="DE45" s="157"/>
      <c r="DF45" s="133"/>
      <c r="DG45" s="133"/>
      <c r="DH45" s="159"/>
      <c r="DI45" s="167"/>
      <c r="DJ45" s="157"/>
      <c r="DK45" s="157"/>
      <c r="DL45" s="147"/>
      <c r="DM45" s="133"/>
      <c r="DN45" s="159"/>
      <c r="DO45" s="167"/>
      <c r="DP45" s="157"/>
      <c r="DQ45" s="157"/>
      <c r="DR45" s="143"/>
      <c r="DS45" s="143"/>
      <c r="DT45" s="147"/>
      <c r="DU45" s="147"/>
      <c r="DV45" s="133"/>
      <c r="DW45" s="133"/>
      <c r="DX45" s="133"/>
      <c r="DY45" s="133"/>
      <c r="DZ45" s="133"/>
      <c r="EA45" s="133"/>
      <c r="EB45" s="133"/>
      <c r="EC45" s="133"/>
      <c r="ED45" s="157"/>
      <c r="EE45" s="157"/>
      <c r="EF45" s="147"/>
      <c r="EG45" s="147"/>
      <c r="EH45" s="157"/>
      <c r="EI45" s="157"/>
      <c r="EJ45" s="147"/>
      <c r="EK45" s="147"/>
      <c r="EL45" s="147"/>
      <c r="EM45" s="143"/>
      <c r="EN45" s="147"/>
      <c r="EO45" s="147"/>
      <c r="EP45" s="504"/>
      <c r="EQ45" s="143"/>
      <c r="ER45" s="133"/>
      <c r="ES45" s="147"/>
      <c r="ET45" s="147"/>
      <c r="EU45" s="143"/>
      <c r="EV45" s="143"/>
      <c r="EW45" s="167"/>
      <c r="EX45" s="167"/>
      <c r="EY45" s="167"/>
      <c r="EZ45" s="167"/>
      <c r="FA45" s="472"/>
      <c r="FB45" s="472"/>
      <c r="FC45" s="472"/>
      <c r="FD45" s="472"/>
      <c r="FE45" s="472"/>
      <c r="FF45" s="472"/>
      <c r="FG45" s="473"/>
      <c r="FH45" s="473"/>
      <c r="FO45" s="471"/>
      <c r="FP45" s="471"/>
      <c r="GG45" s="477"/>
      <c r="GH45" s="477"/>
      <c r="GI45" s="473"/>
      <c r="GJ45" s="473"/>
      <c r="GK45" s="157"/>
      <c r="GL45" s="157"/>
      <c r="GM45" s="157"/>
      <c r="GN45" s="157"/>
      <c r="GO45" s="157"/>
      <c r="GP45" s="157"/>
      <c r="GQ45" s="157"/>
      <c r="GR45" s="157"/>
      <c r="GS45" s="157"/>
      <c r="GT45" s="157"/>
      <c r="GU45" s="157"/>
      <c r="GV45" s="157"/>
      <c r="GW45" s="157"/>
      <c r="GX45" s="157"/>
      <c r="GY45" s="147"/>
      <c r="GZ45" s="147"/>
      <c r="HA45" s="474"/>
      <c r="HB45" s="474"/>
      <c r="HC45" s="228"/>
      <c r="HD45" s="228"/>
      <c r="HE45" s="239"/>
      <c r="HF45" s="229"/>
      <c r="HG45" s="228"/>
      <c r="HH45" s="228"/>
      <c r="HI45" s="474"/>
      <c r="HJ45" s="474"/>
      <c r="HK45" s="228"/>
      <c r="HL45" s="228"/>
      <c r="HM45" s="239"/>
      <c r="HN45" s="229"/>
      <c r="HO45" s="228"/>
      <c r="HP45" s="228"/>
      <c r="HQ45" s="6"/>
      <c r="HR45" s="6"/>
      <c r="HS45" s="467"/>
      <c r="HT45" s="467"/>
      <c r="HU45" s="6"/>
      <c r="HV45" s="6"/>
      <c r="HW45" s="467"/>
      <c r="HX45" s="467"/>
      <c r="HY45" s="477"/>
      <c r="HZ45" s="477"/>
      <c r="IA45" s="477"/>
      <c r="IB45" s="477"/>
      <c r="IC45" s="477"/>
      <c r="ID45" s="477"/>
      <c r="IE45" s="477"/>
      <c r="IF45" s="477"/>
      <c r="IG45" s="477"/>
      <c r="IH45" s="477"/>
      <c r="II45" s="477"/>
      <c r="IJ45" s="477"/>
      <c r="IK45" s="477"/>
      <c r="IL45" s="477"/>
      <c r="IM45" s="477"/>
      <c r="IN45" s="477"/>
      <c r="IO45" s="477"/>
      <c r="IP45" s="477"/>
      <c r="IQ45" s="477"/>
      <c r="IR45" s="477"/>
      <c r="IS45" s="477"/>
      <c r="IT45" s="477"/>
      <c r="IU45" s="477"/>
      <c r="IV45" s="477"/>
      <c r="IW45" s="477"/>
      <c r="IX45" s="477"/>
      <c r="IY45" s="477"/>
      <c r="IZ45" s="477"/>
      <c r="KA45" s="3"/>
      <c r="KB45" s="3"/>
      <c r="KE45" s="157"/>
      <c r="KF45" s="157"/>
      <c r="KG45" s="157"/>
      <c r="KH45" s="157"/>
      <c r="KI45" s="6"/>
      <c r="KJ45" s="6"/>
      <c r="KK45" s="157"/>
      <c r="KL45" s="157"/>
      <c r="KM45" s="247"/>
      <c r="KN45" s="247"/>
      <c r="KO45" s="467"/>
      <c r="KP45" s="467"/>
      <c r="KQ45" s="229"/>
      <c r="KR45" s="229"/>
      <c r="KS45" s="228"/>
      <c r="KT45" s="228"/>
      <c r="KU45" s="147"/>
      <c r="KV45" s="147"/>
      <c r="KW45" s="157"/>
      <c r="KX45" s="157"/>
      <c r="KY45" s="157"/>
      <c r="KZ45" s="157"/>
      <c r="LA45" s="6"/>
      <c r="LB45" s="6"/>
      <c r="LC45" s="157"/>
      <c r="LD45" s="157"/>
      <c r="LE45" s="133"/>
      <c r="LF45" s="143"/>
      <c r="LG45" s="471"/>
      <c r="LH45" s="471"/>
      <c r="LM45" s="157"/>
      <c r="LN45" s="157"/>
      <c r="LO45" s="157"/>
      <c r="LP45" s="157"/>
      <c r="LQ45" s="157"/>
      <c r="LR45" s="157"/>
      <c r="LS45" s="143"/>
      <c r="LT45" s="143"/>
      <c r="LU45" s="471"/>
      <c r="LV45" s="471"/>
      <c r="LW45" s="214"/>
      <c r="LX45" s="214"/>
      <c r="LY45" s="211"/>
      <c r="LZ45" s="211"/>
      <c r="MA45" s="211"/>
      <c r="MB45" s="211"/>
      <c r="MC45" s="212"/>
      <c r="MD45" s="212"/>
      <c r="ME45" s="211"/>
      <c r="MF45" s="211"/>
      <c r="MG45" s="211"/>
      <c r="MH45" s="212"/>
      <c r="MI45" s="212"/>
      <c r="MJ45" s="211"/>
      <c r="MK45" s="211"/>
      <c r="ML45" s="211"/>
      <c r="MM45" s="211"/>
      <c r="MN45" s="211"/>
      <c r="MO45" s="211"/>
      <c r="MP45" s="211"/>
      <c r="MQ45" s="211"/>
      <c r="MR45" s="211"/>
      <c r="MS45" s="211"/>
      <c r="MT45" s="211"/>
      <c r="MU45" s="506"/>
      <c r="MV45" s="506"/>
      <c r="MW45" s="109"/>
      <c r="MX45" s="109"/>
      <c r="MY45" s="109"/>
      <c r="MZ45" s="109"/>
      <c r="NA45" s="109"/>
      <c r="NB45" s="109"/>
      <c r="NC45" s="506"/>
      <c r="ND45" s="506"/>
      <c r="NE45" s="109"/>
      <c r="NF45" s="109"/>
      <c r="NG45" s="109"/>
      <c r="NH45" s="109"/>
      <c r="NI45" s="109"/>
      <c r="NJ45" s="109"/>
    </row>
    <row r="46" spans="2:408">
      <c r="D46" s="66"/>
      <c r="J46" s="327"/>
      <c r="Q46" s="6"/>
      <c r="R46" s="6"/>
      <c r="S46" s="6"/>
      <c r="T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133"/>
      <c r="AJ46" s="133"/>
      <c r="AK46" s="133"/>
      <c r="AL46" s="133"/>
      <c r="AM46" s="133"/>
      <c r="AN46" s="133"/>
      <c r="AO46" s="133"/>
      <c r="AP46" s="133"/>
      <c r="AQ46" s="133"/>
      <c r="AR46" s="133"/>
      <c r="AU46" s="133"/>
      <c r="AV46" s="133"/>
      <c r="AW46" s="133"/>
      <c r="AX46" s="133"/>
      <c r="AY46" s="133"/>
      <c r="AZ46" s="133"/>
      <c r="BA46" s="133"/>
      <c r="BB46" s="133"/>
      <c r="BC46" s="6"/>
      <c r="BD46" s="8"/>
      <c r="BE46" s="8"/>
      <c r="BF46" s="8"/>
      <c r="BG46" s="8"/>
      <c r="BH46" s="8"/>
      <c r="BM46" s="133"/>
      <c r="BN46" s="133"/>
      <c r="BO46" s="143"/>
      <c r="BP46" s="133"/>
      <c r="BQ46" s="143"/>
      <c r="BR46" s="133"/>
      <c r="BS46" s="143"/>
      <c r="BT46" s="133"/>
      <c r="BU46" s="147"/>
      <c r="BV46" s="147"/>
      <c r="BX46" s="147"/>
      <c r="BY46" s="147"/>
      <c r="CD46" s="3"/>
      <c r="CE46" s="3"/>
      <c r="CF46" s="157"/>
      <c r="CG46" s="157"/>
      <c r="CH46" s="157"/>
      <c r="CI46" s="158"/>
      <c r="CJ46" s="157"/>
      <c r="CK46" s="477"/>
      <c r="CL46" s="157"/>
      <c r="CM46" s="157"/>
      <c r="CN46" s="157"/>
      <c r="CO46" s="157"/>
      <c r="CP46" s="157"/>
      <c r="CQ46" s="157"/>
      <c r="CR46" s="157"/>
      <c r="CS46" s="157"/>
      <c r="CT46" s="66"/>
      <c r="CU46" s="66"/>
      <c r="CV46" s="3"/>
      <c r="CW46" s="60"/>
      <c r="CX46" s="3"/>
      <c r="CY46" s="3"/>
      <c r="CZ46" s="6"/>
      <c r="DA46" s="6"/>
      <c r="DB46" s="4"/>
      <c r="DC46" s="4"/>
      <c r="DD46" s="157"/>
      <c r="DE46" s="157"/>
      <c r="DF46" s="133"/>
      <c r="DG46" s="133"/>
      <c r="DH46" s="159"/>
      <c r="DI46" s="167"/>
      <c r="DJ46" s="157"/>
      <c r="DK46" s="157"/>
      <c r="DL46" s="147"/>
      <c r="DM46" s="133"/>
      <c r="DN46" s="159"/>
      <c r="DO46" s="167"/>
      <c r="DP46" s="157"/>
      <c r="DQ46" s="157"/>
      <c r="DR46" s="143"/>
      <c r="DS46" s="143"/>
      <c r="DT46" s="147"/>
      <c r="DU46" s="147"/>
      <c r="DV46" s="133"/>
      <c r="DW46" s="133"/>
      <c r="DX46" s="133"/>
      <c r="DY46" s="133"/>
      <c r="DZ46" s="133"/>
      <c r="EA46" s="133"/>
      <c r="EB46" s="133"/>
      <c r="EC46" s="133"/>
      <c r="ED46" s="157"/>
      <c r="EE46" s="157"/>
      <c r="EF46" s="147"/>
      <c r="EG46" s="147"/>
      <c r="EH46" s="157"/>
      <c r="EI46" s="157"/>
      <c r="EJ46" s="147"/>
      <c r="EK46" s="147"/>
      <c r="EL46" s="147"/>
      <c r="EM46" s="143"/>
      <c r="EN46" s="147"/>
      <c r="EO46" s="147"/>
      <c r="EP46" s="504"/>
      <c r="EQ46" s="143"/>
      <c r="ER46" s="133"/>
      <c r="ES46" s="147"/>
      <c r="ET46" s="147"/>
      <c r="EU46" s="143"/>
      <c r="EV46" s="143"/>
      <c r="EW46" s="167"/>
      <c r="EX46" s="167"/>
      <c r="EY46" s="167"/>
      <c r="EZ46" s="167"/>
      <c r="FA46" s="472"/>
      <c r="FB46" s="472"/>
      <c r="FC46" s="472"/>
      <c r="FD46" s="472"/>
      <c r="FE46" s="472"/>
      <c r="FF46" s="472"/>
      <c r="FG46" s="473"/>
      <c r="FH46" s="473"/>
      <c r="FO46" s="471"/>
      <c r="FP46" s="471"/>
      <c r="GG46" s="477"/>
      <c r="GH46" s="477"/>
      <c r="GI46" s="473"/>
      <c r="GJ46" s="473"/>
      <c r="GK46" s="157"/>
      <c r="GL46" s="157"/>
      <c r="GM46" s="157"/>
      <c r="GN46" s="157"/>
      <c r="GO46" s="157"/>
      <c r="GP46" s="157"/>
      <c r="GQ46" s="157"/>
      <c r="GR46" s="157"/>
      <c r="GS46" s="157"/>
      <c r="GT46" s="157"/>
      <c r="GU46" s="157"/>
      <c r="GV46" s="157"/>
      <c r="GW46" s="157"/>
      <c r="GX46" s="157"/>
      <c r="GY46" s="147"/>
      <c r="GZ46" s="147"/>
      <c r="HA46" s="474"/>
      <c r="HB46" s="474"/>
      <c r="HC46" s="228"/>
      <c r="HD46" s="228"/>
      <c r="HE46" s="239"/>
      <c r="HF46" s="229"/>
      <c r="HG46" s="228"/>
      <c r="HH46" s="228"/>
      <c r="HI46" s="474"/>
      <c r="HJ46" s="474"/>
      <c r="HK46" s="228"/>
      <c r="HL46" s="228"/>
      <c r="HM46" s="239"/>
      <c r="HN46" s="229"/>
      <c r="HO46" s="228"/>
      <c r="HP46" s="228"/>
      <c r="HQ46" s="6"/>
      <c r="HR46" s="6"/>
      <c r="HS46" s="467"/>
      <c r="HT46" s="467"/>
      <c r="HU46" s="6"/>
      <c r="HV46" s="6"/>
      <c r="HW46" s="467"/>
      <c r="HX46" s="467"/>
      <c r="HY46" s="477"/>
      <c r="HZ46" s="477"/>
      <c r="IA46" s="477"/>
      <c r="IB46" s="477"/>
      <c r="IC46" s="477"/>
      <c r="ID46" s="477"/>
      <c r="IE46" s="477"/>
      <c r="IF46" s="477"/>
      <c r="IG46" s="477"/>
      <c r="IH46" s="477"/>
      <c r="II46" s="477"/>
      <c r="IJ46" s="477"/>
      <c r="IK46" s="477"/>
      <c r="IL46" s="477"/>
      <c r="IM46" s="477"/>
      <c r="IN46" s="477"/>
      <c r="IO46" s="477"/>
      <c r="IP46" s="477"/>
      <c r="IQ46" s="477"/>
      <c r="IR46" s="477"/>
      <c r="IS46" s="477"/>
      <c r="IT46" s="477"/>
      <c r="IU46" s="477"/>
      <c r="IV46" s="477"/>
      <c r="IW46" s="477"/>
      <c r="IX46" s="477"/>
      <c r="IY46" s="477"/>
      <c r="IZ46" s="477"/>
      <c r="KA46" s="3"/>
      <c r="KB46" s="3"/>
      <c r="KE46" s="157"/>
      <c r="KF46" s="157"/>
      <c r="KG46" s="157"/>
      <c r="KH46" s="157"/>
      <c r="KI46" s="6"/>
      <c r="KJ46" s="6"/>
      <c r="KK46" s="157"/>
      <c r="KL46" s="157"/>
      <c r="KM46" s="247"/>
      <c r="KN46" s="247"/>
      <c r="KO46" s="467"/>
      <c r="KP46" s="467"/>
      <c r="KQ46" s="229"/>
      <c r="KR46" s="229"/>
      <c r="KS46" s="228"/>
      <c r="KT46" s="228"/>
      <c r="KU46" s="147"/>
      <c r="KV46" s="147"/>
      <c r="KW46" s="157"/>
      <c r="KX46" s="157"/>
      <c r="KY46" s="157"/>
      <c r="KZ46" s="157"/>
      <c r="LA46" s="6"/>
      <c r="LB46" s="6"/>
      <c r="LC46" s="157"/>
      <c r="LD46" s="157"/>
      <c r="LE46" s="133"/>
      <c r="LF46" s="143"/>
      <c r="LG46" s="471"/>
      <c r="LH46" s="471"/>
      <c r="LM46" s="157"/>
      <c r="LN46" s="157"/>
      <c r="LO46" s="157"/>
      <c r="LP46" s="157"/>
      <c r="LQ46" s="157"/>
      <c r="LR46" s="157"/>
      <c r="LS46" s="143"/>
      <c r="LT46" s="143"/>
      <c r="LU46" s="471"/>
      <c r="LV46" s="471"/>
      <c r="LW46" s="214"/>
      <c r="LX46" s="214"/>
      <c r="LY46" s="211"/>
      <c r="LZ46" s="211"/>
      <c r="MA46" s="211"/>
      <c r="MB46" s="211"/>
      <c r="MC46" s="212"/>
      <c r="MD46" s="212"/>
      <c r="ME46" s="211"/>
      <c r="MF46" s="211"/>
      <c r="MG46" s="211"/>
      <c r="MH46" s="212"/>
      <c r="MI46" s="212"/>
      <c r="MJ46" s="211"/>
      <c r="MK46" s="211"/>
      <c r="ML46" s="211"/>
      <c r="MM46" s="211"/>
      <c r="MN46" s="211"/>
      <c r="MO46" s="211"/>
      <c r="MP46" s="211"/>
      <c r="MQ46" s="211"/>
      <c r="MR46" s="211"/>
      <c r="MS46" s="211"/>
      <c r="MT46" s="211"/>
      <c r="MU46" s="506"/>
      <c r="MV46" s="506"/>
      <c r="MW46" s="109"/>
      <c r="MX46" s="109"/>
      <c r="MY46" s="109"/>
      <c r="MZ46" s="109"/>
      <c r="NA46" s="109"/>
      <c r="NB46" s="109"/>
      <c r="NC46" s="506"/>
      <c r="ND46" s="506"/>
      <c r="NE46" s="109"/>
      <c r="NF46" s="109"/>
      <c r="NG46" s="109"/>
      <c r="NH46" s="109"/>
      <c r="NI46" s="109"/>
      <c r="NJ46" s="109"/>
    </row>
    <row r="47" spans="2:408">
      <c r="D47" s="66"/>
      <c r="J47" s="327"/>
      <c r="Q47" s="6"/>
      <c r="R47" s="6"/>
      <c r="S47" s="6"/>
      <c r="T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133"/>
      <c r="AJ47" s="133"/>
      <c r="AK47" s="133"/>
      <c r="AL47" s="133"/>
      <c r="AM47" s="133"/>
      <c r="AN47" s="133"/>
      <c r="AO47" s="133"/>
      <c r="AP47" s="133"/>
      <c r="AQ47" s="133"/>
      <c r="AR47" s="133"/>
      <c r="AU47" s="133"/>
      <c r="AV47" s="133"/>
      <c r="AW47" s="133"/>
      <c r="AX47" s="133"/>
      <c r="AY47" s="133"/>
      <c r="AZ47" s="133"/>
      <c r="BA47" s="133"/>
      <c r="BB47" s="133"/>
      <c r="BC47" s="6"/>
      <c r="BD47" s="8"/>
      <c r="BE47" s="8"/>
      <c r="BF47" s="8"/>
      <c r="BG47" s="8"/>
      <c r="BH47" s="8"/>
      <c r="BM47" s="133"/>
      <c r="BN47" s="133"/>
      <c r="BO47" s="143"/>
      <c r="BP47" s="133"/>
      <c r="BQ47" s="143"/>
      <c r="BR47" s="133"/>
      <c r="BS47" s="143"/>
      <c r="BT47" s="133"/>
      <c r="BU47" s="147"/>
      <c r="BV47" s="147"/>
      <c r="BX47" s="147"/>
      <c r="BY47" s="147"/>
      <c r="CD47" s="3"/>
      <c r="CE47" s="3"/>
      <c r="CF47" s="157"/>
      <c r="CG47" s="157"/>
      <c r="CH47" s="157"/>
      <c r="CI47" s="158"/>
      <c r="CJ47" s="157"/>
      <c r="CK47" s="477"/>
      <c r="CL47" s="157"/>
      <c r="CM47" s="157"/>
      <c r="CN47" s="157"/>
      <c r="CO47" s="157"/>
      <c r="CP47" s="157"/>
      <c r="CQ47" s="157"/>
      <c r="CR47" s="157"/>
      <c r="CS47" s="157"/>
      <c r="CT47" s="66"/>
      <c r="CU47" s="66"/>
      <c r="CV47" s="3"/>
      <c r="CW47" s="60"/>
      <c r="CX47" s="3"/>
      <c r="CY47" s="3"/>
      <c r="CZ47" s="6"/>
      <c r="DA47" s="6"/>
      <c r="DB47" s="4"/>
      <c r="DC47" s="4"/>
      <c r="DD47" s="157"/>
      <c r="DE47" s="157"/>
      <c r="DF47" s="133"/>
      <c r="DG47" s="133"/>
      <c r="DH47" s="159"/>
      <c r="DI47" s="167"/>
      <c r="DJ47" s="157"/>
      <c r="DK47" s="157"/>
      <c r="DL47" s="147"/>
      <c r="DM47" s="133"/>
      <c r="DN47" s="159"/>
      <c r="DO47" s="167"/>
      <c r="DP47" s="157"/>
      <c r="DQ47" s="157"/>
      <c r="DR47" s="143"/>
      <c r="DS47" s="143"/>
      <c r="DT47" s="147"/>
      <c r="DU47" s="147"/>
      <c r="DV47" s="133"/>
      <c r="DW47" s="133"/>
      <c r="DX47" s="133"/>
      <c r="DY47" s="133"/>
      <c r="DZ47" s="133"/>
      <c r="EA47" s="133"/>
      <c r="EB47" s="133"/>
      <c r="EC47" s="133"/>
      <c r="ED47" s="157"/>
      <c r="EE47" s="157"/>
      <c r="EF47" s="147"/>
      <c r="EG47" s="147"/>
      <c r="EH47" s="157"/>
      <c r="EI47" s="157"/>
      <c r="EJ47" s="147"/>
      <c r="EK47" s="147"/>
      <c r="EL47" s="147"/>
      <c r="EM47" s="143"/>
      <c r="EN47" s="147"/>
      <c r="EO47" s="147"/>
      <c r="EP47" s="504"/>
      <c r="EQ47" s="143"/>
      <c r="ER47" s="133"/>
      <c r="ES47" s="147"/>
      <c r="ET47" s="147"/>
      <c r="EU47" s="143"/>
      <c r="EV47" s="143"/>
      <c r="EW47" s="167"/>
      <c r="EX47" s="167"/>
      <c r="EY47" s="167"/>
      <c r="EZ47" s="167"/>
      <c r="FA47" s="472"/>
      <c r="FB47" s="472"/>
      <c r="FC47" s="472"/>
      <c r="FD47" s="472"/>
      <c r="FE47" s="472"/>
      <c r="FF47" s="472"/>
      <c r="FG47" s="473"/>
      <c r="FH47" s="473"/>
      <c r="FI47" s="472"/>
      <c r="FJ47" s="472"/>
      <c r="FK47" s="472"/>
      <c r="FL47" s="472"/>
      <c r="FM47" s="472"/>
      <c r="FN47" s="472"/>
      <c r="FO47" s="471"/>
      <c r="FP47" s="471"/>
      <c r="GG47" s="477"/>
      <c r="GH47" s="477"/>
      <c r="GI47" s="473"/>
      <c r="GJ47" s="473"/>
      <c r="GK47" s="157"/>
      <c r="GL47" s="157"/>
      <c r="GM47" s="157"/>
      <c r="GN47" s="157"/>
      <c r="GO47" s="157"/>
      <c r="GP47" s="157"/>
      <c r="GQ47" s="157"/>
      <c r="GR47" s="157"/>
      <c r="GS47" s="157"/>
      <c r="GT47" s="157"/>
      <c r="GU47" s="157"/>
      <c r="GV47" s="157"/>
      <c r="GW47" s="157"/>
      <c r="GX47" s="157"/>
      <c r="GY47" s="147"/>
      <c r="GZ47" s="147"/>
      <c r="HA47" s="474"/>
      <c r="HB47" s="474"/>
      <c r="HC47" s="228"/>
      <c r="HD47" s="228"/>
      <c r="HE47" s="239"/>
      <c r="HF47" s="229"/>
      <c r="HG47" s="228"/>
      <c r="HH47" s="228"/>
      <c r="HI47" s="474"/>
      <c r="HJ47" s="474"/>
      <c r="HK47" s="228"/>
      <c r="HL47" s="228"/>
      <c r="HM47" s="239"/>
      <c r="HN47" s="229"/>
      <c r="HO47" s="228"/>
      <c r="HP47" s="228"/>
      <c r="HQ47" s="6"/>
      <c r="HR47" s="6"/>
      <c r="HS47" s="467"/>
      <c r="HT47" s="467"/>
      <c r="HU47" s="6"/>
      <c r="HV47" s="6"/>
      <c r="HW47" s="467"/>
      <c r="HX47" s="467"/>
      <c r="HY47" s="477"/>
      <c r="HZ47" s="477"/>
      <c r="IA47" s="477"/>
      <c r="IB47" s="477"/>
      <c r="IC47" s="477"/>
      <c r="ID47" s="477"/>
      <c r="IE47" s="477"/>
      <c r="IF47" s="477"/>
      <c r="IG47" s="477"/>
      <c r="IH47" s="477"/>
      <c r="II47" s="477"/>
      <c r="IJ47" s="477"/>
      <c r="IK47" s="477"/>
      <c r="IL47" s="477"/>
      <c r="IM47" s="477"/>
      <c r="IN47" s="477"/>
      <c r="IO47" s="477"/>
      <c r="IP47" s="477"/>
      <c r="IQ47" s="477"/>
      <c r="IR47" s="477"/>
      <c r="IS47" s="477"/>
      <c r="IT47" s="477"/>
      <c r="IU47" s="477"/>
      <c r="IV47" s="477"/>
      <c r="IW47" s="477"/>
      <c r="IX47" s="477"/>
      <c r="IY47" s="477"/>
      <c r="IZ47" s="477"/>
      <c r="KA47" s="3"/>
      <c r="KB47" s="3"/>
      <c r="KE47" s="157"/>
      <c r="KF47" s="157"/>
      <c r="KG47" s="157"/>
      <c r="KH47" s="157"/>
      <c r="KI47" s="6"/>
      <c r="KJ47" s="6"/>
      <c r="KK47" s="157"/>
      <c r="KL47" s="157"/>
      <c r="KM47" s="247"/>
      <c r="KN47" s="247"/>
      <c r="KO47" s="467"/>
      <c r="KP47" s="467"/>
      <c r="KQ47" s="229"/>
      <c r="KR47" s="229"/>
      <c r="KS47" s="228"/>
      <c r="KT47" s="228"/>
      <c r="KU47" s="147"/>
      <c r="KV47" s="147"/>
      <c r="KW47" s="157"/>
      <c r="KX47" s="157"/>
      <c r="KY47" s="157"/>
      <c r="KZ47" s="157"/>
      <c r="LA47" s="6"/>
      <c r="LB47" s="6"/>
      <c r="LC47" s="157"/>
      <c r="LD47" s="157"/>
      <c r="LE47" s="133"/>
      <c r="LF47" s="143"/>
      <c r="LG47" s="471"/>
      <c r="LH47" s="471"/>
      <c r="LM47" s="157"/>
      <c r="LN47" s="157"/>
      <c r="LO47" s="157"/>
      <c r="LP47" s="157"/>
      <c r="LQ47" s="157"/>
      <c r="LR47" s="157"/>
      <c r="LS47" s="143"/>
      <c r="LT47" s="143"/>
      <c r="LU47" s="471"/>
      <c r="LV47" s="471"/>
      <c r="LW47" s="214"/>
      <c r="LX47" s="214"/>
      <c r="LY47" s="211"/>
      <c r="LZ47" s="211"/>
      <c r="MA47" s="211"/>
      <c r="MB47" s="211"/>
      <c r="MC47" s="212"/>
      <c r="MD47" s="212"/>
      <c r="ME47" s="211"/>
      <c r="MF47" s="211"/>
      <c r="MG47" s="211"/>
      <c r="MH47" s="212"/>
      <c r="MI47" s="212"/>
      <c r="MJ47" s="211"/>
      <c r="MK47" s="211"/>
      <c r="ML47" s="211"/>
      <c r="MM47" s="211"/>
      <c r="MN47" s="211"/>
      <c r="MO47" s="211"/>
      <c r="MP47" s="211"/>
      <c r="MQ47" s="211"/>
      <c r="MR47" s="211"/>
      <c r="MS47" s="211"/>
      <c r="MT47" s="211"/>
      <c r="MU47" s="506"/>
      <c r="MV47" s="506"/>
      <c r="MW47" s="109"/>
      <c r="MX47" s="109"/>
      <c r="MY47" s="109"/>
      <c r="MZ47" s="109"/>
      <c r="NA47" s="109"/>
      <c r="NB47" s="109"/>
      <c r="NC47" s="506"/>
      <c r="ND47" s="506"/>
      <c r="NE47" s="109"/>
      <c r="NF47" s="109"/>
      <c r="NG47" s="109"/>
      <c r="NH47" s="109"/>
      <c r="NI47" s="109"/>
      <c r="NJ47" s="109"/>
    </row>
    <row r="48" spans="2:408">
      <c r="D48" s="66"/>
      <c r="J48" s="327"/>
      <c r="Q48" s="6"/>
      <c r="R48" s="6"/>
      <c r="S48" s="6"/>
      <c r="T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133"/>
      <c r="AJ48" s="133"/>
      <c r="AK48" s="133"/>
      <c r="AL48" s="133"/>
      <c r="AM48" s="133"/>
      <c r="AN48" s="133"/>
      <c r="AO48" s="133"/>
      <c r="AP48" s="133"/>
      <c r="AQ48" s="133"/>
      <c r="AR48" s="133"/>
      <c r="AU48" s="133"/>
      <c r="AV48" s="133"/>
      <c r="AW48" s="133"/>
      <c r="AX48" s="133"/>
      <c r="AY48" s="133"/>
      <c r="AZ48" s="133"/>
      <c r="BA48" s="133"/>
      <c r="BB48" s="133"/>
      <c r="BC48" s="6"/>
      <c r="BD48" s="8"/>
      <c r="BE48" s="8"/>
      <c r="BF48" s="8"/>
      <c r="BG48" s="8"/>
      <c r="BH48" s="8"/>
      <c r="BM48" s="133"/>
      <c r="BN48" s="133"/>
      <c r="BO48" s="143"/>
      <c r="BP48" s="133"/>
      <c r="BQ48" s="143"/>
      <c r="BR48" s="133"/>
      <c r="BS48" s="143"/>
      <c r="BT48" s="133"/>
      <c r="BU48" s="147"/>
      <c r="BV48" s="147"/>
      <c r="BX48" s="147"/>
      <c r="BY48" s="147"/>
      <c r="CD48" s="3"/>
      <c r="CE48" s="3"/>
      <c r="CF48" s="157"/>
      <c r="CG48" s="157"/>
      <c r="CH48" s="157"/>
      <c r="CI48" s="158"/>
      <c r="CJ48" s="157"/>
      <c r="CK48" s="477"/>
      <c r="CL48" s="157"/>
      <c r="CM48" s="157"/>
      <c r="CN48" s="157"/>
      <c r="CO48" s="157"/>
      <c r="CP48" s="157"/>
      <c r="CQ48" s="157"/>
      <c r="CR48" s="157"/>
      <c r="CS48" s="157"/>
      <c r="CT48" s="66"/>
      <c r="CU48" s="66"/>
      <c r="CV48" s="3"/>
      <c r="CW48" s="60"/>
      <c r="CX48" s="3"/>
      <c r="CY48" s="3"/>
      <c r="CZ48" s="6"/>
      <c r="DA48" s="6"/>
      <c r="DB48" s="4"/>
      <c r="DC48" s="4"/>
      <c r="DD48" s="157"/>
      <c r="DE48" s="157"/>
      <c r="DF48" s="133"/>
      <c r="DG48" s="133"/>
      <c r="DH48" s="159"/>
      <c r="DI48" s="167"/>
      <c r="DJ48" s="157"/>
      <c r="DK48" s="157"/>
      <c r="DL48" s="147"/>
      <c r="DM48" s="133"/>
      <c r="DN48" s="159"/>
      <c r="DO48" s="167"/>
      <c r="DP48" s="157"/>
      <c r="DQ48" s="157"/>
      <c r="DR48" s="143"/>
      <c r="DS48" s="143"/>
      <c r="DT48" s="147"/>
      <c r="DU48" s="147"/>
      <c r="DV48" s="133"/>
      <c r="DW48" s="133"/>
      <c r="DX48" s="133"/>
      <c r="DY48" s="133"/>
      <c r="DZ48" s="133"/>
      <c r="EA48" s="133"/>
      <c r="EB48" s="133"/>
      <c r="EC48" s="133"/>
      <c r="ED48" s="157"/>
      <c r="EE48" s="157"/>
      <c r="EF48" s="147"/>
      <c r="EG48" s="147"/>
      <c r="EH48" s="157"/>
      <c r="EI48" s="157"/>
      <c r="EJ48" s="147"/>
      <c r="EK48" s="147"/>
      <c r="EL48" s="147"/>
      <c r="EM48" s="143"/>
      <c r="EN48" s="147"/>
      <c r="EO48" s="147"/>
      <c r="EP48" s="504"/>
      <c r="EQ48" s="143"/>
      <c r="ER48" s="133"/>
      <c r="ES48" s="147"/>
      <c r="ET48" s="147"/>
      <c r="EU48" s="143"/>
      <c r="EV48" s="143"/>
      <c r="EW48" s="167"/>
      <c r="EX48" s="167"/>
      <c r="EY48" s="167"/>
      <c r="EZ48" s="167"/>
      <c r="FA48" s="472"/>
      <c r="FB48" s="472"/>
      <c r="FC48" s="472"/>
      <c r="FD48" s="472"/>
      <c r="FE48" s="472"/>
      <c r="FF48" s="472"/>
      <c r="FG48" s="473"/>
      <c r="FH48" s="473"/>
      <c r="FI48" s="472"/>
      <c r="FJ48" s="472"/>
      <c r="FK48" s="472"/>
      <c r="FL48" s="472"/>
      <c r="FM48" s="472"/>
      <c r="FN48" s="472"/>
      <c r="FO48" s="471"/>
      <c r="FP48" s="471"/>
      <c r="GG48" s="477"/>
      <c r="GH48" s="477"/>
      <c r="GI48" s="473"/>
      <c r="GJ48" s="473"/>
      <c r="GK48" s="157"/>
      <c r="GL48" s="157"/>
      <c r="GM48" s="157"/>
      <c r="GN48" s="157"/>
      <c r="GO48" s="157"/>
      <c r="GP48" s="157"/>
      <c r="GQ48" s="157"/>
      <c r="GR48" s="157"/>
      <c r="GS48" s="157"/>
      <c r="GT48" s="157"/>
      <c r="GU48" s="157"/>
      <c r="GV48" s="157"/>
      <c r="GW48" s="157"/>
      <c r="GX48" s="157"/>
      <c r="GY48" s="147"/>
      <c r="GZ48" s="147"/>
      <c r="HA48" s="474"/>
      <c r="HB48" s="474"/>
      <c r="HC48" s="228"/>
      <c r="HD48" s="228"/>
      <c r="HE48" s="239"/>
      <c r="HF48" s="229"/>
      <c r="HG48" s="228"/>
      <c r="HH48" s="228"/>
      <c r="HI48" s="474"/>
      <c r="HJ48" s="474"/>
      <c r="HK48" s="228"/>
      <c r="HL48" s="228"/>
      <c r="HM48" s="239"/>
      <c r="HN48" s="229"/>
      <c r="HO48" s="228"/>
      <c r="HP48" s="228"/>
      <c r="HQ48" s="6"/>
      <c r="HR48" s="6"/>
      <c r="HS48" s="467"/>
      <c r="HT48" s="467"/>
      <c r="HU48" s="6"/>
      <c r="HV48" s="6"/>
      <c r="HW48" s="467"/>
      <c r="HX48" s="467"/>
      <c r="HY48" s="477"/>
      <c r="HZ48" s="477"/>
      <c r="IA48" s="477"/>
      <c r="IB48" s="477"/>
      <c r="IC48" s="477"/>
      <c r="ID48" s="477"/>
      <c r="IE48" s="477"/>
      <c r="IF48" s="477"/>
      <c r="IG48" s="477"/>
      <c r="IH48" s="477"/>
      <c r="II48" s="477"/>
      <c r="IJ48" s="477"/>
      <c r="IK48" s="477"/>
      <c r="IL48" s="477"/>
      <c r="IM48" s="477"/>
      <c r="IN48" s="477"/>
      <c r="IO48" s="477"/>
      <c r="IP48" s="477"/>
      <c r="IQ48" s="477"/>
      <c r="IR48" s="477"/>
      <c r="IS48" s="477"/>
      <c r="IT48" s="477"/>
      <c r="IU48" s="477"/>
      <c r="IV48" s="477"/>
      <c r="IW48" s="477"/>
      <c r="IX48" s="477"/>
      <c r="IY48" s="477"/>
      <c r="IZ48" s="477"/>
      <c r="KA48" s="3"/>
      <c r="KB48" s="3"/>
      <c r="KE48" s="157"/>
      <c r="KF48" s="157"/>
      <c r="KG48" s="157"/>
      <c r="KH48" s="157"/>
      <c r="KI48" s="6"/>
      <c r="KJ48" s="6"/>
      <c r="KK48" s="157"/>
      <c r="KL48" s="157"/>
      <c r="KM48" s="247"/>
      <c r="KN48" s="247"/>
      <c r="KO48" s="467"/>
      <c r="KP48" s="467"/>
      <c r="KQ48" s="229"/>
      <c r="KR48" s="229"/>
      <c r="KS48" s="228"/>
      <c r="KT48" s="228"/>
      <c r="KU48" s="147"/>
      <c r="KV48" s="147"/>
      <c r="KW48" s="157"/>
      <c r="KX48" s="157"/>
      <c r="KY48" s="157"/>
      <c r="KZ48" s="157"/>
      <c r="LA48" s="6"/>
      <c r="LB48" s="6"/>
      <c r="LC48" s="157"/>
      <c r="LD48" s="157"/>
      <c r="LE48" s="133"/>
      <c r="LF48" s="143"/>
      <c r="LG48" s="471"/>
      <c r="LH48" s="471"/>
      <c r="LM48" s="157"/>
      <c r="LN48" s="157"/>
      <c r="LO48" s="157"/>
      <c r="LP48" s="157"/>
      <c r="LQ48" s="157"/>
      <c r="LR48" s="157"/>
      <c r="LS48" s="143"/>
      <c r="LT48" s="143"/>
      <c r="LU48" s="471"/>
      <c r="LV48" s="471"/>
      <c r="LW48" s="214"/>
      <c r="LX48" s="214"/>
      <c r="LY48" s="211"/>
      <c r="LZ48" s="211"/>
      <c r="MA48" s="211"/>
      <c r="MB48" s="211"/>
      <c r="MC48" s="212"/>
      <c r="MD48" s="212"/>
      <c r="ME48" s="211"/>
      <c r="MF48" s="211"/>
      <c r="MG48" s="211"/>
      <c r="MH48" s="212"/>
      <c r="MI48" s="212"/>
      <c r="MJ48" s="211"/>
      <c r="MK48" s="211"/>
      <c r="ML48" s="211"/>
      <c r="MM48" s="211"/>
      <c r="MN48" s="211"/>
      <c r="MO48" s="211"/>
      <c r="MP48" s="211"/>
      <c r="MQ48" s="211"/>
      <c r="MR48" s="211"/>
      <c r="MS48" s="211"/>
      <c r="MT48" s="211"/>
      <c r="MU48" s="506"/>
      <c r="MV48" s="506"/>
      <c r="MW48" s="109"/>
      <c r="MX48" s="109"/>
      <c r="MY48" s="109"/>
      <c r="MZ48" s="109"/>
      <c r="NA48" s="109"/>
      <c r="NB48" s="109"/>
      <c r="NC48" s="506"/>
      <c r="ND48" s="506"/>
      <c r="NE48" s="109"/>
      <c r="NF48" s="109"/>
      <c r="NG48" s="109"/>
      <c r="NH48" s="109"/>
      <c r="NI48" s="109"/>
      <c r="NJ48" s="109"/>
    </row>
    <row r="49" spans="4:374">
      <c r="D49" s="66"/>
      <c r="J49" s="327"/>
      <c r="Q49" s="6"/>
      <c r="R49" s="6"/>
      <c r="S49" s="6"/>
      <c r="T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U49" s="133"/>
      <c r="AV49" s="133"/>
      <c r="AW49" s="133"/>
      <c r="AX49" s="133"/>
      <c r="AY49" s="133"/>
      <c r="AZ49" s="133"/>
      <c r="BA49" s="133"/>
      <c r="BB49" s="133"/>
      <c r="BC49" s="6"/>
      <c r="BD49" s="8"/>
      <c r="BE49" s="8"/>
      <c r="BF49" s="8"/>
      <c r="BG49" s="8"/>
      <c r="BH49" s="8"/>
      <c r="BM49" s="133"/>
      <c r="BN49" s="133"/>
      <c r="BO49" s="143"/>
      <c r="BP49" s="133"/>
      <c r="BQ49" s="143"/>
      <c r="BR49" s="133"/>
      <c r="BS49" s="143"/>
      <c r="BT49" s="133"/>
      <c r="BU49" s="147"/>
      <c r="BV49" s="147"/>
      <c r="BX49" s="147"/>
      <c r="BY49" s="147"/>
      <c r="CD49" s="3"/>
      <c r="CE49" s="3"/>
      <c r="CF49" s="157"/>
      <c r="CG49" s="157"/>
      <c r="CH49" s="157"/>
      <c r="CI49" s="158"/>
      <c r="CJ49" s="157"/>
      <c r="CK49" s="477"/>
      <c r="CL49" s="157"/>
      <c r="CM49" s="157"/>
      <c r="CN49" s="157"/>
      <c r="CO49" s="157"/>
      <c r="CP49" s="157"/>
      <c r="CQ49" s="157"/>
      <c r="CR49" s="157"/>
      <c r="CS49" s="157"/>
      <c r="CT49" s="66"/>
      <c r="CU49" s="66"/>
      <c r="CV49" s="3"/>
      <c r="CW49" s="60"/>
      <c r="CX49" s="3"/>
      <c r="CY49" s="3"/>
      <c r="CZ49" s="6"/>
      <c r="DA49" s="6"/>
      <c r="DB49" s="4"/>
      <c r="DC49" s="4"/>
      <c r="DD49" s="157"/>
      <c r="DE49" s="157"/>
      <c r="DF49" s="133"/>
      <c r="DG49" s="133"/>
      <c r="DH49" s="159"/>
      <c r="DI49" s="167"/>
      <c r="DJ49" s="157"/>
      <c r="DK49" s="157"/>
      <c r="DL49" s="147"/>
      <c r="DM49" s="133"/>
      <c r="DN49" s="159"/>
      <c r="DO49" s="167"/>
      <c r="DP49" s="157"/>
      <c r="DQ49" s="157"/>
      <c r="DR49" s="143"/>
      <c r="DS49" s="143"/>
      <c r="DT49" s="147"/>
      <c r="DU49" s="147"/>
      <c r="DV49" s="133"/>
      <c r="DW49" s="133"/>
      <c r="DX49" s="133"/>
      <c r="DY49" s="133"/>
      <c r="DZ49" s="133"/>
      <c r="EA49" s="133"/>
      <c r="EB49" s="133"/>
      <c r="EC49" s="133"/>
      <c r="ED49" s="157"/>
      <c r="EE49" s="157"/>
      <c r="EF49" s="147"/>
      <c r="EG49" s="147"/>
      <c r="EH49" s="157"/>
      <c r="EI49" s="157"/>
      <c r="EJ49" s="147"/>
      <c r="EK49" s="147"/>
      <c r="EL49" s="147"/>
      <c r="EM49" s="147"/>
      <c r="EN49" s="147"/>
      <c r="EO49" s="147"/>
      <c r="EP49" s="504"/>
      <c r="EQ49" s="133"/>
      <c r="ER49" s="133"/>
      <c r="ES49" s="147"/>
      <c r="ET49" s="147"/>
      <c r="EU49" s="143"/>
      <c r="EV49" s="143"/>
      <c r="EW49" s="167"/>
      <c r="EX49" s="167"/>
      <c r="EY49" s="167"/>
      <c r="EZ49" s="167"/>
      <c r="LW49" s="214"/>
      <c r="LX49" s="214"/>
      <c r="LY49" s="211"/>
      <c r="LZ49" s="211"/>
      <c r="MA49" s="211"/>
      <c r="MB49" s="211"/>
      <c r="MC49" s="212"/>
      <c r="MD49" s="212"/>
      <c r="ME49" s="211"/>
      <c r="MF49" s="211"/>
      <c r="MG49" s="211"/>
      <c r="MH49" s="212"/>
      <c r="MI49" s="212"/>
      <c r="MJ49" s="211"/>
      <c r="MK49" s="211"/>
      <c r="ML49" s="211"/>
      <c r="MM49" s="211"/>
      <c r="MN49" s="211"/>
      <c r="MO49" s="211"/>
      <c r="MP49" s="211"/>
      <c r="MQ49" s="211"/>
      <c r="MR49" s="211"/>
      <c r="MS49" s="211"/>
      <c r="MT49" s="211"/>
      <c r="MU49" s="506"/>
      <c r="MV49" s="506"/>
      <c r="MW49" s="109"/>
      <c r="MX49" s="109"/>
      <c r="MY49" s="109"/>
      <c r="MZ49" s="109"/>
      <c r="NA49" s="109"/>
      <c r="NB49" s="506"/>
      <c r="NC49" s="506"/>
      <c r="NE49" s="109"/>
      <c r="NF49" s="109"/>
      <c r="NG49" s="109"/>
      <c r="NH49" s="109"/>
      <c r="NI49" s="109"/>
      <c r="NJ49" s="109"/>
    </row>
    <row r="50" spans="4:374">
      <c r="D50" s="66"/>
      <c r="J50" s="327"/>
      <c r="Q50" s="6"/>
      <c r="R50" s="6"/>
      <c r="S50" s="6"/>
      <c r="T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133"/>
      <c r="AJ50" s="133"/>
      <c r="AK50" s="133"/>
      <c r="AL50" s="133"/>
      <c r="AM50" s="133"/>
      <c r="AN50" s="133"/>
      <c r="AO50" s="133"/>
      <c r="AP50" s="133"/>
      <c r="AQ50" s="133"/>
      <c r="AR50" s="133"/>
      <c r="AU50" s="133"/>
      <c r="AV50" s="133"/>
      <c r="AW50" s="133"/>
      <c r="AX50" s="133"/>
      <c r="AY50" s="133"/>
      <c r="AZ50" s="133"/>
      <c r="BA50" s="133"/>
      <c r="BB50" s="133"/>
      <c r="BC50" s="6"/>
      <c r="BD50" s="8"/>
      <c r="BE50" s="8"/>
      <c r="BF50" s="8"/>
      <c r="BG50" s="8"/>
      <c r="BH50" s="8"/>
      <c r="BM50" s="133"/>
      <c r="BN50" s="133"/>
      <c r="BO50" s="143"/>
      <c r="BP50" s="133"/>
      <c r="BQ50" s="143"/>
      <c r="BR50" s="133"/>
      <c r="BS50" s="143"/>
      <c r="BT50" s="133"/>
      <c r="BU50" s="147"/>
      <c r="BV50" s="147"/>
      <c r="BX50" s="147"/>
      <c r="BY50" s="147"/>
      <c r="CD50" s="3"/>
      <c r="CE50" s="3"/>
      <c r="CF50" s="157"/>
      <c r="CG50" s="157"/>
      <c r="CH50" s="157"/>
      <c r="CI50" s="158"/>
      <c r="CJ50" s="157"/>
      <c r="CK50" s="477"/>
      <c r="CL50" s="157"/>
      <c r="CM50" s="157"/>
      <c r="CN50" s="157"/>
      <c r="CO50" s="157"/>
      <c r="CP50" s="157"/>
      <c r="CQ50" s="157"/>
      <c r="CR50" s="157"/>
      <c r="CS50" s="157"/>
      <c r="CT50" s="66"/>
      <c r="CU50" s="66"/>
      <c r="CV50" s="3"/>
      <c r="CW50" s="60"/>
      <c r="CX50" s="3"/>
      <c r="CY50" s="3"/>
      <c r="CZ50" s="6"/>
      <c r="DA50" s="6"/>
      <c r="DB50" s="4"/>
      <c r="DC50" s="4"/>
      <c r="DD50" s="157"/>
      <c r="DE50" s="157"/>
      <c r="DF50" s="133"/>
      <c r="DG50" s="133"/>
      <c r="DH50" s="159"/>
      <c r="DI50" s="167"/>
      <c r="DJ50" s="157"/>
      <c r="DK50" s="157"/>
      <c r="DL50" s="147"/>
      <c r="DM50" s="133"/>
      <c r="DN50" s="159"/>
      <c r="DO50" s="167"/>
      <c r="DP50" s="157"/>
      <c r="DQ50" s="157"/>
      <c r="DR50" s="143"/>
      <c r="DS50" s="143"/>
      <c r="DT50" s="147"/>
      <c r="DU50" s="147"/>
      <c r="DV50" s="133"/>
      <c r="DW50" s="133"/>
      <c r="DX50" s="133"/>
      <c r="DY50" s="133"/>
      <c r="DZ50" s="133"/>
      <c r="EA50" s="133"/>
      <c r="EB50" s="133"/>
      <c r="EC50" s="133"/>
      <c r="ED50" s="157"/>
      <c r="EE50" s="157"/>
      <c r="EF50" s="147"/>
      <c r="EG50" s="147"/>
      <c r="EH50" s="157"/>
      <c r="EI50" s="157"/>
      <c r="EJ50" s="147"/>
      <c r="EK50" s="147"/>
      <c r="EL50" s="147"/>
      <c r="EM50" s="143"/>
      <c r="EN50" s="147"/>
      <c r="EO50" s="147"/>
      <c r="EP50" s="504"/>
      <c r="EQ50" s="143"/>
      <c r="ER50" s="133"/>
      <c r="ES50" s="147"/>
      <c r="ET50" s="147"/>
      <c r="EU50" s="143"/>
      <c r="EV50" s="143"/>
      <c r="EW50" s="167"/>
      <c r="EX50" s="167"/>
      <c r="EY50" s="167"/>
      <c r="EZ50" s="167"/>
      <c r="LW50" s="214"/>
      <c r="LX50" s="214"/>
      <c r="LY50" s="211"/>
      <c r="LZ50" s="211"/>
      <c r="MA50" s="211"/>
      <c r="MB50" s="211"/>
      <c r="MC50" s="212"/>
      <c r="MD50" s="212"/>
      <c r="ME50" s="211"/>
      <c r="MF50" s="211"/>
      <c r="MG50" s="211"/>
      <c r="MH50" s="212"/>
      <c r="MI50" s="212"/>
      <c r="MJ50" s="211"/>
      <c r="MK50" s="211"/>
      <c r="ML50" s="211"/>
      <c r="MM50" s="211"/>
      <c r="MN50" s="211"/>
      <c r="MO50" s="211"/>
      <c r="MP50" s="211"/>
      <c r="MQ50" s="211"/>
      <c r="MR50" s="211"/>
      <c r="MS50" s="211"/>
      <c r="MT50" s="211"/>
      <c r="MU50" s="506"/>
      <c r="MV50" s="506"/>
      <c r="MW50" s="109"/>
      <c r="MX50" s="109"/>
      <c r="MY50" s="109"/>
      <c r="MZ50" s="109"/>
      <c r="NA50" s="109"/>
      <c r="NB50" s="506"/>
      <c r="NC50" s="506"/>
      <c r="NE50" s="109"/>
      <c r="NF50" s="109"/>
      <c r="NG50" s="109"/>
      <c r="NH50" s="109"/>
      <c r="NI50" s="109"/>
      <c r="NJ50" s="109"/>
    </row>
    <row r="51" spans="4:374">
      <c r="D51" s="66"/>
      <c r="J51" s="327"/>
      <c r="Q51" s="6"/>
      <c r="R51" s="6"/>
      <c r="S51" s="6"/>
      <c r="T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133"/>
      <c r="AJ51" s="133"/>
      <c r="AK51" s="133"/>
      <c r="AL51" s="133"/>
      <c r="AM51" s="133"/>
      <c r="AN51" s="133"/>
      <c r="AO51" s="133"/>
      <c r="AP51" s="133"/>
      <c r="AQ51" s="133"/>
      <c r="AR51" s="133"/>
      <c r="AU51" s="133"/>
      <c r="AV51" s="133"/>
      <c r="AW51" s="133"/>
      <c r="AX51" s="133"/>
      <c r="AY51" s="133"/>
      <c r="AZ51" s="133"/>
      <c r="BA51" s="133"/>
      <c r="BB51" s="133"/>
      <c r="BC51" s="6"/>
      <c r="BD51" s="8"/>
      <c r="BE51" s="8"/>
      <c r="BF51" s="8"/>
      <c r="BG51" s="8"/>
      <c r="BH51" s="8"/>
      <c r="BM51" s="133"/>
      <c r="BN51" s="133"/>
      <c r="BO51" s="143"/>
      <c r="BP51" s="133"/>
      <c r="BQ51" s="143"/>
      <c r="BR51" s="133"/>
      <c r="BS51" s="143"/>
      <c r="BT51" s="133"/>
      <c r="BU51" s="147"/>
      <c r="BV51" s="147"/>
      <c r="BX51" s="147"/>
      <c r="BY51" s="147"/>
      <c r="CD51" s="3"/>
      <c r="CE51" s="3"/>
      <c r="CF51" s="157"/>
      <c r="CG51" s="157"/>
      <c r="CH51" s="157"/>
      <c r="CI51" s="158"/>
      <c r="CJ51" s="157"/>
      <c r="CK51" s="477"/>
      <c r="CL51" s="157"/>
      <c r="CM51" s="157"/>
      <c r="CN51" s="157"/>
      <c r="CO51" s="157"/>
      <c r="CP51" s="157"/>
      <c r="CQ51" s="157"/>
      <c r="CR51" s="157"/>
      <c r="CS51" s="157"/>
      <c r="CT51" s="66"/>
      <c r="CU51" s="66"/>
      <c r="CV51" s="3"/>
      <c r="CW51" s="60"/>
      <c r="CX51" s="3"/>
      <c r="CY51" s="3"/>
      <c r="CZ51" s="6"/>
      <c r="DA51" s="6"/>
      <c r="DB51" s="4"/>
      <c r="DC51" s="4"/>
      <c r="DD51" s="157"/>
      <c r="DE51" s="157"/>
      <c r="DF51" s="133"/>
      <c r="DG51" s="133"/>
      <c r="DH51" s="159"/>
      <c r="DI51" s="167"/>
      <c r="DJ51" s="157"/>
      <c r="DK51" s="157"/>
      <c r="DL51" s="147"/>
      <c r="DM51" s="133"/>
      <c r="DN51" s="159"/>
      <c r="DO51" s="167"/>
      <c r="DP51" s="157"/>
      <c r="DQ51" s="157"/>
      <c r="DR51" s="143"/>
      <c r="DS51" s="143"/>
      <c r="DT51" s="147"/>
      <c r="DU51" s="147"/>
      <c r="DV51" s="133"/>
      <c r="DW51" s="133"/>
      <c r="DX51" s="133"/>
      <c r="DY51" s="133"/>
      <c r="DZ51" s="133"/>
      <c r="EA51" s="133"/>
      <c r="EB51" s="133"/>
      <c r="EC51" s="133"/>
      <c r="ED51" s="157"/>
      <c r="EE51" s="157"/>
      <c r="EF51" s="147"/>
      <c r="EG51" s="147"/>
      <c r="EH51" s="157"/>
      <c r="EI51" s="157"/>
      <c r="EJ51" s="147"/>
      <c r="EK51" s="147"/>
      <c r="EL51" s="147"/>
      <c r="EM51" s="143"/>
      <c r="EN51" s="147"/>
      <c r="EO51" s="147"/>
      <c r="EP51" s="504"/>
      <c r="EQ51" s="143"/>
      <c r="ER51" s="133"/>
      <c r="ES51" s="147"/>
      <c r="ET51" s="147"/>
      <c r="EU51" s="143"/>
      <c r="EV51" s="143"/>
      <c r="EW51" s="167"/>
      <c r="EX51" s="167"/>
      <c r="EY51" s="167"/>
      <c r="EZ51" s="167"/>
      <c r="LW51" s="214"/>
      <c r="LX51" s="214"/>
      <c r="LY51" s="211"/>
      <c r="LZ51" s="211"/>
      <c r="MA51" s="211"/>
      <c r="MB51" s="211"/>
      <c r="MC51" s="212"/>
      <c r="MD51" s="212"/>
      <c r="ME51" s="211"/>
      <c r="MF51" s="211"/>
      <c r="MG51" s="211"/>
      <c r="MH51" s="212"/>
      <c r="MI51" s="212"/>
      <c r="MJ51" s="211"/>
      <c r="MK51" s="211"/>
      <c r="ML51" s="211"/>
      <c r="MM51" s="211"/>
      <c r="MN51" s="211"/>
      <c r="MO51" s="211"/>
      <c r="MP51" s="211"/>
      <c r="MQ51" s="211"/>
      <c r="MR51" s="211"/>
      <c r="MS51" s="211"/>
      <c r="MT51" s="211"/>
      <c r="MU51" s="506"/>
      <c r="MV51" s="506"/>
      <c r="MW51" s="109"/>
      <c r="MX51" s="109"/>
      <c r="MY51" s="109"/>
      <c r="MZ51" s="109"/>
      <c r="NA51" s="109"/>
      <c r="NB51" s="506"/>
      <c r="NC51" s="506"/>
      <c r="NE51" s="109"/>
      <c r="NF51" s="109"/>
      <c r="NG51" s="109"/>
      <c r="NH51" s="109"/>
      <c r="NI51" s="109"/>
      <c r="NJ51" s="109"/>
    </row>
    <row r="52" spans="4:374">
      <c r="D52" s="66"/>
      <c r="J52" s="327"/>
      <c r="Q52" s="6"/>
      <c r="R52" s="6"/>
      <c r="S52" s="6"/>
      <c r="T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133"/>
      <c r="AJ52" s="133"/>
      <c r="AK52" s="133"/>
      <c r="AL52" s="133"/>
      <c r="AM52" s="133"/>
      <c r="AN52" s="133"/>
      <c r="AO52" s="133"/>
      <c r="AP52" s="133"/>
      <c r="AQ52" s="133"/>
      <c r="AR52" s="133"/>
      <c r="AU52" s="133"/>
      <c r="AV52" s="133"/>
      <c r="AW52" s="133"/>
      <c r="AX52" s="133"/>
      <c r="AY52" s="133"/>
      <c r="AZ52" s="133"/>
      <c r="BA52" s="133"/>
      <c r="BB52" s="133"/>
      <c r="BC52" s="6"/>
      <c r="BD52" s="8"/>
      <c r="BE52" s="8"/>
      <c r="BF52" s="8"/>
      <c r="BG52" s="8"/>
      <c r="BH52" s="8"/>
      <c r="BM52" s="133"/>
      <c r="BN52" s="133"/>
      <c r="BO52" s="143"/>
      <c r="BP52" s="133"/>
      <c r="BQ52" s="143"/>
      <c r="BR52" s="133"/>
      <c r="BS52" s="143"/>
      <c r="BT52" s="133"/>
      <c r="BU52" s="147"/>
      <c r="BV52" s="147"/>
      <c r="BX52" s="147"/>
      <c r="BY52" s="147"/>
      <c r="CD52" s="3"/>
      <c r="CE52" s="3"/>
      <c r="CF52" s="157"/>
      <c r="CG52" s="157"/>
      <c r="CH52" s="157"/>
      <c r="CI52" s="158"/>
      <c r="CJ52" s="157"/>
      <c r="CK52" s="477"/>
      <c r="CL52" s="157"/>
      <c r="CM52" s="157"/>
      <c r="CN52" s="157"/>
      <c r="CO52" s="157"/>
      <c r="CP52" s="157"/>
      <c r="CQ52" s="157"/>
      <c r="CR52" s="157"/>
      <c r="CS52" s="157"/>
      <c r="CT52" s="66"/>
      <c r="CU52" s="66"/>
      <c r="CV52" s="3"/>
      <c r="CW52" s="60"/>
      <c r="CX52" s="3"/>
      <c r="CY52" s="3"/>
      <c r="CZ52" s="6"/>
      <c r="DA52" s="6"/>
      <c r="DB52" s="4"/>
      <c r="DC52" s="4"/>
      <c r="DD52" s="157"/>
      <c r="DE52" s="157"/>
      <c r="DF52" s="133"/>
      <c r="DG52" s="133"/>
      <c r="DH52" s="159"/>
      <c r="DI52" s="167"/>
      <c r="DJ52" s="157"/>
      <c r="DK52" s="157"/>
      <c r="DL52" s="147"/>
      <c r="DM52" s="133"/>
      <c r="DN52" s="159"/>
      <c r="DO52" s="167"/>
      <c r="DP52" s="157"/>
      <c r="DQ52" s="157"/>
      <c r="DR52" s="143"/>
      <c r="DS52" s="143"/>
      <c r="DT52" s="147"/>
      <c r="DU52" s="147"/>
      <c r="DV52" s="133"/>
      <c r="DW52" s="133"/>
      <c r="DX52" s="133"/>
      <c r="DY52" s="133"/>
      <c r="DZ52" s="133"/>
      <c r="EA52" s="133"/>
      <c r="EB52" s="133"/>
      <c r="EC52" s="133"/>
      <c r="ED52" s="157"/>
      <c r="EE52" s="157"/>
      <c r="EF52" s="147"/>
      <c r="EG52" s="147"/>
      <c r="EH52" s="157"/>
      <c r="EI52" s="157"/>
      <c r="EJ52" s="147"/>
      <c r="EK52" s="147"/>
      <c r="EL52" s="147"/>
      <c r="EM52" s="143"/>
      <c r="EN52" s="147"/>
      <c r="EO52" s="147"/>
      <c r="EP52" s="504"/>
      <c r="EQ52" s="143"/>
      <c r="ER52" s="133"/>
      <c r="ES52" s="147"/>
      <c r="ET52" s="147"/>
      <c r="EU52" s="143"/>
      <c r="EV52" s="143"/>
      <c r="EW52" s="167"/>
      <c r="EX52" s="167"/>
      <c r="EY52" s="167"/>
      <c r="EZ52" s="167"/>
      <c r="LW52" s="214"/>
      <c r="LX52" s="214"/>
      <c r="LY52" s="211"/>
      <c r="LZ52" s="211"/>
      <c r="MA52" s="211"/>
      <c r="MB52" s="211"/>
      <c r="MC52" s="212"/>
      <c r="MD52" s="212"/>
      <c r="ME52" s="211"/>
      <c r="MF52" s="211"/>
      <c r="MG52" s="211"/>
      <c r="MH52" s="212"/>
      <c r="MI52" s="212"/>
      <c r="MJ52" s="211"/>
      <c r="MK52" s="211"/>
      <c r="ML52" s="211"/>
      <c r="MM52" s="211"/>
      <c r="MN52" s="211"/>
      <c r="MO52" s="211"/>
      <c r="MP52" s="211"/>
      <c r="MQ52" s="211"/>
      <c r="MR52" s="211"/>
      <c r="MS52" s="211"/>
      <c r="MT52" s="211"/>
      <c r="MU52" s="506"/>
      <c r="MV52" s="506"/>
      <c r="MW52" s="109"/>
      <c r="MX52" s="109"/>
      <c r="MY52" s="109"/>
      <c r="MZ52" s="109"/>
      <c r="NA52" s="109"/>
      <c r="NB52" s="506"/>
      <c r="NC52" s="506"/>
      <c r="NE52" s="109"/>
      <c r="NF52" s="109"/>
      <c r="NG52" s="109"/>
      <c r="NH52" s="109"/>
      <c r="NI52" s="109"/>
      <c r="NJ52" s="109"/>
    </row>
    <row r="53" spans="4:374">
      <c r="D53" s="66"/>
      <c r="J53" s="327"/>
      <c r="Q53" s="6"/>
      <c r="R53" s="6"/>
      <c r="S53" s="6"/>
      <c r="T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133"/>
      <c r="AJ53" s="133"/>
      <c r="AK53" s="133"/>
      <c r="AL53" s="133"/>
      <c r="AM53" s="133"/>
      <c r="AN53" s="133"/>
      <c r="AO53" s="133"/>
      <c r="AP53" s="133"/>
      <c r="AQ53" s="133"/>
      <c r="AR53" s="133"/>
      <c r="AU53" s="133"/>
      <c r="AV53" s="133"/>
      <c r="AW53" s="133"/>
      <c r="AX53" s="133"/>
      <c r="AY53" s="133"/>
      <c r="AZ53" s="133"/>
      <c r="BA53" s="133"/>
      <c r="BB53" s="133"/>
      <c r="BC53" s="6"/>
      <c r="BD53" s="8"/>
      <c r="BE53" s="8"/>
      <c r="BF53" s="8"/>
      <c r="BG53" s="8"/>
      <c r="BH53" s="8"/>
      <c r="BM53" s="133"/>
      <c r="BN53" s="133"/>
      <c r="BO53" s="143"/>
      <c r="BP53" s="133"/>
      <c r="BQ53" s="143"/>
      <c r="BR53" s="133"/>
      <c r="BS53" s="143"/>
      <c r="BT53" s="133"/>
      <c r="BU53" s="147"/>
      <c r="BV53" s="147"/>
      <c r="BX53" s="147"/>
      <c r="BY53" s="147"/>
      <c r="CD53" s="3"/>
      <c r="CE53" s="3"/>
      <c r="CF53" s="157"/>
      <c r="CG53" s="157"/>
      <c r="CH53" s="157"/>
      <c r="CI53" s="158"/>
      <c r="CJ53" s="157"/>
      <c r="CK53" s="477"/>
      <c r="CL53" s="157"/>
      <c r="CM53" s="157"/>
      <c r="CN53" s="157"/>
      <c r="CO53" s="157"/>
      <c r="CP53" s="157"/>
      <c r="CQ53" s="157"/>
      <c r="CR53" s="157"/>
      <c r="CS53" s="157"/>
      <c r="CT53" s="66"/>
      <c r="CU53" s="66"/>
      <c r="CV53" s="3"/>
      <c r="CW53" s="60"/>
      <c r="CX53" s="3"/>
      <c r="CY53" s="3"/>
      <c r="CZ53" s="6"/>
      <c r="DA53" s="6"/>
      <c r="DB53" s="4"/>
      <c r="DC53" s="4"/>
      <c r="DD53" s="157"/>
      <c r="DE53" s="157"/>
      <c r="DF53" s="133"/>
      <c r="DG53" s="133"/>
      <c r="DH53" s="159"/>
      <c r="DI53" s="167"/>
      <c r="DJ53" s="157"/>
      <c r="DK53" s="157"/>
      <c r="DL53" s="147"/>
      <c r="DM53" s="133"/>
      <c r="DN53" s="159"/>
      <c r="DO53" s="167"/>
      <c r="DP53" s="157"/>
      <c r="DQ53" s="157"/>
      <c r="DR53" s="143"/>
      <c r="DS53" s="143"/>
      <c r="DT53" s="147"/>
      <c r="DU53" s="147"/>
      <c r="DV53" s="133"/>
      <c r="DW53" s="133"/>
      <c r="DX53" s="133"/>
      <c r="DY53" s="133"/>
      <c r="DZ53" s="133"/>
      <c r="EA53" s="133"/>
      <c r="EB53" s="133"/>
      <c r="EC53" s="133"/>
      <c r="ED53" s="157"/>
      <c r="EE53" s="157"/>
      <c r="EF53" s="147"/>
      <c r="EG53" s="147"/>
      <c r="EH53" s="157"/>
      <c r="EI53" s="157"/>
      <c r="EJ53" s="147"/>
      <c r="EK53" s="147"/>
      <c r="EL53" s="147"/>
      <c r="EM53" s="143"/>
      <c r="EN53" s="147"/>
      <c r="EO53" s="147"/>
      <c r="EP53" s="504"/>
      <c r="EQ53" s="143"/>
      <c r="ER53" s="133"/>
      <c r="ES53" s="147"/>
      <c r="ET53" s="147"/>
      <c r="EU53" s="143"/>
      <c r="EV53" s="143"/>
      <c r="EW53" s="167"/>
      <c r="EX53" s="167"/>
      <c r="EY53" s="167"/>
      <c r="EZ53" s="167"/>
      <c r="LW53" s="214"/>
      <c r="LX53" s="214"/>
      <c r="LY53" s="211"/>
      <c r="LZ53" s="211"/>
      <c r="MA53" s="211"/>
      <c r="MB53" s="211"/>
      <c r="MC53" s="212"/>
      <c r="MD53" s="212"/>
      <c r="ME53" s="211"/>
      <c r="MF53" s="211"/>
      <c r="MG53" s="211"/>
      <c r="MH53" s="212"/>
      <c r="MI53" s="212"/>
      <c r="MJ53" s="211"/>
      <c r="MK53" s="211"/>
      <c r="ML53" s="211"/>
      <c r="MM53" s="211"/>
      <c r="MN53" s="211"/>
      <c r="MO53" s="211"/>
      <c r="MP53" s="211"/>
      <c r="MQ53" s="211"/>
      <c r="MR53" s="211"/>
      <c r="MS53" s="211"/>
      <c r="MT53" s="211"/>
      <c r="MU53" s="506"/>
      <c r="MV53" s="506"/>
      <c r="MW53" s="109"/>
      <c r="MX53" s="109"/>
      <c r="MY53" s="109"/>
      <c r="MZ53" s="109"/>
      <c r="NA53" s="109"/>
      <c r="NB53" s="506"/>
      <c r="NC53" s="506"/>
      <c r="NE53" s="109"/>
      <c r="NF53" s="109"/>
      <c r="NG53" s="109"/>
      <c r="NH53" s="109"/>
      <c r="NI53" s="109"/>
      <c r="NJ53" s="109"/>
    </row>
    <row r="54" spans="4:374">
      <c r="D54" s="66"/>
      <c r="J54" s="327"/>
      <c r="Q54" s="6"/>
      <c r="R54" s="6"/>
      <c r="S54" s="6"/>
      <c r="T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133"/>
      <c r="AJ54" s="133"/>
      <c r="AK54" s="133"/>
      <c r="AL54" s="133"/>
      <c r="AM54" s="133"/>
      <c r="AN54" s="133"/>
      <c r="AO54" s="133"/>
      <c r="AP54" s="133"/>
      <c r="AQ54" s="133"/>
      <c r="AR54" s="133"/>
      <c r="AU54" s="133"/>
      <c r="AV54" s="133"/>
      <c r="AW54" s="133"/>
      <c r="AX54" s="133"/>
      <c r="AY54" s="133"/>
      <c r="AZ54" s="133"/>
      <c r="BA54" s="133"/>
      <c r="BB54" s="133"/>
      <c r="BC54" s="6"/>
      <c r="BD54" s="8"/>
      <c r="BE54" s="8"/>
      <c r="BF54" s="8"/>
      <c r="BG54" s="8"/>
      <c r="BH54" s="8"/>
      <c r="BM54" s="133"/>
      <c r="BN54" s="133"/>
      <c r="BO54" s="143"/>
      <c r="BP54" s="133"/>
      <c r="BQ54" s="143"/>
      <c r="BR54" s="133"/>
      <c r="BS54" s="143"/>
      <c r="BT54" s="133"/>
      <c r="BU54" s="147"/>
      <c r="BV54" s="147"/>
      <c r="BX54" s="147"/>
      <c r="BY54" s="147"/>
      <c r="CD54" s="3"/>
      <c r="CE54" s="3"/>
      <c r="CF54" s="157"/>
      <c r="CG54" s="157"/>
      <c r="CH54" s="157"/>
      <c r="CI54" s="158"/>
      <c r="CJ54" s="157"/>
      <c r="CK54" s="477"/>
      <c r="CL54" s="157"/>
      <c r="CM54" s="157"/>
      <c r="CN54" s="157"/>
      <c r="CO54" s="157"/>
      <c r="CP54" s="157"/>
      <c r="CQ54" s="157"/>
      <c r="CR54" s="157"/>
      <c r="CS54" s="157"/>
      <c r="CT54" s="66"/>
      <c r="CU54" s="66"/>
      <c r="CV54" s="3"/>
      <c r="CW54" s="60"/>
      <c r="CX54" s="3"/>
      <c r="CY54" s="3"/>
      <c r="CZ54" s="6"/>
      <c r="DA54" s="6"/>
      <c r="DB54" s="4"/>
      <c r="DC54" s="4"/>
      <c r="DD54" s="157"/>
      <c r="DE54" s="157"/>
      <c r="DF54" s="133"/>
      <c r="DG54" s="133"/>
      <c r="DH54" s="159"/>
      <c r="DI54" s="167"/>
      <c r="DJ54" s="157"/>
      <c r="DK54" s="157"/>
      <c r="DL54" s="147"/>
      <c r="DM54" s="133"/>
      <c r="DN54" s="159"/>
      <c r="DO54" s="167"/>
      <c r="DP54" s="157"/>
      <c r="DQ54" s="157"/>
      <c r="DR54" s="143"/>
      <c r="DS54" s="143"/>
      <c r="DT54" s="147"/>
      <c r="DU54" s="147"/>
      <c r="DV54" s="133"/>
      <c r="DW54" s="133"/>
      <c r="DX54" s="133"/>
      <c r="DY54" s="133"/>
      <c r="DZ54" s="133"/>
      <c r="EA54" s="133"/>
      <c r="EB54" s="133"/>
      <c r="EC54" s="133"/>
      <c r="ED54" s="157"/>
      <c r="EE54" s="157"/>
      <c r="EF54" s="147"/>
      <c r="EG54" s="147"/>
      <c r="EH54" s="157"/>
      <c r="EI54" s="157"/>
      <c r="EJ54" s="147"/>
      <c r="EK54" s="147"/>
      <c r="EL54" s="147"/>
      <c r="EM54" s="143"/>
      <c r="EN54" s="147"/>
      <c r="EO54" s="147"/>
      <c r="EP54" s="504"/>
      <c r="EQ54" s="143"/>
      <c r="ER54" s="133"/>
      <c r="ES54" s="147"/>
      <c r="ET54" s="147"/>
      <c r="EU54" s="143"/>
      <c r="EV54" s="143"/>
      <c r="EW54" s="167"/>
      <c r="EX54" s="167"/>
      <c r="EY54" s="167"/>
      <c r="EZ54" s="167"/>
      <c r="LW54" s="214"/>
      <c r="LX54" s="214"/>
      <c r="LY54" s="211"/>
      <c r="LZ54" s="211"/>
      <c r="MA54" s="211"/>
      <c r="MB54" s="211"/>
      <c r="MC54" s="212"/>
      <c r="MD54" s="212"/>
      <c r="ME54" s="211"/>
      <c r="MF54" s="211"/>
      <c r="MG54" s="211"/>
      <c r="MH54" s="212"/>
      <c r="MI54" s="212"/>
      <c r="MJ54" s="211"/>
      <c r="MK54" s="211"/>
      <c r="ML54" s="211"/>
      <c r="MM54" s="211"/>
      <c r="MN54" s="211"/>
      <c r="MO54" s="211"/>
      <c r="MP54" s="211"/>
      <c r="MQ54" s="211"/>
      <c r="MR54" s="211"/>
      <c r="MS54" s="211"/>
      <c r="MT54" s="211"/>
      <c r="MU54" s="506"/>
      <c r="MV54" s="506"/>
      <c r="MW54" s="109"/>
      <c r="MX54" s="109"/>
      <c r="MY54" s="109"/>
      <c r="MZ54" s="109"/>
      <c r="NA54" s="109"/>
      <c r="NB54" s="506"/>
      <c r="NC54" s="506"/>
      <c r="NE54" s="109"/>
      <c r="NF54" s="109"/>
      <c r="NG54" s="109"/>
      <c r="NH54" s="109"/>
      <c r="NI54" s="109"/>
      <c r="NJ54" s="109"/>
    </row>
    <row r="55" spans="4:374">
      <c r="D55" s="66"/>
      <c r="J55" s="327"/>
      <c r="Q55" s="6"/>
      <c r="R55" s="6"/>
      <c r="S55" s="6"/>
      <c r="T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133"/>
      <c r="AJ55" s="133"/>
      <c r="AK55" s="133"/>
      <c r="AL55" s="133"/>
      <c r="AM55" s="133"/>
      <c r="AN55" s="133"/>
      <c r="AO55" s="133"/>
      <c r="AP55" s="133"/>
      <c r="AQ55" s="133"/>
      <c r="AR55" s="133"/>
      <c r="AU55" s="133"/>
      <c r="AV55" s="133"/>
      <c r="AW55" s="133"/>
      <c r="AX55" s="133"/>
      <c r="AY55" s="133"/>
      <c r="AZ55" s="133"/>
      <c r="BA55" s="133"/>
      <c r="BB55" s="133"/>
      <c r="BC55" s="6"/>
      <c r="BD55" s="8"/>
      <c r="BE55" s="8"/>
      <c r="BF55" s="8"/>
      <c r="BG55" s="8"/>
      <c r="BH55" s="8"/>
      <c r="BM55" s="133"/>
      <c r="BN55" s="133"/>
      <c r="BO55" s="143"/>
      <c r="BP55" s="133"/>
      <c r="BQ55" s="143"/>
      <c r="BR55" s="133"/>
      <c r="BS55" s="143"/>
      <c r="BT55" s="133"/>
      <c r="BU55" s="147"/>
      <c r="BV55" s="147"/>
      <c r="BX55" s="147"/>
      <c r="BY55" s="147"/>
      <c r="CD55" s="3"/>
      <c r="CE55" s="3"/>
      <c r="CF55" s="157"/>
      <c r="CG55" s="157"/>
      <c r="CH55" s="157"/>
      <c r="CI55" s="158"/>
      <c r="CJ55" s="157"/>
      <c r="CK55" s="477"/>
      <c r="CL55" s="157"/>
      <c r="CM55" s="157"/>
      <c r="CN55" s="157"/>
      <c r="CO55" s="157"/>
      <c r="CP55" s="157"/>
      <c r="CQ55" s="157"/>
      <c r="CR55" s="157"/>
      <c r="CS55" s="157"/>
      <c r="CT55" s="66"/>
      <c r="CU55" s="66"/>
      <c r="CV55" s="3"/>
      <c r="CW55" s="60"/>
      <c r="CX55" s="3"/>
      <c r="CY55" s="3"/>
      <c r="CZ55" s="6"/>
      <c r="DA55" s="6"/>
      <c r="DB55" s="4"/>
      <c r="DC55" s="4"/>
      <c r="DD55" s="157"/>
      <c r="DE55" s="157"/>
      <c r="DF55" s="133"/>
      <c r="DG55" s="133"/>
      <c r="DH55" s="159"/>
      <c r="DI55" s="167"/>
      <c r="DJ55" s="157"/>
      <c r="DK55" s="157"/>
      <c r="DL55" s="147"/>
      <c r="DM55" s="133"/>
      <c r="DN55" s="159"/>
      <c r="DO55" s="167"/>
      <c r="DP55" s="157"/>
      <c r="DQ55" s="157"/>
      <c r="DR55" s="143"/>
      <c r="DS55" s="143"/>
      <c r="DT55" s="147"/>
      <c r="DU55" s="147"/>
      <c r="DV55" s="133"/>
      <c r="DW55" s="133"/>
      <c r="DX55" s="133"/>
      <c r="DY55" s="133"/>
      <c r="DZ55" s="133"/>
      <c r="EA55" s="133"/>
      <c r="EB55" s="133"/>
      <c r="EC55" s="133"/>
      <c r="ED55" s="157"/>
      <c r="EE55" s="157"/>
      <c r="EF55" s="147"/>
      <c r="EG55" s="147"/>
      <c r="EH55" s="157"/>
      <c r="EI55" s="157"/>
      <c r="EJ55" s="147"/>
      <c r="EK55" s="147"/>
      <c r="EL55" s="147"/>
      <c r="EM55" s="143"/>
      <c r="EN55" s="147"/>
      <c r="EO55" s="147"/>
      <c r="EP55" s="504"/>
      <c r="EQ55" s="143"/>
      <c r="ER55" s="133"/>
      <c r="ES55" s="147"/>
      <c r="ET55" s="147"/>
      <c r="EU55" s="143"/>
      <c r="EV55" s="143"/>
      <c r="EW55" s="167"/>
      <c r="EX55" s="167"/>
      <c r="EY55" s="167"/>
      <c r="EZ55" s="167"/>
      <c r="LW55" s="214"/>
      <c r="LX55" s="214"/>
      <c r="LY55" s="211"/>
      <c r="LZ55" s="211"/>
      <c r="MA55" s="211"/>
      <c r="MB55" s="211"/>
      <c r="MC55" s="212"/>
      <c r="MD55" s="212"/>
      <c r="ME55" s="211"/>
      <c r="MF55" s="211"/>
      <c r="MG55" s="211"/>
      <c r="MH55" s="212"/>
      <c r="MI55" s="212"/>
      <c r="MJ55" s="211"/>
      <c r="MK55" s="211"/>
      <c r="ML55" s="211"/>
      <c r="MM55" s="211"/>
      <c r="MN55" s="211"/>
      <c r="MO55" s="211"/>
      <c r="MP55" s="211"/>
      <c r="MQ55" s="211"/>
      <c r="MR55" s="211"/>
      <c r="MS55" s="211"/>
      <c r="MT55" s="211"/>
      <c r="MU55" s="506"/>
      <c r="MV55" s="506"/>
      <c r="MW55" s="109"/>
      <c r="MX55" s="109"/>
      <c r="MY55" s="109"/>
      <c r="MZ55" s="109"/>
      <c r="NA55" s="109"/>
      <c r="NB55" s="506"/>
      <c r="NC55" s="506"/>
      <c r="NE55" s="109"/>
      <c r="NF55" s="109"/>
      <c r="NG55" s="109"/>
      <c r="NH55" s="109"/>
      <c r="NI55" s="109"/>
      <c r="NJ55" s="109"/>
    </row>
    <row r="56" spans="4:374">
      <c r="D56" s="66"/>
      <c r="J56" s="327"/>
      <c r="Q56" s="6"/>
      <c r="R56" s="6"/>
      <c r="S56" s="6"/>
      <c r="T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133"/>
      <c r="AJ56" s="133"/>
      <c r="AK56" s="133"/>
      <c r="AL56" s="133"/>
      <c r="AM56" s="133"/>
      <c r="AN56" s="133"/>
      <c r="AO56" s="133"/>
      <c r="AP56" s="133"/>
      <c r="AQ56" s="133"/>
      <c r="AR56" s="133"/>
      <c r="AU56" s="133"/>
      <c r="AV56" s="133"/>
      <c r="AW56" s="133"/>
      <c r="AX56" s="133"/>
      <c r="AY56" s="133"/>
      <c r="AZ56" s="133"/>
      <c r="BA56" s="133"/>
      <c r="BB56" s="133"/>
      <c r="BC56" s="6"/>
      <c r="BD56" s="8"/>
      <c r="BE56" s="8"/>
      <c r="BF56" s="8"/>
      <c r="BG56" s="8"/>
      <c r="BH56" s="8"/>
      <c r="BM56" s="133"/>
      <c r="BN56" s="133"/>
      <c r="BO56" s="143"/>
      <c r="BP56" s="133"/>
      <c r="BQ56" s="143"/>
      <c r="BR56" s="133"/>
      <c r="BS56" s="143"/>
      <c r="BT56" s="133"/>
      <c r="BU56" s="147"/>
      <c r="BV56" s="147"/>
      <c r="BX56" s="147"/>
      <c r="BY56" s="147"/>
      <c r="CD56" s="3"/>
      <c r="CE56" s="3"/>
      <c r="CF56" s="157"/>
      <c r="CG56" s="157"/>
      <c r="CH56" s="157"/>
      <c r="CI56" s="158"/>
      <c r="CJ56" s="157"/>
      <c r="CK56" s="477"/>
      <c r="CL56" s="157"/>
      <c r="CM56" s="157"/>
      <c r="CN56" s="157"/>
      <c r="CO56" s="157"/>
      <c r="CP56" s="157"/>
      <c r="CQ56" s="157"/>
      <c r="CR56" s="157"/>
      <c r="CS56" s="157"/>
      <c r="CT56" s="66"/>
      <c r="CU56" s="66"/>
      <c r="CV56" s="3"/>
      <c r="CW56" s="60"/>
      <c r="CX56" s="3"/>
      <c r="CY56" s="3"/>
      <c r="CZ56" s="6"/>
      <c r="DA56" s="6"/>
      <c r="DB56" s="4"/>
      <c r="DC56" s="4"/>
      <c r="DD56" s="157"/>
      <c r="DE56" s="157"/>
      <c r="DF56" s="133"/>
      <c r="DG56" s="133"/>
      <c r="DH56" s="159"/>
      <c r="DI56" s="167"/>
      <c r="DJ56" s="157"/>
      <c r="DK56" s="157"/>
      <c r="DL56" s="147"/>
      <c r="DM56" s="133"/>
      <c r="DN56" s="159"/>
      <c r="DO56" s="167"/>
      <c r="DP56" s="157"/>
      <c r="DQ56" s="157"/>
      <c r="DR56" s="143"/>
      <c r="DS56" s="143"/>
      <c r="DT56" s="147"/>
      <c r="DU56" s="147"/>
      <c r="DV56" s="133"/>
      <c r="DW56" s="133"/>
      <c r="DX56" s="133"/>
      <c r="DY56" s="133"/>
      <c r="DZ56" s="133"/>
      <c r="EA56" s="133"/>
      <c r="EB56" s="133"/>
      <c r="EC56" s="133"/>
      <c r="ED56" s="157"/>
      <c r="EE56" s="157"/>
      <c r="EF56" s="147"/>
      <c r="EG56" s="147"/>
      <c r="EH56" s="157"/>
      <c r="EI56" s="157"/>
      <c r="EJ56" s="147"/>
      <c r="EK56" s="147"/>
      <c r="EL56" s="147"/>
      <c r="EM56" s="143"/>
      <c r="EN56" s="147"/>
      <c r="EO56" s="147"/>
      <c r="EP56" s="504"/>
      <c r="EQ56" s="143"/>
      <c r="ER56" s="133"/>
      <c r="ES56" s="147"/>
      <c r="ET56" s="147"/>
      <c r="EU56" s="143"/>
      <c r="EV56" s="143"/>
      <c r="EW56" s="167"/>
      <c r="EX56" s="167"/>
      <c r="EY56" s="167"/>
      <c r="EZ56" s="167"/>
      <c r="LW56" s="214"/>
      <c r="LX56" s="214"/>
      <c r="LY56" s="211"/>
      <c r="LZ56" s="211"/>
      <c r="MA56" s="211"/>
      <c r="MB56" s="211"/>
      <c r="MC56" s="212"/>
      <c r="MD56" s="212"/>
      <c r="ME56" s="211"/>
      <c r="MF56" s="211"/>
      <c r="MG56" s="211"/>
      <c r="MH56" s="212"/>
      <c r="MI56" s="212"/>
      <c r="MJ56" s="211"/>
      <c r="MK56" s="211"/>
      <c r="ML56" s="211"/>
      <c r="MM56" s="211"/>
      <c r="MN56" s="211"/>
      <c r="MO56" s="211"/>
      <c r="MP56" s="211"/>
      <c r="MQ56" s="211"/>
      <c r="MR56" s="211"/>
      <c r="MS56" s="211"/>
      <c r="MT56" s="211"/>
      <c r="MU56" s="506"/>
      <c r="MV56" s="506"/>
      <c r="MW56" s="109"/>
      <c r="MX56" s="109"/>
      <c r="MY56" s="109"/>
      <c r="MZ56" s="109"/>
      <c r="NA56" s="109"/>
      <c r="NB56" s="506"/>
      <c r="NC56" s="506"/>
      <c r="NE56" s="109"/>
      <c r="NF56" s="109"/>
      <c r="NG56" s="109"/>
      <c r="NH56" s="109"/>
      <c r="NI56" s="109"/>
      <c r="NJ56" s="109"/>
    </row>
    <row r="57" spans="4:374">
      <c r="D57" s="66"/>
      <c r="J57" s="327"/>
      <c r="Q57" s="6"/>
      <c r="R57" s="6"/>
      <c r="S57" s="6"/>
      <c r="T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133"/>
      <c r="AJ57" s="133"/>
      <c r="AK57" s="133"/>
      <c r="AL57" s="133"/>
      <c r="AM57" s="133"/>
      <c r="AN57" s="133"/>
      <c r="AO57" s="133"/>
      <c r="AP57" s="133"/>
      <c r="AQ57" s="133"/>
      <c r="AR57" s="133"/>
      <c r="AU57" s="133"/>
      <c r="AV57" s="133"/>
      <c r="AW57" s="133"/>
      <c r="AX57" s="133"/>
      <c r="AY57" s="133"/>
      <c r="AZ57" s="133"/>
      <c r="BA57" s="133"/>
      <c r="BB57" s="133"/>
      <c r="BC57" s="6"/>
      <c r="BD57" s="8"/>
      <c r="BE57" s="8"/>
      <c r="BF57" s="8"/>
      <c r="BG57" s="8"/>
      <c r="BH57" s="8"/>
      <c r="BM57" s="133"/>
      <c r="BN57" s="133"/>
      <c r="BO57" s="143"/>
      <c r="BP57" s="133"/>
      <c r="BQ57" s="143"/>
      <c r="BR57" s="133"/>
      <c r="BS57" s="143"/>
      <c r="BT57" s="133"/>
      <c r="BU57" s="147"/>
      <c r="BV57" s="147"/>
      <c r="BX57" s="147"/>
      <c r="BY57" s="147"/>
      <c r="CD57" s="3"/>
      <c r="CE57" s="3"/>
      <c r="CF57" s="157"/>
      <c r="CG57" s="157"/>
      <c r="CH57" s="157"/>
      <c r="CI57" s="158"/>
      <c r="CJ57" s="157"/>
      <c r="CK57" s="477"/>
      <c r="CL57" s="157"/>
      <c r="CM57" s="157"/>
      <c r="CN57" s="157"/>
      <c r="CO57" s="157"/>
      <c r="CP57" s="157"/>
      <c r="CQ57" s="157"/>
      <c r="CR57" s="157"/>
      <c r="CS57" s="157"/>
      <c r="CT57" s="66"/>
      <c r="CU57" s="66"/>
      <c r="CV57" s="3"/>
      <c r="CW57" s="60"/>
      <c r="CX57" s="3"/>
      <c r="CY57" s="3"/>
      <c r="CZ57" s="6"/>
      <c r="DA57" s="6"/>
      <c r="DB57" s="4"/>
      <c r="DC57" s="4"/>
      <c r="DD57" s="157"/>
      <c r="DE57" s="157"/>
      <c r="DF57" s="133"/>
      <c r="DG57" s="133"/>
      <c r="DH57" s="159"/>
      <c r="DI57" s="167"/>
      <c r="DJ57" s="157"/>
      <c r="DK57" s="157"/>
      <c r="DL57" s="147"/>
      <c r="DM57" s="133"/>
      <c r="DN57" s="159"/>
      <c r="DO57" s="167"/>
      <c r="DP57" s="157"/>
      <c r="DQ57" s="157"/>
      <c r="DR57" s="143"/>
      <c r="DS57" s="143"/>
      <c r="DT57" s="147"/>
      <c r="DU57" s="147"/>
      <c r="DV57" s="133"/>
      <c r="DW57" s="133"/>
      <c r="DX57" s="133"/>
      <c r="DY57" s="133"/>
      <c r="DZ57" s="133"/>
      <c r="EA57" s="133"/>
      <c r="EB57" s="133"/>
      <c r="EC57" s="133"/>
      <c r="ED57" s="157"/>
      <c r="EE57" s="157"/>
      <c r="EF57" s="147"/>
      <c r="EG57" s="147"/>
      <c r="EH57" s="157"/>
      <c r="EI57" s="157"/>
      <c r="EJ57" s="147"/>
      <c r="EK57" s="147"/>
      <c r="EL57" s="147"/>
      <c r="EM57" s="143"/>
      <c r="EN57" s="147"/>
      <c r="EO57" s="147"/>
      <c r="EP57" s="504"/>
      <c r="EQ57" s="143"/>
      <c r="ER57" s="133"/>
      <c r="ES57" s="147"/>
      <c r="ET57" s="147"/>
      <c r="EU57" s="143"/>
      <c r="EV57" s="143"/>
      <c r="EW57" s="167"/>
      <c r="EX57" s="167"/>
      <c r="EY57" s="167"/>
      <c r="EZ57" s="167"/>
      <c r="LW57" s="214"/>
      <c r="LX57" s="214"/>
      <c r="LY57" s="211"/>
      <c r="LZ57" s="211"/>
      <c r="MA57" s="211"/>
      <c r="MB57" s="211"/>
      <c r="MC57" s="212"/>
      <c r="MD57" s="212"/>
      <c r="ME57" s="211"/>
      <c r="MF57" s="211"/>
      <c r="MG57" s="211"/>
      <c r="MH57" s="212"/>
      <c r="MI57" s="212"/>
      <c r="MJ57" s="211"/>
      <c r="MK57" s="211"/>
      <c r="ML57" s="211"/>
      <c r="MM57" s="211"/>
      <c r="MN57" s="211"/>
      <c r="MO57" s="211"/>
      <c r="MP57" s="211"/>
      <c r="MQ57" s="211"/>
      <c r="MR57" s="211"/>
      <c r="MS57" s="211"/>
      <c r="MT57" s="211"/>
      <c r="MU57" s="506"/>
      <c r="MV57" s="506"/>
      <c r="MW57" s="109"/>
      <c r="MX57" s="109"/>
      <c r="MY57" s="109"/>
      <c r="MZ57" s="109"/>
      <c r="NA57" s="109"/>
      <c r="NB57" s="506"/>
      <c r="NC57" s="506"/>
      <c r="NE57" s="109"/>
      <c r="NF57" s="109"/>
      <c r="NG57" s="109"/>
      <c r="NH57" s="109"/>
      <c r="NI57" s="109"/>
      <c r="NJ57" s="109"/>
    </row>
    <row r="58" spans="4:374">
      <c r="D58" s="66"/>
      <c r="J58" s="327"/>
      <c r="Q58" s="6"/>
      <c r="R58" s="6"/>
      <c r="S58" s="6"/>
      <c r="T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133"/>
      <c r="AJ58" s="133"/>
      <c r="AK58" s="133"/>
      <c r="AL58" s="133"/>
      <c r="AM58" s="133"/>
      <c r="AN58" s="133"/>
      <c r="AO58" s="133"/>
      <c r="AP58" s="133"/>
      <c r="AQ58" s="133"/>
      <c r="AR58" s="133"/>
      <c r="AU58" s="133"/>
      <c r="AV58" s="133"/>
      <c r="AW58" s="133"/>
      <c r="AX58" s="133"/>
      <c r="AY58" s="133"/>
      <c r="AZ58" s="133"/>
      <c r="BA58" s="133"/>
      <c r="BB58" s="133"/>
      <c r="BC58" s="6"/>
      <c r="BD58" s="8"/>
      <c r="BE58" s="8"/>
      <c r="BF58" s="8"/>
      <c r="BG58" s="8"/>
      <c r="BH58" s="8"/>
      <c r="BM58" s="133"/>
      <c r="BN58" s="133"/>
      <c r="BO58" s="143"/>
      <c r="BP58" s="133"/>
      <c r="BQ58" s="143"/>
      <c r="BR58" s="133"/>
      <c r="BS58" s="143"/>
      <c r="BT58" s="133"/>
      <c r="BU58" s="147"/>
      <c r="BV58" s="147"/>
      <c r="BX58" s="147"/>
      <c r="BY58" s="147"/>
      <c r="CD58" s="3"/>
      <c r="CE58" s="3"/>
      <c r="CF58" s="157"/>
      <c r="CG58" s="157"/>
      <c r="CH58" s="157"/>
      <c r="CI58" s="158"/>
      <c r="CJ58" s="157"/>
      <c r="CK58" s="477"/>
      <c r="CL58" s="157"/>
      <c r="CM58" s="157"/>
      <c r="CN58" s="157"/>
      <c r="CO58" s="157"/>
      <c r="CP58" s="157"/>
      <c r="CQ58" s="157"/>
      <c r="CR58" s="157"/>
      <c r="CS58" s="157"/>
      <c r="CT58" s="66"/>
      <c r="CU58" s="66"/>
      <c r="CV58" s="3"/>
      <c r="CW58" s="60"/>
      <c r="CX58" s="3"/>
      <c r="CY58" s="3"/>
      <c r="CZ58" s="6"/>
      <c r="DA58" s="6"/>
      <c r="DB58" s="4"/>
      <c r="DC58" s="4"/>
      <c r="DD58" s="157"/>
      <c r="DE58" s="157"/>
      <c r="DF58" s="133"/>
      <c r="DG58" s="133"/>
      <c r="DH58" s="159"/>
      <c r="DI58" s="167"/>
      <c r="DJ58" s="157"/>
      <c r="DK58" s="157"/>
      <c r="DL58" s="147"/>
      <c r="DM58" s="133"/>
      <c r="DN58" s="159"/>
      <c r="DO58" s="167"/>
      <c r="DP58" s="157"/>
      <c r="DQ58" s="157"/>
      <c r="DR58" s="143"/>
      <c r="DS58" s="143"/>
      <c r="DT58" s="147"/>
      <c r="DU58" s="147"/>
      <c r="DV58" s="133"/>
      <c r="DW58" s="133"/>
      <c r="DX58" s="133"/>
      <c r="DY58" s="133"/>
      <c r="DZ58" s="133"/>
      <c r="EA58" s="133"/>
      <c r="EB58" s="133"/>
      <c r="EC58" s="133"/>
      <c r="ED58" s="157"/>
      <c r="EE58" s="157"/>
      <c r="EF58" s="147"/>
      <c r="EG58" s="147"/>
      <c r="EH58" s="157"/>
      <c r="EI58" s="157"/>
      <c r="EJ58" s="147"/>
      <c r="EK58" s="147"/>
      <c r="EL58" s="147"/>
      <c r="EM58" s="143"/>
      <c r="EN58" s="147"/>
      <c r="EO58" s="147"/>
      <c r="EP58" s="504"/>
      <c r="EQ58" s="143"/>
      <c r="ER58" s="133"/>
      <c r="ES58" s="147"/>
      <c r="ET58" s="147"/>
      <c r="EU58" s="143"/>
      <c r="EV58" s="143"/>
      <c r="EW58" s="167"/>
      <c r="EX58" s="167"/>
      <c r="EY58" s="167"/>
      <c r="EZ58" s="167"/>
      <c r="LW58" s="214"/>
      <c r="LX58" s="214"/>
      <c r="LY58" s="211"/>
      <c r="LZ58" s="211"/>
      <c r="MA58" s="211"/>
      <c r="MB58" s="211"/>
      <c r="MC58" s="212"/>
      <c r="MD58" s="212"/>
      <c r="ME58" s="211"/>
      <c r="MF58" s="211"/>
      <c r="MG58" s="211"/>
      <c r="MH58" s="212"/>
      <c r="MI58" s="212"/>
      <c r="MJ58" s="211"/>
      <c r="MK58" s="211"/>
      <c r="ML58" s="211"/>
      <c r="MM58" s="211"/>
      <c r="MN58" s="211"/>
      <c r="MO58" s="211"/>
      <c r="MP58" s="211"/>
      <c r="MQ58" s="211"/>
      <c r="MR58" s="211"/>
      <c r="MS58" s="211"/>
      <c r="MT58" s="211"/>
      <c r="MU58" s="506"/>
      <c r="MV58" s="506"/>
      <c r="MW58" s="109"/>
      <c r="MX58" s="109"/>
      <c r="MY58" s="109"/>
      <c r="MZ58" s="109"/>
      <c r="NA58" s="109"/>
      <c r="NB58" s="506"/>
      <c r="NC58" s="506"/>
      <c r="NE58" s="109"/>
      <c r="NF58" s="109"/>
      <c r="NG58" s="109"/>
      <c r="NH58" s="109"/>
      <c r="NI58" s="109"/>
      <c r="NJ58" s="109"/>
    </row>
    <row r="59" spans="4:374">
      <c r="D59" s="66"/>
      <c r="J59" s="327"/>
      <c r="Q59" s="6"/>
      <c r="R59" s="6"/>
      <c r="S59" s="6"/>
      <c r="T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133"/>
      <c r="AJ59" s="133"/>
      <c r="AK59" s="133"/>
      <c r="AL59" s="133"/>
      <c r="AM59" s="133"/>
      <c r="AN59" s="133"/>
      <c r="AO59" s="133"/>
      <c r="AP59" s="133"/>
      <c r="AQ59" s="133"/>
      <c r="AR59" s="133"/>
      <c r="AU59" s="133"/>
      <c r="AV59" s="133"/>
      <c r="AW59" s="133"/>
      <c r="AX59" s="133"/>
      <c r="AY59" s="133"/>
      <c r="AZ59" s="133"/>
      <c r="BA59" s="133"/>
      <c r="BB59" s="133"/>
      <c r="BC59" s="6"/>
      <c r="BD59" s="8"/>
      <c r="BE59" s="8"/>
      <c r="BF59" s="8"/>
      <c r="BG59" s="8"/>
      <c r="BH59" s="8"/>
      <c r="BM59" s="133"/>
      <c r="BN59" s="133"/>
      <c r="BO59" s="143"/>
      <c r="BP59" s="133"/>
      <c r="BQ59" s="143"/>
      <c r="BR59" s="133"/>
      <c r="BS59" s="143"/>
      <c r="BT59" s="133"/>
      <c r="BU59" s="147"/>
      <c r="BV59" s="147"/>
      <c r="BX59" s="147"/>
      <c r="BY59" s="147"/>
      <c r="CD59" s="3"/>
      <c r="CE59" s="3"/>
      <c r="CF59" s="157"/>
      <c r="CG59" s="157"/>
      <c r="CH59" s="157"/>
      <c r="CI59" s="158"/>
      <c r="CJ59" s="157"/>
      <c r="CK59" s="477"/>
      <c r="CL59" s="157"/>
      <c r="CM59" s="157"/>
      <c r="CN59" s="157"/>
      <c r="CO59" s="157"/>
      <c r="CP59" s="157"/>
      <c r="CQ59" s="157"/>
      <c r="CR59" s="157"/>
      <c r="CS59" s="157"/>
      <c r="CT59" s="66"/>
      <c r="CU59" s="66"/>
      <c r="CV59" s="3"/>
      <c r="CW59" s="60"/>
      <c r="CX59" s="3"/>
      <c r="CY59" s="3"/>
      <c r="CZ59" s="6"/>
      <c r="DA59" s="6"/>
      <c r="DB59" s="4"/>
      <c r="DC59" s="4"/>
      <c r="DD59" s="157"/>
      <c r="DE59" s="157"/>
      <c r="DF59" s="133"/>
      <c r="DG59" s="133"/>
      <c r="DH59" s="159"/>
      <c r="DI59" s="167"/>
      <c r="DJ59" s="157"/>
      <c r="DK59" s="157"/>
      <c r="DL59" s="147"/>
      <c r="DM59" s="133"/>
      <c r="DN59" s="159"/>
      <c r="DO59" s="167"/>
      <c r="DP59" s="157"/>
      <c r="DQ59" s="157"/>
      <c r="DR59" s="143"/>
      <c r="DS59" s="143"/>
      <c r="DT59" s="147"/>
      <c r="DU59" s="147"/>
      <c r="DV59" s="133"/>
      <c r="DW59" s="133"/>
      <c r="DX59" s="133"/>
      <c r="DY59" s="133"/>
      <c r="DZ59" s="133"/>
      <c r="EA59" s="133"/>
      <c r="EB59" s="133"/>
      <c r="EC59" s="133"/>
      <c r="ED59" s="157"/>
      <c r="EE59" s="157"/>
      <c r="EF59" s="147"/>
      <c r="EG59" s="147"/>
      <c r="EH59" s="157"/>
      <c r="EI59" s="157"/>
      <c r="EJ59" s="147"/>
      <c r="EK59" s="147"/>
      <c r="EL59" s="147"/>
      <c r="EM59" s="143"/>
      <c r="EN59" s="147"/>
      <c r="EO59" s="147"/>
      <c r="EP59" s="504"/>
      <c r="EQ59" s="143"/>
      <c r="ER59" s="147"/>
      <c r="ES59" s="147"/>
      <c r="ET59" s="147"/>
      <c r="EU59" s="143"/>
      <c r="EV59" s="143"/>
      <c r="EW59" s="167"/>
      <c r="EX59" s="167"/>
      <c r="EY59" s="167"/>
      <c r="EZ59" s="167"/>
      <c r="LW59" s="214"/>
      <c r="LX59" s="214"/>
      <c r="LY59" s="211"/>
      <c r="LZ59" s="211"/>
      <c r="MA59" s="211"/>
      <c r="MB59" s="211"/>
      <c r="MC59" s="212"/>
      <c r="MD59" s="212"/>
      <c r="ME59" s="211"/>
      <c r="MF59" s="211"/>
      <c r="MG59" s="211"/>
      <c r="MH59" s="212"/>
      <c r="MI59" s="212"/>
      <c r="MJ59" s="211"/>
      <c r="MK59" s="211"/>
      <c r="ML59" s="211"/>
      <c r="MM59" s="211"/>
      <c r="MN59" s="211"/>
      <c r="MO59" s="211"/>
      <c r="MP59" s="211"/>
      <c r="MQ59" s="211"/>
      <c r="MR59" s="211"/>
      <c r="MS59" s="211"/>
      <c r="MT59" s="211"/>
      <c r="MU59" s="506"/>
      <c r="MV59" s="506"/>
      <c r="MW59" s="109"/>
      <c r="MX59" s="109"/>
      <c r="MY59" s="109"/>
      <c r="MZ59" s="109"/>
      <c r="NA59" s="109"/>
      <c r="NB59" s="506"/>
      <c r="NC59" s="506"/>
      <c r="NE59" s="109"/>
      <c r="NF59" s="109"/>
      <c r="NG59" s="109"/>
      <c r="NH59" s="109"/>
      <c r="NI59" s="109"/>
      <c r="NJ59" s="109"/>
    </row>
    <row r="60" spans="4:374">
      <c r="D60" s="66"/>
      <c r="J60" s="327"/>
      <c r="Q60" s="6"/>
      <c r="R60" s="6"/>
      <c r="S60" s="6"/>
      <c r="T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133"/>
      <c r="AJ60" s="133"/>
      <c r="AK60" s="133"/>
      <c r="AL60" s="133"/>
      <c r="AM60" s="133"/>
      <c r="AN60" s="133"/>
      <c r="AO60" s="133"/>
      <c r="AP60" s="133"/>
      <c r="AQ60" s="133"/>
      <c r="AR60" s="133"/>
      <c r="AU60" s="133"/>
      <c r="AV60" s="133"/>
      <c r="AW60" s="133"/>
      <c r="AX60" s="133"/>
      <c r="AY60" s="133"/>
      <c r="AZ60" s="133"/>
      <c r="BA60" s="133"/>
      <c r="BB60" s="133"/>
      <c r="BC60" s="6"/>
      <c r="BD60" s="8"/>
      <c r="BE60" s="8"/>
      <c r="BF60" s="8"/>
      <c r="BG60" s="8"/>
      <c r="BH60" s="8"/>
      <c r="BM60" s="133"/>
      <c r="BN60" s="133"/>
      <c r="BO60" s="143"/>
      <c r="BP60" s="133"/>
      <c r="BQ60" s="143"/>
      <c r="BR60" s="133"/>
      <c r="BS60" s="143"/>
      <c r="BT60" s="133"/>
      <c r="BU60" s="147"/>
      <c r="BV60" s="147"/>
      <c r="BX60" s="147"/>
      <c r="BY60" s="147"/>
      <c r="CD60" s="3"/>
      <c r="CE60" s="3"/>
      <c r="CF60" s="157"/>
      <c r="CG60" s="157"/>
      <c r="CH60" s="157"/>
      <c r="CI60" s="158"/>
      <c r="CJ60" s="157"/>
      <c r="CK60" s="477"/>
      <c r="CL60" s="157"/>
      <c r="CM60" s="157"/>
      <c r="CN60" s="157"/>
      <c r="CO60" s="157"/>
      <c r="CP60" s="157"/>
      <c r="CQ60" s="157"/>
      <c r="CR60" s="157"/>
      <c r="CS60" s="157"/>
      <c r="CT60" s="66"/>
      <c r="CU60" s="66"/>
      <c r="CV60" s="3"/>
      <c r="CW60" s="60"/>
      <c r="CX60" s="3"/>
      <c r="CY60" s="3"/>
      <c r="CZ60" s="6"/>
      <c r="DA60" s="6"/>
      <c r="DB60" s="4"/>
      <c r="DC60" s="4"/>
      <c r="DD60" s="157"/>
      <c r="DE60" s="157"/>
      <c r="DF60" s="133"/>
      <c r="DG60" s="133"/>
      <c r="DH60" s="159"/>
      <c r="DI60" s="167"/>
      <c r="DJ60" s="157"/>
      <c r="DK60" s="157"/>
      <c r="DL60" s="147"/>
      <c r="DM60" s="133"/>
      <c r="DN60" s="159"/>
      <c r="DO60" s="167"/>
      <c r="DP60" s="157"/>
      <c r="DQ60" s="157"/>
      <c r="DR60" s="143"/>
      <c r="DS60" s="143"/>
      <c r="DT60" s="147"/>
      <c r="DU60" s="147"/>
      <c r="DV60" s="133"/>
      <c r="DW60" s="133"/>
      <c r="DX60" s="133"/>
      <c r="DY60" s="133"/>
      <c r="DZ60" s="133"/>
      <c r="EA60" s="133"/>
      <c r="EB60" s="133"/>
      <c r="EC60" s="133"/>
      <c r="ED60" s="157"/>
      <c r="EE60" s="157"/>
      <c r="EF60" s="147"/>
      <c r="EG60" s="147"/>
      <c r="EH60" s="157"/>
      <c r="EI60" s="157"/>
      <c r="EJ60" s="147"/>
      <c r="EK60" s="147"/>
      <c r="EL60" s="147"/>
      <c r="EM60" s="143"/>
      <c r="EN60" s="147"/>
      <c r="EO60" s="147"/>
      <c r="EP60" s="504"/>
      <c r="EQ60" s="143"/>
      <c r="ER60" s="147"/>
      <c r="ES60" s="147"/>
      <c r="ET60" s="147"/>
      <c r="EU60" s="143"/>
      <c r="EV60" s="143"/>
      <c r="EW60" s="167"/>
      <c r="EX60" s="167"/>
      <c r="EY60" s="167"/>
      <c r="EZ60" s="167"/>
      <c r="LW60" s="214"/>
      <c r="LX60" s="214"/>
      <c r="LY60" s="211"/>
      <c r="LZ60" s="211"/>
      <c r="MA60" s="211"/>
      <c r="MB60" s="211"/>
      <c r="MC60" s="212"/>
      <c r="MD60" s="212"/>
      <c r="ME60" s="211"/>
      <c r="MF60" s="211"/>
      <c r="MG60" s="211"/>
      <c r="MH60" s="212"/>
      <c r="MI60" s="212"/>
      <c r="MJ60" s="211"/>
      <c r="MK60" s="211"/>
      <c r="ML60" s="211"/>
      <c r="MM60" s="211"/>
      <c r="MN60" s="211"/>
      <c r="MO60" s="211"/>
      <c r="MP60" s="211"/>
      <c r="MQ60" s="211"/>
      <c r="MR60" s="211"/>
      <c r="MS60" s="211"/>
      <c r="MT60" s="211"/>
      <c r="MU60" s="506"/>
      <c r="MV60" s="506"/>
      <c r="MW60" s="109"/>
      <c r="MX60" s="109"/>
      <c r="MY60" s="109"/>
      <c r="MZ60" s="109"/>
      <c r="NA60" s="109"/>
      <c r="NB60" s="506"/>
      <c r="NC60" s="506"/>
      <c r="NE60" s="109"/>
      <c r="NF60" s="109"/>
      <c r="NG60" s="109"/>
      <c r="NH60" s="109"/>
      <c r="NI60" s="109"/>
      <c r="NJ60" s="109"/>
    </row>
    <row r="61" spans="4:374">
      <c r="D61" s="66"/>
      <c r="J61" s="327"/>
      <c r="Q61" s="6"/>
      <c r="R61" s="6"/>
      <c r="S61" s="6"/>
      <c r="T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133"/>
      <c r="AJ61" s="133"/>
      <c r="AK61" s="133"/>
      <c r="AL61" s="133"/>
      <c r="AM61" s="133"/>
      <c r="AN61" s="133"/>
      <c r="AO61" s="133"/>
      <c r="AP61" s="133"/>
      <c r="AQ61" s="133"/>
      <c r="AR61" s="133"/>
      <c r="AU61" s="133"/>
      <c r="AV61" s="133"/>
      <c r="AW61" s="133"/>
      <c r="AX61" s="133"/>
      <c r="AY61" s="133"/>
      <c r="AZ61" s="133"/>
      <c r="BA61" s="133"/>
      <c r="BB61" s="133"/>
      <c r="BC61" s="6"/>
      <c r="BD61" s="8"/>
      <c r="BE61" s="8"/>
      <c r="BF61" s="8"/>
      <c r="BG61" s="8"/>
      <c r="BH61" s="8"/>
      <c r="BM61" s="133"/>
      <c r="BN61" s="133"/>
      <c r="BO61" s="143"/>
      <c r="BP61" s="133"/>
      <c r="BQ61" s="143"/>
      <c r="BR61" s="133"/>
      <c r="BS61" s="143"/>
      <c r="BT61" s="133"/>
      <c r="BU61" s="147"/>
      <c r="BV61" s="147"/>
      <c r="BX61" s="147"/>
      <c r="BY61" s="147"/>
      <c r="CD61" s="3"/>
      <c r="CE61" s="3"/>
      <c r="CF61" s="157"/>
      <c r="CG61" s="157"/>
      <c r="CH61" s="157"/>
      <c r="CI61" s="158"/>
      <c r="CJ61" s="157"/>
      <c r="CK61" s="477"/>
      <c r="CL61" s="157"/>
      <c r="CM61" s="157"/>
      <c r="CN61" s="157"/>
      <c r="CO61" s="157"/>
      <c r="CP61" s="157"/>
      <c r="CQ61" s="157"/>
      <c r="CR61" s="157"/>
      <c r="CS61" s="157"/>
      <c r="CT61" s="66"/>
      <c r="CU61" s="66"/>
      <c r="CV61" s="3"/>
      <c r="CW61" s="60"/>
      <c r="CX61" s="3"/>
      <c r="CY61" s="3"/>
      <c r="CZ61" s="6"/>
      <c r="DA61" s="6"/>
      <c r="DB61" s="4"/>
      <c r="DC61" s="4"/>
      <c r="DD61" s="157"/>
      <c r="DE61" s="157"/>
      <c r="DF61" s="133"/>
      <c r="DG61" s="133"/>
      <c r="DH61" s="159"/>
      <c r="DI61" s="167"/>
      <c r="DJ61" s="157"/>
      <c r="DK61" s="157"/>
      <c r="DL61" s="147"/>
      <c r="DM61" s="133"/>
      <c r="DN61" s="159"/>
      <c r="DO61" s="167"/>
      <c r="DP61" s="157"/>
      <c r="DQ61" s="157"/>
      <c r="DR61" s="143"/>
      <c r="DS61" s="143"/>
      <c r="DT61" s="147"/>
      <c r="DU61" s="147"/>
      <c r="DV61" s="133"/>
      <c r="DW61" s="133"/>
      <c r="DX61" s="133"/>
      <c r="DY61" s="133"/>
      <c r="DZ61" s="133"/>
      <c r="EA61" s="133"/>
      <c r="EB61" s="133"/>
      <c r="EC61" s="133"/>
      <c r="ED61" s="157"/>
      <c r="EE61" s="157"/>
      <c r="EF61" s="147"/>
      <c r="EG61" s="147"/>
      <c r="EH61" s="157"/>
      <c r="EI61" s="157"/>
      <c r="EJ61" s="147"/>
      <c r="EK61" s="147"/>
      <c r="EL61" s="147"/>
      <c r="EM61" s="143"/>
      <c r="EN61" s="147"/>
      <c r="EO61" s="147"/>
      <c r="EP61" s="504"/>
      <c r="EQ61" s="143"/>
      <c r="ER61" s="147"/>
      <c r="ES61" s="147"/>
      <c r="ET61" s="147"/>
      <c r="EU61" s="143"/>
      <c r="EV61" s="143"/>
      <c r="EW61" s="167"/>
      <c r="EX61" s="167"/>
      <c r="EY61" s="167"/>
      <c r="EZ61" s="167"/>
      <c r="LW61" s="214"/>
      <c r="LX61" s="214"/>
      <c r="LY61" s="211"/>
      <c r="LZ61" s="211"/>
      <c r="MA61" s="211"/>
      <c r="MB61" s="211"/>
      <c r="MC61" s="212"/>
      <c r="MD61" s="212"/>
      <c r="ME61" s="211"/>
      <c r="MF61" s="211"/>
      <c r="MG61" s="211"/>
      <c r="MH61" s="212"/>
      <c r="MI61" s="212"/>
      <c r="MJ61" s="211"/>
      <c r="MK61" s="211"/>
      <c r="ML61" s="211"/>
      <c r="MM61" s="211"/>
      <c r="MN61" s="211"/>
      <c r="MO61" s="211"/>
      <c r="MP61" s="211"/>
      <c r="MQ61" s="211"/>
      <c r="MR61" s="211"/>
      <c r="MS61" s="211"/>
      <c r="MT61" s="211"/>
      <c r="MU61" s="506"/>
      <c r="MV61" s="506"/>
      <c r="MW61" s="109"/>
      <c r="MX61" s="109"/>
      <c r="MY61" s="109"/>
      <c r="MZ61" s="109"/>
      <c r="NA61" s="109"/>
      <c r="NB61" s="506"/>
      <c r="NC61" s="506"/>
      <c r="NE61" s="109"/>
      <c r="NF61" s="109"/>
      <c r="NG61" s="109"/>
      <c r="NH61" s="109"/>
      <c r="NI61" s="109"/>
      <c r="NJ61" s="109"/>
    </row>
    <row r="62" spans="4:374">
      <c r="D62" s="66"/>
      <c r="J62" s="327"/>
      <c r="R62" s="6"/>
      <c r="T62" s="6"/>
      <c r="U62" s="5"/>
      <c r="V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133"/>
      <c r="AJ62" s="133"/>
      <c r="AK62" s="133"/>
      <c r="AL62" s="133"/>
      <c r="AM62" s="133"/>
      <c r="AN62" s="133"/>
      <c r="AO62" s="133"/>
      <c r="AP62" s="133"/>
      <c r="AQ62" s="133"/>
      <c r="AR62" s="133"/>
      <c r="AU62" s="133"/>
      <c r="AV62" s="133"/>
      <c r="AW62" s="133"/>
      <c r="AX62" s="133"/>
      <c r="AY62" s="133"/>
      <c r="AZ62" s="133"/>
      <c r="BA62" s="133"/>
      <c r="BB62" s="133"/>
      <c r="BC62" s="6"/>
      <c r="BD62" s="8"/>
      <c r="BE62" s="8"/>
      <c r="BF62" s="8"/>
      <c r="BG62" s="8"/>
      <c r="BH62" s="8"/>
      <c r="BM62" s="133"/>
      <c r="BN62" s="133"/>
      <c r="BO62" s="143"/>
      <c r="BP62" s="133"/>
      <c r="BQ62" s="143"/>
      <c r="BR62" s="133"/>
      <c r="BS62" s="143"/>
      <c r="BT62" s="133"/>
      <c r="BU62" s="147"/>
      <c r="BV62" s="147"/>
      <c r="BX62" s="147"/>
      <c r="BY62" s="147"/>
      <c r="CD62" s="3"/>
      <c r="CE62" s="3"/>
      <c r="CF62" s="157"/>
      <c r="CG62" s="157"/>
      <c r="CH62" s="157"/>
      <c r="CI62" s="158"/>
      <c r="CJ62" s="157"/>
      <c r="CK62" s="477"/>
      <c r="CL62" s="157"/>
      <c r="CM62" s="157"/>
      <c r="CN62" s="157"/>
      <c r="CO62" s="157"/>
      <c r="CP62" s="157"/>
      <c r="CQ62" s="157"/>
      <c r="CR62" s="157"/>
      <c r="CS62" s="157"/>
      <c r="CT62" s="66"/>
      <c r="CU62" s="66"/>
      <c r="CV62" s="3"/>
      <c r="CW62" s="60"/>
      <c r="CX62" s="3"/>
      <c r="CY62" s="3"/>
      <c r="CZ62" s="6"/>
      <c r="DA62" s="6"/>
      <c r="DB62" s="4"/>
      <c r="DC62" s="4"/>
      <c r="DD62" s="157"/>
      <c r="DE62" s="157"/>
      <c r="DF62" s="133"/>
      <c r="DG62" s="133"/>
      <c r="DH62" s="159"/>
      <c r="DI62" s="167"/>
      <c r="DJ62" s="157"/>
      <c r="DK62" s="157"/>
      <c r="DL62" s="147"/>
      <c r="DM62" s="133"/>
      <c r="DN62" s="159"/>
      <c r="DO62" s="167"/>
      <c r="DP62" s="157"/>
      <c r="DQ62" s="157"/>
      <c r="DR62" s="143"/>
      <c r="DS62" s="143"/>
      <c r="DT62" s="147"/>
      <c r="DU62" s="147"/>
      <c r="DV62" s="133"/>
      <c r="DW62" s="133"/>
      <c r="DX62" s="133"/>
      <c r="DY62" s="133"/>
      <c r="DZ62" s="133"/>
      <c r="EA62" s="133"/>
      <c r="EB62" s="133"/>
      <c r="EC62" s="133"/>
      <c r="ED62" s="157"/>
      <c r="EE62" s="157"/>
      <c r="EF62" s="147"/>
      <c r="EG62" s="147"/>
      <c r="EH62" s="157"/>
      <c r="EI62" s="157"/>
      <c r="EJ62" s="147"/>
      <c r="EK62" s="147"/>
      <c r="EL62" s="147"/>
      <c r="EM62" s="143"/>
      <c r="EN62" s="147"/>
      <c r="EO62" s="147"/>
      <c r="EP62" s="504"/>
      <c r="EQ62" s="143"/>
      <c r="ER62" s="147"/>
      <c r="ES62" s="147"/>
      <c r="ET62" s="147"/>
      <c r="EU62" s="143"/>
      <c r="EV62" s="143"/>
      <c r="EW62" s="167"/>
      <c r="EX62" s="167"/>
      <c r="EY62" s="167"/>
      <c r="EZ62" s="167"/>
      <c r="LW62" s="214"/>
      <c r="LX62" s="214"/>
      <c r="LY62" s="211"/>
      <c r="LZ62" s="211"/>
      <c r="MA62" s="211"/>
      <c r="MB62" s="211"/>
      <c r="MC62" s="212"/>
      <c r="MD62" s="212"/>
      <c r="ME62" s="211"/>
      <c r="MF62" s="211"/>
      <c r="MG62" s="211"/>
      <c r="MH62" s="212"/>
      <c r="MI62" s="212"/>
      <c r="MJ62" s="211"/>
      <c r="MK62" s="211"/>
      <c r="ML62" s="211"/>
      <c r="MM62" s="211"/>
      <c r="MN62" s="211"/>
      <c r="MO62" s="211"/>
      <c r="MP62" s="211"/>
      <c r="MQ62" s="211"/>
      <c r="MR62" s="211"/>
      <c r="MS62" s="211"/>
      <c r="MT62" s="211"/>
      <c r="MU62" s="506"/>
      <c r="MV62" s="506"/>
      <c r="MW62" s="109"/>
      <c r="MX62" s="109"/>
      <c r="MY62" s="109"/>
      <c r="MZ62" s="109"/>
      <c r="NA62" s="109"/>
      <c r="NB62" s="506"/>
      <c r="NC62" s="506"/>
      <c r="NE62" s="511"/>
      <c r="NF62" s="511"/>
      <c r="NG62" s="511"/>
      <c r="NH62" s="511"/>
      <c r="NI62" s="109"/>
      <c r="NJ62" s="109"/>
    </row>
    <row r="63" spans="4:374">
      <c r="D63" s="66"/>
      <c r="J63" s="327"/>
      <c r="R63" s="6"/>
      <c r="T63" s="6"/>
      <c r="U63" s="5"/>
      <c r="V63" s="6"/>
      <c r="X63" s="118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133"/>
      <c r="AJ63" s="133"/>
      <c r="AK63" s="133"/>
      <c r="AL63" s="133"/>
      <c r="AM63" s="133"/>
      <c r="AN63" s="133"/>
      <c r="AO63" s="133"/>
      <c r="AP63" s="133"/>
      <c r="AQ63" s="133"/>
      <c r="AR63" s="133"/>
      <c r="AU63" s="133"/>
      <c r="AV63" s="133"/>
      <c r="AW63" s="133"/>
      <c r="AX63" s="133"/>
      <c r="AY63" s="133"/>
      <c r="AZ63" s="133"/>
      <c r="BA63" s="133"/>
      <c r="BB63" s="133"/>
      <c r="BC63" s="6"/>
      <c r="BD63" s="8"/>
      <c r="BE63" s="8"/>
      <c r="BF63" s="8"/>
      <c r="BG63" s="8"/>
      <c r="BH63" s="8"/>
      <c r="BM63" s="133"/>
      <c r="BN63" s="133"/>
      <c r="BO63" s="143"/>
      <c r="BP63" s="133"/>
      <c r="BQ63" s="143"/>
      <c r="BR63" s="133"/>
      <c r="BS63" s="143"/>
      <c r="BT63" s="133"/>
      <c r="BU63" s="147"/>
      <c r="BV63" s="147"/>
      <c r="BX63" s="147"/>
      <c r="BY63" s="147"/>
      <c r="CD63" s="3"/>
      <c r="CE63" s="3"/>
      <c r="CF63" s="157"/>
      <c r="CG63" s="157"/>
      <c r="CH63" s="157"/>
      <c r="CI63" s="158"/>
      <c r="CJ63" s="157"/>
      <c r="CK63" s="477"/>
      <c r="CL63" s="157"/>
      <c r="CM63" s="157"/>
      <c r="CN63" s="157"/>
      <c r="CO63" s="157"/>
      <c r="CP63" s="157"/>
      <c r="CQ63" s="157"/>
      <c r="CR63" s="157"/>
      <c r="CS63" s="157"/>
      <c r="CT63" s="66"/>
      <c r="CU63" s="66"/>
      <c r="CV63" s="3"/>
      <c r="CW63" s="60"/>
      <c r="CX63" s="3"/>
      <c r="CY63" s="3"/>
      <c r="CZ63" s="6"/>
      <c r="DA63" s="6"/>
      <c r="DB63" s="4"/>
      <c r="DC63" s="4"/>
      <c r="DD63" s="157"/>
      <c r="DE63" s="157"/>
      <c r="DF63" s="133"/>
      <c r="DG63" s="133"/>
      <c r="DH63" s="159"/>
      <c r="DI63" s="167"/>
      <c r="DJ63" s="157"/>
      <c r="DK63" s="157"/>
      <c r="DL63" s="147"/>
      <c r="DM63" s="133"/>
      <c r="DN63" s="159"/>
      <c r="DO63" s="167"/>
      <c r="DP63" s="157"/>
      <c r="DQ63" s="157"/>
      <c r="DR63" s="143"/>
      <c r="DS63" s="143"/>
      <c r="DT63" s="147"/>
      <c r="DU63" s="147"/>
      <c r="DV63" s="133"/>
      <c r="DW63" s="133"/>
      <c r="DX63" s="133"/>
      <c r="DY63" s="133"/>
      <c r="DZ63" s="133"/>
      <c r="EA63" s="133"/>
      <c r="EB63" s="133"/>
      <c r="EC63" s="133"/>
      <c r="ED63" s="157"/>
      <c r="EE63" s="157"/>
      <c r="EF63" s="147"/>
      <c r="EG63" s="147"/>
      <c r="EH63" s="157"/>
      <c r="EI63" s="157"/>
      <c r="EJ63" s="147"/>
      <c r="EK63" s="147"/>
      <c r="EL63" s="147"/>
      <c r="EM63" s="143"/>
      <c r="EN63" s="147"/>
      <c r="EO63" s="147"/>
      <c r="EP63" s="504"/>
      <c r="EQ63" s="143"/>
      <c r="ER63" s="147"/>
      <c r="ES63" s="147"/>
      <c r="ET63" s="147"/>
      <c r="EU63" s="143"/>
      <c r="EV63" s="143"/>
      <c r="EW63" s="167"/>
      <c r="EX63" s="167"/>
      <c r="EY63" s="167"/>
      <c r="EZ63" s="167"/>
      <c r="LW63" s="214"/>
      <c r="LX63" s="214"/>
      <c r="LY63" s="211"/>
      <c r="LZ63" s="211"/>
      <c r="MA63" s="211"/>
      <c r="MB63" s="211"/>
      <c r="MC63" s="212"/>
      <c r="MD63" s="212"/>
      <c r="ME63" s="211"/>
      <c r="MF63" s="211"/>
      <c r="MG63" s="211"/>
      <c r="MH63" s="212"/>
      <c r="MI63" s="212"/>
      <c r="MJ63" s="211"/>
      <c r="MK63" s="211"/>
      <c r="ML63" s="211"/>
      <c r="MM63" s="211"/>
      <c r="MN63" s="211"/>
      <c r="MO63" s="211"/>
      <c r="MP63" s="211"/>
      <c r="MQ63" s="211"/>
      <c r="MR63" s="211"/>
      <c r="MS63" s="211"/>
      <c r="MT63" s="211"/>
      <c r="MU63" s="506"/>
      <c r="MV63" s="506"/>
      <c r="MW63" s="109"/>
      <c r="MX63" s="109"/>
      <c r="MY63" s="109"/>
      <c r="MZ63" s="109"/>
      <c r="NA63" s="109"/>
      <c r="NB63" s="506"/>
      <c r="NC63" s="506"/>
      <c r="NE63" s="109"/>
      <c r="NF63" s="109"/>
      <c r="NG63" s="109"/>
      <c r="NH63" s="109"/>
      <c r="NI63" s="109"/>
      <c r="NJ63" s="109"/>
    </row>
    <row r="64" spans="4:374">
      <c r="D64" s="66"/>
      <c r="J64" s="327"/>
      <c r="Q64" s="6"/>
      <c r="R64" s="6"/>
      <c r="S64" s="6"/>
      <c r="T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133"/>
      <c r="AJ64" s="133"/>
      <c r="AK64" s="133"/>
      <c r="AL64" s="133"/>
      <c r="AM64" s="133"/>
      <c r="AN64" s="133"/>
      <c r="AO64" s="133"/>
      <c r="AP64" s="133"/>
      <c r="AQ64" s="133"/>
      <c r="AR64" s="133"/>
      <c r="AU64" s="133"/>
      <c r="AV64" s="133"/>
      <c r="AW64" s="133"/>
      <c r="AX64" s="133"/>
      <c r="AY64" s="133"/>
      <c r="AZ64" s="133"/>
      <c r="BA64" s="133"/>
      <c r="BB64" s="133"/>
      <c r="BC64" s="6"/>
      <c r="BD64" s="8"/>
      <c r="BE64" s="8"/>
      <c r="BF64" s="8"/>
      <c r="BG64" s="8"/>
      <c r="BH64" s="8"/>
      <c r="BM64" s="133"/>
      <c r="BN64" s="133"/>
      <c r="BO64" s="143"/>
      <c r="BP64" s="133"/>
      <c r="BQ64" s="143"/>
      <c r="BR64" s="133"/>
      <c r="BS64" s="143"/>
      <c r="BT64" s="133"/>
      <c r="BU64" s="147"/>
      <c r="BV64" s="147"/>
      <c r="BX64" s="147"/>
      <c r="BY64" s="147"/>
      <c r="CD64" s="3"/>
      <c r="CE64" s="3"/>
      <c r="CF64" s="157"/>
      <c r="CG64" s="157"/>
      <c r="CH64" s="157"/>
      <c r="CI64" s="158"/>
      <c r="CJ64" s="157"/>
      <c r="CK64" s="477"/>
      <c r="CL64" s="157"/>
      <c r="CM64" s="157"/>
      <c r="CN64" s="157"/>
      <c r="CO64" s="157"/>
      <c r="CP64" s="157"/>
      <c r="CQ64" s="157"/>
      <c r="CR64" s="157"/>
      <c r="CS64" s="157"/>
      <c r="CT64" s="66"/>
      <c r="CU64" s="66"/>
      <c r="CV64" s="3"/>
      <c r="CW64" s="60"/>
      <c r="CX64" s="3"/>
      <c r="CY64" s="3"/>
      <c r="CZ64" s="6"/>
      <c r="DA64" s="6"/>
      <c r="DB64" s="4"/>
      <c r="DC64" s="4"/>
      <c r="DD64" s="157"/>
      <c r="DE64" s="157"/>
      <c r="DF64" s="133"/>
      <c r="DG64" s="133"/>
      <c r="DH64" s="159"/>
      <c r="DI64" s="167"/>
      <c r="DJ64" s="157"/>
      <c r="DK64" s="157"/>
      <c r="DL64" s="147"/>
      <c r="DM64" s="133"/>
      <c r="DN64" s="159"/>
      <c r="DO64" s="167"/>
      <c r="DP64" s="157"/>
      <c r="DQ64" s="157"/>
      <c r="DR64" s="143"/>
      <c r="DS64" s="143"/>
      <c r="DT64" s="147"/>
      <c r="DU64" s="147"/>
      <c r="DV64" s="133"/>
      <c r="DW64" s="133"/>
      <c r="DX64" s="133"/>
      <c r="DY64" s="133"/>
      <c r="DZ64" s="133"/>
      <c r="EA64" s="133"/>
      <c r="EB64" s="133"/>
      <c r="EC64" s="133"/>
      <c r="ED64" s="157"/>
      <c r="EE64" s="157"/>
      <c r="EF64" s="147"/>
      <c r="EG64" s="147"/>
      <c r="EH64" s="157"/>
      <c r="EI64" s="157"/>
      <c r="EJ64" s="147"/>
      <c r="EK64" s="147"/>
      <c r="EL64" s="147"/>
      <c r="EM64" s="143"/>
      <c r="EN64" s="147"/>
      <c r="EO64" s="147"/>
      <c r="EP64" s="504"/>
      <c r="EQ64" s="143"/>
      <c r="ER64" s="147"/>
      <c r="ES64" s="147"/>
      <c r="ET64" s="147"/>
      <c r="EU64" s="143"/>
      <c r="EV64" s="143"/>
      <c r="EW64" s="167"/>
      <c r="EX64" s="167"/>
      <c r="EY64" s="167"/>
      <c r="EZ64" s="167"/>
      <c r="LW64" s="214"/>
      <c r="LX64" s="214"/>
      <c r="LY64" s="211"/>
      <c r="LZ64" s="211"/>
      <c r="MA64" s="211"/>
      <c r="MB64" s="211"/>
      <c r="MC64" s="212"/>
      <c r="MD64" s="212"/>
      <c r="ME64" s="211"/>
      <c r="MF64" s="211"/>
      <c r="MG64" s="211"/>
      <c r="MH64" s="212"/>
      <c r="MI64" s="212"/>
      <c r="MJ64" s="211"/>
      <c r="MK64" s="211"/>
      <c r="ML64" s="211"/>
      <c r="MM64" s="211"/>
      <c r="MN64" s="211"/>
      <c r="MO64" s="211"/>
      <c r="MP64" s="211"/>
      <c r="MQ64" s="211"/>
      <c r="MR64" s="211"/>
      <c r="MS64" s="211"/>
      <c r="MT64" s="211"/>
      <c r="MU64" s="506"/>
      <c r="MV64" s="506"/>
      <c r="MW64" s="109"/>
      <c r="MX64" s="109"/>
      <c r="MY64" s="109"/>
      <c r="MZ64" s="109"/>
      <c r="NA64" s="109"/>
      <c r="NB64" s="506"/>
      <c r="NC64" s="506"/>
      <c r="NE64" s="513"/>
      <c r="NF64" s="513"/>
      <c r="NG64" s="513"/>
      <c r="NH64" s="513"/>
      <c r="NI64" s="109"/>
      <c r="NJ64" s="109"/>
    </row>
    <row r="65" spans="2:408" s="484" customFormat="1">
      <c r="B65" s="485"/>
      <c r="C65" s="117"/>
      <c r="D65" s="486"/>
      <c r="E65" s="67"/>
      <c r="F65" s="117"/>
      <c r="G65" s="117"/>
      <c r="H65" s="117"/>
      <c r="I65" s="117"/>
      <c r="J65" s="488"/>
      <c r="K65" s="487"/>
      <c r="L65" s="117"/>
      <c r="M65" s="117"/>
      <c r="N65" s="117"/>
      <c r="O65" s="514"/>
      <c r="P65" s="514"/>
      <c r="X65" s="118"/>
      <c r="Y65" s="118"/>
      <c r="Z65" s="118"/>
      <c r="AA65" s="118"/>
      <c r="AB65" s="118"/>
      <c r="AC65" s="118"/>
      <c r="AD65" s="118"/>
      <c r="AE65" s="118"/>
      <c r="AF65" s="118"/>
      <c r="AG65" s="118"/>
      <c r="AH65" s="118"/>
      <c r="AI65" s="489"/>
      <c r="AJ65" s="489"/>
      <c r="AK65" s="489"/>
      <c r="AL65" s="489"/>
      <c r="AM65" s="489"/>
      <c r="AN65" s="489"/>
      <c r="AO65" s="489"/>
      <c r="AP65" s="489"/>
      <c r="AQ65" s="489"/>
      <c r="AR65" s="489"/>
      <c r="AS65" s="117"/>
      <c r="AT65" s="117"/>
      <c r="AU65" s="489"/>
      <c r="AV65" s="489"/>
      <c r="AW65" s="489"/>
      <c r="AX65" s="489"/>
      <c r="AY65" s="489"/>
      <c r="AZ65" s="489"/>
      <c r="BA65" s="489"/>
      <c r="BB65" s="489"/>
      <c r="BC65" s="118"/>
      <c r="BD65" s="490"/>
      <c r="BE65" s="490"/>
      <c r="BF65" s="490"/>
      <c r="BG65" s="490"/>
      <c r="BH65" s="490"/>
      <c r="BI65" s="491"/>
      <c r="BJ65" s="491"/>
      <c r="BK65" s="489"/>
      <c r="BL65" s="489"/>
      <c r="BM65" s="489"/>
      <c r="BN65" s="489"/>
      <c r="BO65" s="247"/>
      <c r="BP65" s="489"/>
      <c r="BQ65" s="247"/>
      <c r="BR65" s="489"/>
      <c r="BS65" s="247"/>
      <c r="BT65" s="489"/>
      <c r="BU65" s="168"/>
      <c r="BV65" s="168"/>
      <c r="BW65" s="117"/>
      <c r="BX65" s="168"/>
      <c r="BY65" s="168"/>
      <c r="BZ65" s="247"/>
      <c r="CA65" s="168"/>
      <c r="CB65" s="247"/>
      <c r="CC65" s="247"/>
      <c r="CD65" s="491"/>
      <c r="CE65" s="491"/>
      <c r="CF65" s="482"/>
      <c r="CG65" s="482"/>
      <c r="CH65" s="482"/>
      <c r="CI65" s="492"/>
      <c r="CJ65" s="482"/>
      <c r="CK65" s="497"/>
      <c r="CL65" s="482"/>
      <c r="CM65" s="482"/>
      <c r="CN65" s="482"/>
      <c r="CO65" s="482"/>
      <c r="CP65" s="482"/>
      <c r="CQ65" s="482"/>
      <c r="CR65" s="482"/>
      <c r="CS65" s="482"/>
      <c r="CT65" s="486"/>
      <c r="CU65" s="66"/>
      <c r="CV65" s="491"/>
      <c r="CW65" s="493"/>
      <c r="CX65" s="491"/>
      <c r="CY65" s="491"/>
      <c r="CZ65" s="118"/>
      <c r="DA65" s="118"/>
      <c r="DB65" s="267"/>
      <c r="DC65" s="267"/>
      <c r="DD65" s="482"/>
      <c r="DE65" s="482"/>
      <c r="DF65" s="489"/>
      <c r="DG65" s="489"/>
      <c r="DH65" s="494"/>
      <c r="DI65" s="495"/>
      <c r="DJ65" s="482"/>
      <c r="DK65" s="482"/>
      <c r="DL65" s="168"/>
      <c r="DM65" s="489"/>
      <c r="DN65" s="494"/>
      <c r="DO65" s="495"/>
      <c r="DP65" s="482"/>
      <c r="DQ65" s="482"/>
      <c r="DR65" s="247"/>
      <c r="DS65" s="247"/>
      <c r="DT65" s="168"/>
      <c r="DU65" s="168"/>
      <c r="DV65" s="489"/>
      <c r="DW65" s="489"/>
      <c r="DX65" s="489"/>
      <c r="DY65" s="489"/>
      <c r="DZ65" s="489"/>
      <c r="EA65" s="489"/>
      <c r="EB65" s="489"/>
      <c r="EC65" s="489"/>
      <c r="ED65" s="482"/>
      <c r="EE65" s="482"/>
      <c r="EF65" s="168"/>
      <c r="EG65" s="168"/>
      <c r="EH65" s="482"/>
      <c r="EI65" s="482"/>
      <c r="EJ65" s="168"/>
      <c r="EK65" s="168"/>
      <c r="EL65" s="168"/>
      <c r="EM65" s="247"/>
      <c r="EN65" s="168"/>
      <c r="EO65" s="168"/>
      <c r="EP65" s="504"/>
      <c r="EQ65" s="143"/>
      <c r="ER65" s="147"/>
      <c r="ES65" s="168"/>
      <c r="ET65" s="168"/>
      <c r="EU65" s="247"/>
      <c r="EV65" s="247"/>
      <c r="EW65" s="482"/>
      <c r="EX65" s="157"/>
      <c r="EY65" s="482"/>
      <c r="EZ65" s="482"/>
      <c r="FA65" s="486"/>
      <c r="FB65" s="486"/>
      <c r="FC65" s="486"/>
      <c r="FD65" s="486"/>
      <c r="FE65" s="486"/>
      <c r="FF65" s="486"/>
      <c r="FG65" s="117"/>
      <c r="FH65" s="117"/>
      <c r="FI65" s="486"/>
      <c r="FJ65" s="486"/>
      <c r="FK65" s="486"/>
      <c r="FL65" s="486"/>
      <c r="FM65" s="486"/>
      <c r="FN65" s="486"/>
      <c r="FO65" s="117"/>
      <c r="FP65" s="117"/>
      <c r="FQ65" s="494"/>
      <c r="FR65" s="494"/>
      <c r="FS65" s="494"/>
      <c r="FT65" s="494"/>
      <c r="FU65" s="494"/>
      <c r="FV65" s="494"/>
      <c r="FW65" s="494"/>
      <c r="FX65" s="494"/>
      <c r="FY65" s="494"/>
      <c r="FZ65" s="494"/>
      <c r="GA65" s="494"/>
      <c r="GB65" s="494"/>
      <c r="GC65" s="494"/>
      <c r="GD65" s="494"/>
      <c r="GE65" s="494"/>
      <c r="GF65" s="494"/>
      <c r="GG65" s="117"/>
      <c r="GH65" s="117"/>
      <c r="GI65" s="117"/>
      <c r="GJ65" s="117"/>
      <c r="GK65" s="161"/>
      <c r="GL65" s="161"/>
      <c r="GM65" s="161"/>
      <c r="GN65" s="161"/>
      <c r="GO65" s="161"/>
      <c r="GP65" s="161"/>
      <c r="GQ65" s="161"/>
      <c r="GR65" s="161"/>
      <c r="GS65" s="161"/>
      <c r="GT65" s="161"/>
      <c r="GU65" s="161"/>
      <c r="GV65" s="161"/>
      <c r="GW65" s="161"/>
      <c r="GX65" s="161"/>
      <c r="GY65" s="161"/>
      <c r="GZ65" s="161"/>
      <c r="HA65" s="117"/>
      <c r="HB65" s="117"/>
      <c r="HC65" s="161"/>
      <c r="HD65" s="161"/>
      <c r="HE65" s="161"/>
      <c r="HF65" s="161"/>
      <c r="HG65" s="161"/>
      <c r="HH65" s="161"/>
      <c r="HI65" s="117"/>
      <c r="HJ65" s="117"/>
      <c r="HK65" s="161"/>
      <c r="HL65" s="161"/>
      <c r="HM65" s="161"/>
      <c r="HN65" s="161"/>
      <c r="HO65" s="161"/>
      <c r="HP65" s="161"/>
      <c r="HQ65" s="117"/>
      <c r="HR65" s="117"/>
      <c r="HS65" s="117"/>
      <c r="HT65" s="117"/>
      <c r="HU65" s="117"/>
      <c r="HV65" s="117"/>
      <c r="HW65" s="117"/>
      <c r="HX65" s="117"/>
      <c r="HY65" s="491"/>
      <c r="HZ65" s="491"/>
      <c r="IA65" s="491"/>
      <c r="IB65" s="491"/>
      <c r="IC65" s="491"/>
      <c r="ID65" s="491"/>
      <c r="IE65" s="491"/>
      <c r="IF65" s="491"/>
      <c r="IG65" s="491"/>
      <c r="IH65" s="491"/>
      <c r="II65" s="491"/>
      <c r="IJ65" s="491"/>
      <c r="IK65" s="491"/>
      <c r="IL65" s="491"/>
      <c r="IM65" s="491"/>
      <c r="IN65" s="491"/>
      <c r="IO65" s="491"/>
      <c r="IP65" s="491"/>
      <c r="IQ65" s="491"/>
      <c r="IR65" s="491"/>
      <c r="IS65" s="491"/>
      <c r="IT65" s="491"/>
      <c r="IU65" s="491"/>
      <c r="IV65" s="491"/>
      <c r="IW65" s="491"/>
      <c r="IX65" s="491"/>
      <c r="IY65" s="491"/>
      <c r="IZ65" s="491"/>
      <c r="JA65" s="482"/>
      <c r="JB65" s="482"/>
      <c r="JC65" s="482"/>
      <c r="JD65" s="482"/>
      <c r="JE65" s="482"/>
      <c r="JF65" s="482"/>
      <c r="JG65" s="482"/>
      <c r="JH65" s="482"/>
      <c r="JI65" s="482"/>
      <c r="JJ65" s="482"/>
      <c r="JK65" s="482"/>
      <c r="JL65" s="482"/>
      <c r="JM65" s="482"/>
      <c r="JN65" s="482"/>
      <c r="JO65" s="482"/>
      <c r="JP65" s="482"/>
      <c r="JQ65" s="482"/>
      <c r="JR65" s="482"/>
      <c r="JS65" s="482"/>
      <c r="JT65" s="482"/>
      <c r="JU65" s="482"/>
      <c r="JV65" s="482"/>
      <c r="JW65" s="482"/>
      <c r="JX65" s="482"/>
      <c r="JY65" s="482"/>
      <c r="JZ65" s="482"/>
      <c r="KA65" s="117"/>
      <c r="KB65" s="117"/>
      <c r="KC65" s="117"/>
      <c r="KD65" s="117"/>
      <c r="KE65" s="161"/>
      <c r="KF65" s="161"/>
      <c r="KG65" s="161"/>
      <c r="KH65" s="161"/>
      <c r="KI65" s="117"/>
      <c r="KJ65" s="117"/>
      <c r="KK65" s="161"/>
      <c r="KL65" s="161"/>
      <c r="KM65" s="161"/>
      <c r="KN65" s="161"/>
      <c r="KO65" s="117"/>
      <c r="KP65" s="117"/>
      <c r="KQ65" s="161"/>
      <c r="KR65" s="161"/>
      <c r="KS65" s="161"/>
      <c r="KT65" s="161"/>
      <c r="KU65" s="161"/>
      <c r="KV65" s="161"/>
      <c r="KW65" s="161"/>
      <c r="KX65" s="161"/>
      <c r="KY65" s="161"/>
      <c r="KZ65" s="161"/>
      <c r="LA65" s="117"/>
      <c r="LB65" s="117"/>
      <c r="LC65" s="161"/>
      <c r="LD65" s="161"/>
      <c r="LE65" s="161"/>
      <c r="LF65" s="161"/>
      <c r="LG65" s="161"/>
      <c r="LH65" s="161"/>
      <c r="LI65" s="161"/>
      <c r="LJ65" s="161"/>
      <c r="LK65" s="161"/>
      <c r="LL65" s="161"/>
      <c r="LM65" s="161"/>
      <c r="LN65" s="161"/>
      <c r="LO65" s="161"/>
      <c r="LP65" s="161"/>
      <c r="LQ65" s="161"/>
      <c r="LR65" s="161"/>
      <c r="LS65" s="161"/>
      <c r="LT65" s="161"/>
      <c r="LW65" s="508"/>
      <c r="LX65" s="508"/>
      <c r="LY65" s="509"/>
      <c r="LZ65" s="509"/>
      <c r="MA65" s="509"/>
      <c r="MB65" s="509"/>
      <c r="MC65" s="212"/>
      <c r="MD65" s="212"/>
      <c r="ME65" s="509"/>
      <c r="MF65" s="509"/>
      <c r="MG65" s="509"/>
      <c r="MH65" s="212"/>
      <c r="MI65" s="212"/>
      <c r="MJ65" s="509"/>
      <c r="MK65" s="509"/>
      <c r="ML65" s="509"/>
      <c r="MM65" s="509"/>
      <c r="MN65" s="509"/>
      <c r="MO65" s="509"/>
      <c r="MP65" s="509"/>
      <c r="MQ65" s="509"/>
      <c r="MR65" s="509"/>
      <c r="MS65" s="509"/>
      <c r="MT65" s="509"/>
      <c r="MU65" s="510"/>
      <c r="MV65" s="510"/>
      <c r="MW65" s="511"/>
      <c r="MX65" s="511"/>
      <c r="MY65" s="511"/>
      <c r="MZ65" s="511"/>
      <c r="NA65" s="511"/>
      <c r="NB65" s="510"/>
      <c r="NC65" s="510"/>
      <c r="ND65" s="496"/>
      <c r="NE65" s="513"/>
      <c r="NF65" s="513"/>
      <c r="NG65" s="513"/>
      <c r="NH65" s="513"/>
      <c r="NI65" s="511"/>
      <c r="NJ65" s="511"/>
      <c r="NK65" s="540"/>
      <c r="NL65" s="540"/>
      <c r="NM65" s="540"/>
      <c r="NN65" s="540"/>
      <c r="NO65" s="540"/>
      <c r="NP65" s="540"/>
      <c r="NQ65" s="540"/>
      <c r="NR65" s="540"/>
      <c r="NS65" s="540"/>
      <c r="NT65" s="540"/>
      <c r="NU65" s="540"/>
      <c r="NV65" s="540"/>
      <c r="NW65" s="540"/>
      <c r="NX65" s="540"/>
      <c r="NY65" s="540"/>
      <c r="NZ65" s="540"/>
      <c r="OA65" s="540"/>
      <c r="OB65" s="540"/>
      <c r="OC65" s="540"/>
      <c r="OD65" s="540"/>
      <c r="OE65" s="540"/>
      <c r="OF65" s="540"/>
      <c r="OG65" s="707"/>
      <c r="OH65" s="707"/>
      <c r="OI65" s="705"/>
      <c r="OJ65" s="705"/>
      <c r="OK65" s="540"/>
      <c r="OL65" s="540"/>
      <c r="OM65" s="540"/>
      <c r="ON65" s="540"/>
      <c r="OO65" s="540"/>
      <c r="OP65" s="540"/>
      <c r="OQ65" s="540"/>
      <c r="OR65" s="540"/>
    </row>
    <row r="66" spans="2:408">
      <c r="P66" s="629"/>
      <c r="Y66" s="6"/>
      <c r="Z66" s="6"/>
      <c r="AA66" s="6"/>
      <c r="AB66" s="6"/>
      <c r="AC66" s="6"/>
      <c r="AD66" s="6"/>
      <c r="AE66" s="6"/>
      <c r="AF66" s="6"/>
      <c r="AG66" s="6"/>
      <c r="AH66" s="6"/>
      <c r="DV66" s="133"/>
      <c r="DW66" s="133"/>
      <c r="DX66" s="133"/>
      <c r="DY66" s="133"/>
      <c r="DZ66" s="133"/>
      <c r="EA66" s="133"/>
      <c r="EB66" s="133"/>
      <c r="EC66" s="133"/>
      <c r="LW66" s="214"/>
      <c r="LX66" s="214"/>
      <c r="LY66" s="211"/>
      <c r="LZ66" s="211"/>
      <c r="MA66" s="211"/>
      <c r="MB66" s="211"/>
      <c r="MC66" s="212"/>
      <c r="MD66" s="212"/>
      <c r="ME66" s="211"/>
      <c r="MF66" s="211"/>
      <c r="MG66" s="211"/>
      <c r="MH66" s="211"/>
      <c r="MI66" s="211"/>
      <c r="MJ66" s="211"/>
      <c r="MK66" s="211"/>
      <c r="ML66" s="211"/>
      <c r="MM66" s="211"/>
      <c r="MN66" s="211"/>
      <c r="MO66" s="211"/>
      <c r="MP66" s="211"/>
      <c r="MQ66" s="211"/>
      <c r="MR66" s="211"/>
      <c r="MS66" s="211"/>
      <c r="MT66" s="211"/>
      <c r="MU66" s="506"/>
      <c r="MV66" s="506"/>
      <c r="MW66" s="109"/>
      <c r="MX66" s="109"/>
      <c r="MY66" s="109"/>
      <c r="MZ66" s="109"/>
      <c r="NA66" s="109"/>
      <c r="NB66" s="109"/>
      <c r="NC66" s="506"/>
      <c r="ND66" s="506"/>
      <c r="NE66" s="513"/>
      <c r="NF66" s="513"/>
      <c r="NG66" s="513"/>
      <c r="NH66" s="513"/>
      <c r="NI66" s="109"/>
      <c r="NJ66" s="109"/>
    </row>
    <row r="67" spans="2:408">
      <c r="D67" s="66"/>
      <c r="J67" s="327"/>
      <c r="Q67" s="6"/>
      <c r="R67" s="6"/>
      <c r="S67" s="6"/>
      <c r="T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133"/>
      <c r="AJ67" s="133"/>
      <c r="AK67" s="133"/>
      <c r="AL67" s="133"/>
      <c r="AM67" s="133"/>
      <c r="AN67" s="133"/>
      <c r="AO67" s="133"/>
      <c r="AP67" s="133"/>
      <c r="AQ67" s="133"/>
      <c r="AR67" s="133"/>
      <c r="AU67" s="133"/>
      <c r="AV67" s="133"/>
      <c r="AW67" s="133"/>
      <c r="AX67" s="133"/>
      <c r="AY67" s="133"/>
      <c r="AZ67" s="133"/>
      <c r="BA67" s="133"/>
      <c r="BB67" s="133"/>
      <c r="BC67" s="6"/>
      <c r="BD67" s="8"/>
      <c r="BE67" s="8"/>
      <c r="BF67" s="8"/>
      <c r="BG67" s="8"/>
      <c r="BH67" s="8"/>
      <c r="BM67" s="133"/>
      <c r="BN67" s="133"/>
      <c r="BO67" s="143"/>
      <c r="BP67" s="133"/>
      <c r="BQ67" s="143"/>
      <c r="BR67" s="133"/>
      <c r="BS67" s="143"/>
      <c r="BT67" s="133"/>
      <c r="BU67" s="147"/>
      <c r="BV67" s="147"/>
      <c r="BX67" s="147"/>
      <c r="BY67" s="147"/>
      <c r="CD67" s="3"/>
      <c r="CE67" s="3"/>
      <c r="CF67" s="157"/>
      <c r="CG67" s="157"/>
      <c r="CH67" s="157"/>
      <c r="CI67" s="158"/>
      <c r="CJ67" s="157"/>
      <c r="CK67" s="157"/>
      <c r="CL67" s="157"/>
      <c r="CM67" s="157"/>
      <c r="CN67" s="157"/>
      <c r="CO67" s="157"/>
      <c r="CP67" s="157"/>
      <c r="CQ67" s="157"/>
      <c r="CR67" s="157"/>
      <c r="CS67" s="157"/>
      <c r="CT67" s="66"/>
      <c r="CU67" s="66"/>
      <c r="CV67" s="3"/>
      <c r="CW67" s="60"/>
      <c r="CX67" s="3"/>
      <c r="CY67" s="3"/>
      <c r="CZ67" s="6"/>
      <c r="DA67" s="6"/>
      <c r="DB67" s="4"/>
      <c r="DC67" s="4"/>
      <c r="DD67" s="157"/>
      <c r="DE67" s="157"/>
      <c r="DF67" s="133"/>
      <c r="DG67" s="133"/>
      <c r="DH67" s="159"/>
      <c r="DI67" s="167"/>
      <c r="DJ67" s="157"/>
      <c r="DK67" s="157"/>
      <c r="DL67" s="143"/>
      <c r="DM67" s="143"/>
      <c r="DN67" s="159"/>
      <c r="DO67" s="167"/>
      <c r="DP67" s="157"/>
      <c r="DQ67" s="157"/>
      <c r="DR67" s="143"/>
      <c r="DS67" s="143"/>
      <c r="DT67" s="147"/>
      <c r="DU67" s="147"/>
      <c r="DV67" s="133"/>
      <c r="DW67" s="133"/>
      <c r="DX67" s="133"/>
      <c r="DY67" s="133"/>
      <c r="DZ67" s="147"/>
      <c r="EA67" s="147"/>
      <c r="EB67" s="159"/>
      <c r="EC67" s="159"/>
      <c r="ED67" s="157"/>
      <c r="EE67" s="157"/>
      <c r="EF67" s="147"/>
      <c r="EG67" s="147"/>
      <c r="EH67" s="157"/>
      <c r="EI67" s="157"/>
      <c r="EJ67" s="143"/>
      <c r="EK67" s="143"/>
      <c r="EL67" s="147"/>
      <c r="EM67" s="489"/>
      <c r="EN67" s="489"/>
      <c r="EO67" s="147"/>
      <c r="EP67" s="501"/>
      <c r="EQ67" s="489"/>
      <c r="ER67" s="489"/>
      <c r="ES67" s="147"/>
      <c r="ET67" s="147"/>
      <c r="EU67" s="143"/>
      <c r="EV67" s="143"/>
      <c r="EW67" s="157"/>
      <c r="EX67" s="157"/>
      <c r="EY67" s="157"/>
      <c r="EZ67" s="157"/>
      <c r="GG67" s="3"/>
      <c r="GH67" s="3"/>
      <c r="GI67" s="6"/>
      <c r="GJ67" s="6"/>
      <c r="GK67" s="157"/>
      <c r="GL67" s="157"/>
      <c r="GM67" s="157"/>
      <c r="GN67" s="157"/>
      <c r="GO67" s="157"/>
      <c r="GP67" s="157"/>
      <c r="GQ67" s="157"/>
      <c r="GR67" s="157"/>
      <c r="GS67" s="157"/>
      <c r="GT67" s="157"/>
      <c r="GU67" s="157"/>
      <c r="GV67" s="157"/>
      <c r="GW67" s="157"/>
      <c r="GX67" s="157"/>
      <c r="GY67" s="168"/>
      <c r="GZ67" s="147"/>
      <c r="HA67" s="4"/>
      <c r="HB67" s="4"/>
      <c r="HC67" s="228"/>
      <c r="HD67" s="228"/>
      <c r="HE67" s="239"/>
      <c r="HF67" s="229"/>
      <c r="HG67" s="228"/>
      <c r="HH67" s="228"/>
      <c r="HI67" s="4"/>
      <c r="HJ67" s="4"/>
      <c r="HK67" s="228"/>
      <c r="HL67" s="228"/>
      <c r="HM67" s="239"/>
      <c r="HN67" s="229"/>
      <c r="HO67" s="228"/>
      <c r="HP67" s="228"/>
      <c r="HQ67" s="6"/>
      <c r="HR67" s="6"/>
      <c r="HS67" s="467"/>
      <c r="HT67" s="467"/>
      <c r="HU67" s="6"/>
      <c r="HV67" s="6"/>
      <c r="HW67" s="467"/>
      <c r="HX67" s="467"/>
      <c r="KA67" s="3"/>
      <c r="KB67" s="3"/>
      <c r="KE67" s="157"/>
      <c r="KF67" s="157"/>
      <c r="KG67" s="157"/>
      <c r="KH67" s="157"/>
      <c r="KI67" s="6"/>
      <c r="KJ67" s="6"/>
      <c r="KK67" s="157"/>
      <c r="KL67" s="157"/>
      <c r="KM67" s="489"/>
      <c r="KN67" s="489"/>
      <c r="KO67" s="467"/>
      <c r="KP67" s="467"/>
      <c r="KQ67" s="229"/>
      <c r="KR67" s="229"/>
      <c r="KS67" s="363"/>
      <c r="KT67" s="363"/>
      <c r="KU67" s="147"/>
      <c r="KV67" s="147"/>
      <c r="KW67" s="157"/>
      <c r="KX67" s="157"/>
      <c r="KY67" s="157"/>
      <c r="KZ67" s="157"/>
      <c r="LA67" s="6"/>
      <c r="LB67" s="6"/>
      <c r="LC67" s="157"/>
      <c r="LD67" s="157"/>
      <c r="LE67" s="489"/>
      <c r="LF67" s="247"/>
      <c r="LG67" s="471"/>
      <c r="LH67" s="471"/>
      <c r="LM67" s="157"/>
      <c r="LN67" s="157"/>
      <c r="LO67" s="157"/>
      <c r="LP67" s="157"/>
      <c r="LQ67" s="157"/>
      <c r="LR67" s="157"/>
      <c r="LS67" s="143"/>
      <c r="LT67" s="143"/>
      <c r="LU67" s="471"/>
      <c r="LV67" s="471"/>
      <c r="LW67" s="214"/>
      <c r="LX67" s="214"/>
      <c r="LY67" s="211"/>
      <c r="LZ67" s="211"/>
      <c r="MA67" s="211"/>
      <c r="MB67" s="211"/>
      <c r="MC67" s="212"/>
      <c r="MD67" s="212"/>
      <c r="ME67" s="211"/>
      <c r="MF67" s="211"/>
      <c r="MG67" s="211"/>
      <c r="MH67" s="211"/>
      <c r="MI67" s="211"/>
      <c r="MJ67" s="211"/>
      <c r="MK67" s="211"/>
      <c r="ML67" s="211"/>
      <c r="MM67" s="462"/>
      <c r="MN67" s="462"/>
      <c r="MO67" s="211"/>
      <c r="MP67" s="211"/>
      <c r="MQ67" s="211"/>
      <c r="MR67" s="211"/>
      <c r="MS67" s="211"/>
      <c r="MT67" s="211"/>
      <c r="MU67" s="506"/>
      <c r="MV67" s="506"/>
      <c r="MW67" s="513"/>
      <c r="MX67" s="513"/>
      <c r="MY67" s="513"/>
      <c r="MZ67" s="513"/>
      <c r="NA67" s="513"/>
      <c r="NB67" s="513"/>
      <c r="NC67" s="512"/>
      <c r="ND67" s="512"/>
      <c r="NE67" s="109"/>
      <c r="NF67" s="109"/>
      <c r="NG67" s="109"/>
      <c r="NH67" s="109"/>
      <c r="NI67" s="513"/>
      <c r="NJ67" s="513"/>
    </row>
    <row r="68" spans="2:408">
      <c r="D68" s="66"/>
      <c r="J68" s="327"/>
      <c r="Q68" s="6"/>
      <c r="R68" s="6"/>
      <c r="S68" s="6"/>
      <c r="T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133"/>
      <c r="AJ68" s="133"/>
      <c r="AK68" s="133"/>
      <c r="AL68" s="133"/>
      <c r="AM68" s="133"/>
      <c r="AN68" s="133"/>
      <c r="AO68" s="133"/>
      <c r="AP68" s="133"/>
      <c r="AQ68" s="133"/>
      <c r="AR68" s="133"/>
      <c r="AU68" s="133"/>
      <c r="AV68" s="133"/>
      <c r="AW68" s="133"/>
      <c r="AX68" s="133"/>
      <c r="AY68" s="133"/>
      <c r="AZ68" s="133"/>
      <c r="BA68" s="133"/>
      <c r="BB68" s="133"/>
      <c r="BC68" s="6"/>
      <c r="BD68" s="8"/>
      <c r="BE68" s="8"/>
      <c r="BF68" s="8"/>
      <c r="BG68" s="8"/>
      <c r="BH68" s="8"/>
      <c r="BM68" s="133"/>
      <c r="BN68" s="133"/>
      <c r="BO68" s="143"/>
      <c r="BP68" s="133"/>
      <c r="BQ68" s="143"/>
      <c r="BR68" s="133"/>
      <c r="BS68" s="143"/>
      <c r="BT68" s="133"/>
      <c r="BU68" s="147"/>
      <c r="BV68" s="147"/>
      <c r="BX68" s="147"/>
      <c r="BY68" s="147"/>
      <c r="CD68" s="3"/>
      <c r="CE68" s="3"/>
      <c r="CF68" s="157"/>
      <c r="CG68" s="157"/>
      <c r="CH68" s="157"/>
      <c r="CI68" s="158"/>
      <c r="CJ68" s="157"/>
      <c r="CK68" s="157"/>
      <c r="CL68" s="157"/>
      <c r="CM68" s="157"/>
      <c r="CN68" s="157"/>
      <c r="CO68" s="157"/>
      <c r="CP68" s="157"/>
      <c r="CQ68" s="157"/>
      <c r="CR68" s="157"/>
      <c r="CS68" s="157"/>
      <c r="CT68" s="66"/>
      <c r="CU68" s="66"/>
      <c r="CV68" s="3"/>
      <c r="CW68" s="60"/>
      <c r="CX68" s="3"/>
      <c r="CY68" s="3"/>
      <c r="CZ68" s="6"/>
      <c r="DA68" s="6"/>
      <c r="DB68" s="4"/>
      <c r="DC68" s="4"/>
      <c r="DD68" s="157"/>
      <c r="DE68" s="157"/>
      <c r="DF68" s="133"/>
      <c r="DG68" s="133"/>
      <c r="DH68" s="159"/>
      <c r="DI68" s="167"/>
      <c r="DJ68" s="157"/>
      <c r="DK68" s="157"/>
      <c r="DL68" s="143"/>
      <c r="DM68" s="143"/>
      <c r="DN68" s="159"/>
      <c r="DO68" s="167"/>
      <c r="DP68" s="157"/>
      <c r="DQ68" s="157"/>
      <c r="DR68" s="143"/>
      <c r="DS68" s="143"/>
      <c r="DT68" s="147"/>
      <c r="DU68" s="147"/>
      <c r="DV68" s="133"/>
      <c r="DW68" s="133"/>
      <c r="DX68" s="133"/>
      <c r="DY68" s="133"/>
      <c r="DZ68" s="147"/>
      <c r="EA68" s="147"/>
      <c r="EB68" s="159"/>
      <c r="EC68" s="159"/>
      <c r="ED68" s="157"/>
      <c r="EE68" s="157"/>
      <c r="EF68" s="147"/>
      <c r="EG68" s="147"/>
      <c r="EH68" s="157"/>
      <c r="EI68" s="157"/>
      <c r="EJ68" s="143"/>
      <c r="EK68" s="143"/>
      <c r="EL68" s="147"/>
      <c r="EM68" s="133"/>
      <c r="EN68" s="133"/>
      <c r="EO68" s="147"/>
      <c r="EP68" s="501"/>
      <c r="EQ68" s="489"/>
      <c r="ER68" s="489"/>
      <c r="ES68" s="147"/>
      <c r="ET68" s="147"/>
      <c r="EU68" s="143"/>
      <c r="EV68" s="143"/>
      <c r="EW68" s="157"/>
      <c r="EX68" s="157"/>
      <c r="EY68" s="157"/>
      <c r="EZ68" s="157"/>
      <c r="GG68" s="3"/>
      <c r="GH68" s="3"/>
      <c r="GI68" s="6"/>
      <c r="GJ68" s="6"/>
      <c r="GK68" s="157"/>
      <c r="GL68" s="157"/>
      <c r="GM68" s="157"/>
      <c r="GN68" s="157"/>
      <c r="GO68" s="157"/>
      <c r="GP68" s="157"/>
      <c r="GQ68" s="157"/>
      <c r="GR68" s="157"/>
      <c r="GS68" s="157"/>
      <c r="GT68" s="157"/>
      <c r="GU68" s="157"/>
      <c r="GV68" s="157"/>
      <c r="GW68" s="157"/>
      <c r="GX68" s="157"/>
      <c r="GY68" s="147"/>
      <c r="GZ68" s="147"/>
      <c r="HA68" s="4"/>
      <c r="HB68" s="4"/>
      <c r="HC68" s="228"/>
      <c r="HD68" s="228"/>
      <c r="HE68" s="239"/>
      <c r="HF68" s="229"/>
      <c r="HG68" s="228"/>
      <c r="HH68" s="228"/>
      <c r="HI68" s="4"/>
      <c r="HJ68" s="4"/>
      <c r="HK68" s="228"/>
      <c r="HL68" s="228"/>
      <c r="HM68" s="239"/>
      <c r="HN68" s="229"/>
      <c r="HO68" s="228"/>
      <c r="HP68" s="228"/>
      <c r="HQ68" s="6"/>
      <c r="HR68" s="6"/>
      <c r="HS68" s="467"/>
      <c r="HT68" s="467"/>
      <c r="HU68" s="6"/>
      <c r="HV68" s="6"/>
      <c r="HW68" s="467"/>
      <c r="HX68" s="467"/>
      <c r="KA68" s="3"/>
      <c r="KB68" s="3"/>
      <c r="KE68" s="157"/>
      <c r="KF68" s="157"/>
      <c r="KG68" s="157"/>
      <c r="KH68" s="157"/>
      <c r="KI68" s="6"/>
      <c r="KJ68" s="6"/>
      <c r="KK68" s="157"/>
      <c r="KL68" s="157"/>
      <c r="KM68" s="489"/>
      <c r="KN68" s="489"/>
      <c r="KO68" s="467"/>
      <c r="KP68" s="467"/>
      <c r="KQ68" s="229"/>
      <c r="KR68" s="229"/>
      <c r="KS68" s="363"/>
      <c r="KT68" s="363"/>
      <c r="KU68" s="147"/>
      <c r="KV68" s="147"/>
      <c r="KW68" s="157"/>
      <c r="KX68" s="157"/>
      <c r="KY68" s="157"/>
      <c r="KZ68" s="157"/>
      <c r="LA68" s="6"/>
      <c r="LB68" s="6"/>
      <c r="LC68" s="157"/>
      <c r="LD68" s="157"/>
      <c r="LE68" s="489"/>
      <c r="LF68" s="247"/>
      <c r="LG68" s="471"/>
      <c r="LH68" s="471"/>
      <c r="LM68" s="157"/>
      <c r="LN68" s="157"/>
      <c r="LO68" s="157"/>
      <c r="LP68" s="157"/>
      <c r="LQ68" s="157"/>
      <c r="LR68" s="157"/>
      <c r="LS68" s="143"/>
      <c r="LT68" s="143"/>
      <c r="LU68" s="471"/>
      <c r="LV68" s="471"/>
      <c r="LW68" s="214"/>
      <c r="LX68" s="214"/>
      <c r="LY68" s="211"/>
      <c r="LZ68" s="211"/>
      <c r="MA68" s="211"/>
      <c r="MB68" s="211"/>
      <c r="MC68" s="211"/>
      <c r="MD68" s="211"/>
      <c r="ME68" s="211"/>
      <c r="MF68" s="211"/>
      <c r="MG68" s="211"/>
      <c r="MH68" s="211"/>
      <c r="MI68" s="211"/>
      <c r="MJ68" s="211"/>
      <c r="MK68" s="211"/>
      <c r="ML68" s="211"/>
      <c r="MM68" s="462"/>
      <c r="MN68" s="462"/>
      <c r="MO68" s="211"/>
      <c r="MP68" s="211"/>
      <c r="MQ68" s="211"/>
      <c r="MR68" s="211"/>
      <c r="MS68" s="211"/>
      <c r="MT68" s="211"/>
      <c r="MU68" s="506"/>
      <c r="MV68" s="506"/>
      <c r="MW68" s="513"/>
      <c r="MX68" s="513"/>
      <c r="MY68" s="513"/>
      <c r="MZ68" s="513"/>
      <c r="NA68" s="513"/>
      <c r="NB68" s="513"/>
      <c r="NC68" s="512"/>
      <c r="ND68" s="512"/>
      <c r="NE68" s="109"/>
      <c r="NF68" s="109"/>
      <c r="NG68" s="109"/>
      <c r="NH68" s="109"/>
      <c r="NI68" s="513"/>
      <c r="NJ68" s="513"/>
    </row>
    <row r="69" spans="2:408">
      <c r="D69" s="66"/>
      <c r="J69" s="327"/>
      <c r="Q69" s="6"/>
      <c r="R69" s="6"/>
      <c r="S69" s="6"/>
      <c r="T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133"/>
      <c r="AJ69" s="133"/>
      <c r="AK69" s="133"/>
      <c r="AL69" s="133"/>
      <c r="AM69" s="133"/>
      <c r="AN69" s="133"/>
      <c r="AO69" s="133"/>
      <c r="AP69" s="133"/>
      <c r="AQ69" s="133"/>
      <c r="AR69" s="133"/>
      <c r="AU69" s="133"/>
      <c r="AV69" s="133"/>
      <c r="AW69" s="133"/>
      <c r="AX69" s="133"/>
      <c r="AY69" s="133"/>
      <c r="AZ69" s="133"/>
      <c r="BA69" s="133"/>
      <c r="BB69" s="133"/>
      <c r="BC69" s="6"/>
      <c r="BD69" s="8"/>
      <c r="BE69" s="8"/>
      <c r="BF69" s="8"/>
      <c r="BG69" s="8"/>
      <c r="BH69" s="8"/>
      <c r="BM69" s="133"/>
      <c r="BN69" s="133"/>
      <c r="BO69" s="143"/>
      <c r="BP69" s="133"/>
      <c r="BQ69" s="143"/>
      <c r="BR69" s="133"/>
      <c r="BS69" s="143"/>
      <c r="BT69" s="133"/>
      <c r="BU69" s="147"/>
      <c r="BV69" s="147"/>
      <c r="BX69" s="147"/>
      <c r="BY69" s="147"/>
      <c r="CD69" s="3"/>
      <c r="CE69" s="3"/>
      <c r="CF69" s="157"/>
      <c r="CG69" s="157"/>
      <c r="CH69" s="157"/>
      <c r="CI69" s="158"/>
      <c r="CJ69" s="157"/>
      <c r="CK69" s="157"/>
      <c r="CL69" s="157"/>
      <c r="CM69" s="157"/>
      <c r="CN69" s="157"/>
      <c r="CO69" s="157"/>
      <c r="CP69" s="157"/>
      <c r="CQ69" s="157"/>
      <c r="CR69" s="157"/>
      <c r="CS69" s="157"/>
      <c r="CT69" s="66"/>
      <c r="CU69" s="66"/>
      <c r="CV69" s="3"/>
      <c r="CW69" s="60"/>
      <c r="CX69" s="3"/>
      <c r="CY69" s="3"/>
      <c r="CZ69" s="6"/>
      <c r="DA69" s="6"/>
      <c r="DB69" s="4"/>
      <c r="DC69" s="4"/>
      <c r="DD69" s="157"/>
      <c r="DE69" s="157"/>
      <c r="DF69" s="133"/>
      <c r="DG69" s="133"/>
      <c r="DH69" s="159"/>
      <c r="DI69" s="167"/>
      <c r="DJ69" s="157"/>
      <c r="DK69" s="157"/>
      <c r="DL69" s="143"/>
      <c r="DM69" s="143"/>
      <c r="DN69" s="159"/>
      <c r="DO69" s="167"/>
      <c r="DP69" s="157"/>
      <c r="DQ69" s="157"/>
      <c r="DR69" s="143"/>
      <c r="DS69" s="143"/>
      <c r="DT69" s="147"/>
      <c r="DU69" s="147"/>
      <c r="DV69" s="133"/>
      <c r="DW69" s="133"/>
      <c r="DX69" s="133"/>
      <c r="DY69" s="133"/>
      <c r="DZ69" s="147"/>
      <c r="EA69" s="147"/>
      <c r="EB69" s="133"/>
      <c r="EC69" s="133"/>
      <c r="ED69" s="157"/>
      <c r="EE69" s="157"/>
      <c r="EF69" s="147"/>
      <c r="EG69" s="147"/>
      <c r="EH69" s="157"/>
      <c r="EI69" s="157"/>
      <c r="EJ69" s="143"/>
      <c r="EK69" s="143"/>
      <c r="EL69" s="147"/>
      <c r="EM69" s="143"/>
      <c r="EN69" s="147"/>
      <c r="EO69" s="147"/>
      <c r="EP69" s="501"/>
      <c r="EQ69" s="489"/>
      <c r="ER69" s="489"/>
      <c r="ES69" s="147"/>
      <c r="ET69" s="147"/>
      <c r="EU69" s="143"/>
      <c r="EV69" s="143"/>
      <c r="EW69" s="157"/>
      <c r="EX69" s="157"/>
      <c r="EY69" s="157"/>
      <c r="EZ69" s="157"/>
      <c r="GG69" s="3"/>
      <c r="GH69" s="3"/>
      <c r="GI69" s="6"/>
      <c r="GJ69" s="6"/>
      <c r="GK69" s="157"/>
      <c r="GL69" s="157"/>
      <c r="GM69" s="157"/>
      <c r="GN69" s="157"/>
      <c r="GO69" s="157"/>
      <c r="GP69" s="157"/>
      <c r="GQ69" s="157"/>
      <c r="GR69" s="157"/>
      <c r="GS69" s="157"/>
      <c r="GT69" s="157"/>
      <c r="GU69" s="157"/>
      <c r="GV69" s="157"/>
      <c r="GW69" s="157"/>
      <c r="GX69" s="157"/>
      <c r="GY69" s="147"/>
      <c r="GZ69" s="147"/>
      <c r="HA69" s="4"/>
      <c r="HB69" s="4"/>
      <c r="HC69" s="228"/>
      <c r="HD69" s="228"/>
      <c r="HE69" s="239"/>
      <c r="HF69" s="229"/>
      <c r="HG69" s="228"/>
      <c r="HH69" s="228"/>
      <c r="HI69" s="4"/>
      <c r="HJ69" s="4"/>
      <c r="HK69" s="228"/>
      <c r="HL69" s="228"/>
      <c r="HM69" s="239"/>
      <c r="HN69" s="229"/>
      <c r="HO69" s="228"/>
      <c r="HP69" s="228"/>
      <c r="HQ69" s="6"/>
      <c r="HR69" s="6"/>
      <c r="HS69" s="467"/>
      <c r="HT69" s="467"/>
      <c r="HU69" s="6"/>
      <c r="HV69" s="6"/>
      <c r="HW69" s="467"/>
      <c r="HX69" s="467"/>
      <c r="KA69" s="3"/>
      <c r="KB69" s="3"/>
      <c r="KE69" s="157"/>
      <c r="KF69" s="157"/>
      <c r="KG69" s="157"/>
      <c r="KH69" s="157"/>
      <c r="KI69" s="6"/>
      <c r="KJ69" s="6"/>
      <c r="KK69" s="157"/>
      <c r="KL69" s="157"/>
      <c r="KM69" s="489"/>
      <c r="KN69" s="489"/>
      <c r="KO69" s="467"/>
      <c r="KP69" s="467"/>
      <c r="KQ69" s="229"/>
      <c r="KR69" s="229"/>
      <c r="KS69" s="363"/>
      <c r="KT69" s="363"/>
      <c r="KU69" s="147"/>
      <c r="KV69" s="147"/>
      <c r="KW69" s="157"/>
      <c r="KX69" s="157"/>
      <c r="KY69" s="157"/>
      <c r="KZ69" s="157"/>
      <c r="LA69" s="6"/>
      <c r="LB69" s="6"/>
      <c r="LC69" s="157"/>
      <c r="LD69" s="157"/>
      <c r="LE69" s="489"/>
      <c r="LF69" s="247"/>
      <c r="LM69" s="157"/>
      <c r="LN69" s="157"/>
      <c r="LO69" s="157"/>
      <c r="LP69" s="157"/>
      <c r="LQ69" s="157"/>
      <c r="LR69" s="157"/>
      <c r="LS69" s="143"/>
      <c r="LT69" s="143"/>
      <c r="LW69" s="214"/>
      <c r="LX69" s="214"/>
      <c r="LY69" s="211"/>
      <c r="LZ69" s="211"/>
      <c r="MA69" s="211"/>
      <c r="MB69" s="211"/>
      <c r="MC69" s="211"/>
      <c r="MD69" s="211"/>
      <c r="ME69" s="211"/>
      <c r="MF69" s="211"/>
      <c r="MG69" s="211"/>
      <c r="MH69" s="211"/>
      <c r="MI69" s="211"/>
      <c r="MJ69" s="211"/>
      <c r="MK69" s="211"/>
      <c r="ML69" s="211"/>
      <c r="MM69" s="462"/>
      <c r="MN69" s="462"/>
      <c r="MO69" s="211"/>
      <c r="MP69" s="211"/>
      <c r="MQ69" s="211"/>
      <c r="MR69" s="211"/>
      <c r="MS69" s="211"/>
      <c r="MT69" s="211"/>
      <c r="MU69" s="506"/>
      <c r="MV69" s="506"/>
      <c r="MW69" s="513"/>
      <c r="MX69" s="513"/>
      <c r="MY69" s="513"/>
      <c r="MZ69" s="513"/>
      <c r="NA69" s="513"/>
      <c r="NB69" s="513"/>
      <c r="NC69" s="512"/>
      <c r="ND69" s="512"/>
      <c r="NI69" s="513"/>
      <c r="NJ69" s="513"/>
    </row>
    <row r="70" spans="2:408">
      <c r="D70" s="66"/>
      <c r="J70" s="327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133"/>
      <c r="AJ70" s="133"/>
      <c r="AK70" s="133"/>
      <c r="AL70" s="133"/>
      <c r="AM70" s="133"/>
      <c r="AN70" s="133"/>
      <c r="AO70" s="133"/>
      <c r="AP70" s="133"/>
      <c r="AQ70" s="133"/>
      <c r="AR70" s="133"/>
      <c r="AU70" s="133"/>
      <c r="AV70" s="133"/>
      <c r="AW70" s="133"/>
      <c r="AX70" s="133"/>
      <c r="AY70" s="133"/>
      <c r="AZ70" s="133"/>
      <c r="BA70" s="133"/>
      <c r="BB70" s="133"/>
      <c r="BC70" s="6"/>
      <c r="BD70" s="8"/>
      <c r="BE70" s="8"/>
      <c r="BF70" s="8"/>
      <c r="BG70" s="8"/>
      <c r="BH70" s="8"/>
      <c r="BM70" s="133"/>
      <c r="BN70" s="133"/>
      <c r="BO70" s="143"/>
      <c r="BP70" s="133"/>
      <c r="BQ70" s="143"/>
      <c r="BR70" s="133"/>
      <c r="BS70" s="143"/>
      <c r="BT70" s="133"/>
      <c r="BU70" s="147"/>
      <c r="BV70" s="147"/>
      <c r="BX70" s="147"/>
      <c r="BY70" s="147"/>
      <c r="CB70" s="476"/>
      <c r="CD70" s="3"/>
      <c r="CE70" s="3"/>
      <c r="CF70" s="157"/>
      <c r="CG70" s="157"/>
      <c r="CH70" s="157"/>
      <c r="CI70" s="158"/>
      <c r="CJ70" s="157"/>
      <c r="CK70" s="477"/>
      <c r="CL70" s="157"/>
      <c r="CM70" s="157"/>
      <c r="CN70" s="157"/>
      <c r="CO70" s="157"/>
      <c r="CP70" s="157"/>
      <c r="CQ70" s="157"/>
      <c r="CR70" s="157"/>
      <c r="CS70" s="157"/>
      <c r="CT70" s="66"/>
      <c r="CU70" s="66"/>
      <c r="CV70" s="3"/>
      <c r="CW70" s="60"/>
      <c r="CX70" s="3"/>
      <c r="CY70" s="3"/>
      <c r="CZ70" s="6"/>
      <c r="DA70" s="6"/>
      <c r="DB70" s="4"/>
      <c r="DC70" s="4"/>
      <c r="DD70" s="157"/>
      <c r="DE70" s="157"/>
      <c r="DF70" s="143"/>
      <c r="DG70" s="143"/>
      <c r="DH70" s="159"/>
      <c r="DI70" s="167"/>
      <c r="DJ70" s="157"/>
      <c r="DK70" s="157"/>
      <c r="DL70" s="147"/>
      <c r="DM70" s="133"/>
      <c r="DN70" s="159"/>
      <c r="DO70" s="167"/>
      <c r="DP70" s="157"/>
      <c r="DQ70" s="157"/>
      <c r="DR70" s="143"/>
      <c r="DS70" s="143"/>
      <c r="DT70" s="147"/>
      <c r="DU70" s="147"/>
      <c r="DV70" s="133"/>
      <c r="DW70" s="133"/>
      <c r="DX70" s="133"/>
      <c r="DY70" s="133"/>
      <c r="DZ70" s="133"/>
      <c r="EA70" s="133"/>
      <c r="EB70" s="133"/>
      <c r="EC70" s="133"/>
      <c r="ED70" s="157"/>
      <c r="EE70" s="157"/>
      <c r="EF70" s="147"/>
      <c r="EG70" s="147"/>
      <c r="EH70" s="157"/>
      <c r="EI70" s="157"/>
      <c r="EJ70" s="147"/>
      <c r="EK70" s="147"/>
      <c r="EL70" s="147"/>
      <c r="EM70" s="143"/>
      <c r="EN70" s="147"/>
      <c r="EO70" s="147"/>
      <c r="EP70" s="501"/>
      <c r="EQ70" s="143"/>
      <c r="ER70" s="143"/>
      <c r="ES70" s="147"/>
      <c r="ET70" s="147"/>
      <c r="EU70" s="143"/>
      <c r="EV70" s="143"/>
      <c r="EW70" s="157"/>
      <c r="EX70" s="157"/>
      <c r="EY70" s="157"/>
      <c r="EZ70" s="157"/>
      <c r="LW70" s="214"/>
      <c r="LX70" s="214"/>
      <c r="LY70" s="211"/>
      <c r="LZ70" s="211"/>
      <c r="MA70" s="211"/>
      <c r="MB70" s="211"/>
      <c r="MC70" s="211"/>
      <c r="MD70" s="211"/>
      <c r="ME70" s="211"/>
      <c r="MF70" s="211"/>
      <c r="MG70" s="211"/>
      <c r="MH70" s="211"/>
      <c r="MI70" s="211"/>
      <c r="MJ70" s="211"/>
      <c r="MK70" s="211"/>
      <c r="ML70" s="211"/>
      <c r="MM70" s="211"/>
      <c r="MN70" s="211"/>
      <c r="MO70" s="211"/>
      <c r="MP70" s="211"/>
      <c r="MQ70" s="211"/>
      <c r="MR70" s="211"/>
      <c r="MS70" s="211"/>
      <c r="MT70" s="211"/>
      <c r="MU70" s="506"/>
      <c r="MV70" s="506"/>
      <c r="MW70" s="109"/>
      <c r="MX70" s="109"/>
      <c r="MY70" s="109"/>
      <c r="MZ70" s="109"/>
      <c r="NA70" s="109"/>
      <c r="NB70" s="109"/>
      <c r="NC70" s="506"/>
      <c r="ND70" s="506"/>
      <c r="NI70" s="109"/>
      <c r="NJ70" s="109"/>
    </row>
    <row r="71" spans="2:408">
      <c r="D71" s="66"/>
      <c r="J71" s="327"/>
      <c r="Q71" s="6"/>
      <c r="R71" s="6"/>
      <c r="S71" s="6"/>
      <c r="T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133"/>
      <c r="AJ71" s="133"/>
      <c r="AK71" s="133"/>
      <c r="AL71" s="133"/>
      <c r="AM71" s="133"/>
      <c r="AN71" s="133"/>
      <c r="AO71" s="133"/>
      <c r="AP71" s="133"/>
      <c r="AQ71" s="133"/>
      <c r="AR71" s="133"/>
      <c r="AU71" s="133"/>
      <c r="AV71" s="133"/>
      <c r="AW71" s="133"/>
      <c r="AX71" s="133"/>
      <c r="AY71" s="133"/>
      <c r="AZ71" s="133"/>
      <c r="BA71" s="133"/>
      <c r="BB71" s="133"/>
      <c r="BC71" s="6"/>
      <c r="BD71" s="8"/>
      <c r="BE71" s="8"/>
      <c r="BF71" s="8"/>
      <c r="BG71" s="8"/>
      <c r="BH71" s="8"/>
      <c r="BM71" s="133"/>
      <c r="BN71" s="133"/>
      <c r="BO71" s="143"/>
      <c r="BP71" s="133"/>
      <c r="BQ71" s="143"/>
      <c r="BR71" s="133"/>
      <c r="BS71" s="143"/>
      <c r="BT71" s="133"/>
      <c r="BU71" s="147"/>
      <c r="BV71" s="147"/>
      <c r="BX71" s="147"/>
      <c r="BY71" s="147"/>
      <c r="CB71" s="476"/>
      <c r="CD71" s="3"/>
      <c r="CE71" s="3"/>
      <c r="CF71" s="157"/>
      <c r="CG71" s="157"/>
      <c r="CH71" s="157"/>
      <c r="CI71" s="158"/>
      <c r="CJ71" s="157"/>
      <c r="CK71" s="477"/>
      <c r="CL71" s="157"/>
      <c r="CM71" s="157"/>
      <c r="CN71" s="157"/>
      <c r="CO71" s="157"/>
      <c r="CP71" s="157"/>
      <c r="CQ71" s="157"/>
      <c r="CR71" s="157"/>
      <c r="CS71" s="157"/>
      <c r="CT71" s="66"/>
      <c r="CU71" s="66"/>
      <c r="CV71" s="3"/>
      <c r="CW71" s="60"/>
      <c r="CX71" s="3"/>
      <c r="CY71" s="3"/>
      <c r="CZ71" s="6"/>
      <c r="DA71" s="6"/>
      <c r="DB71" s="4"/>
      <c r="DC71" s="4"/>
      <c r="DD71" s="157"/>
      <c r="DE71" s="157"/>
      <c r="DF71" s="143"/>
      <c r="DG71" s="143"/>
      <c r="DH71" s="159"/>
      <c r="DI71" s="167"/>
      <c r="DJ71" s="157"/>
      <c r="DK71" s="157"/>
      <c r="DL71" s="147"/>
      <c r="DM71" s="133"/>
      <c r="DN71" s="159"/>
      <c r="DO71" s="167"/>
      <c r="DP71" s="157"/>
      <c r="DQ71" s="157"/>
      <c r="DR71" s="143"/>
      <c r="DS71" s="143"/>
      <c r="DT71" s="147"/>
      <c r="DU71" s="147"/>
      <c r="DV71" s="133"/>
      <c r="DW71" s="133"/>
      <c r="DX71" s="133"/>
      <c r="DY71" s="133"/>
      <c r="DZ71" s="133"/>
      <c r="EA71" s="133"/>
      <c r="EB71" s="133"/>
      <c r="EC71" s="133"/>
      <c r="ED71" s="157"/>
      <c r="EE71" s="157"/>
      <c r="EF71" s="147"/>
      <c r="EG71" s="147"/>
      <c r="EH71" s="157"/>
      <c r="EI71" s="157"/>
      <c r="EJ71" s="147"/>
      <c r="EK71" s="147"/>
      <c r="EL71" s="147"/>
      <c r="EM71" s="143"/>
      <c r="EN71" s="147"/>
      <c r="EO71" s="147"/>
      <c r="EP71" s="501"/>
      <c r="EQ71" s="143"/>
      <c r="ER71" s="143"/>
      <c r="ES71" s="147"/>
      <c r="ET71" s="147"/>
      <c r="EU71" s="143"/>
      <c r="EV71" s="143"/>
      <c r="EW71" s="157"/>
      <c r="EX71" s="157"/>
      <c r="EY71" s="157"/>
      <c r="EZ71" s="157"/>
      <c r="LW71" s="214"/>
      <c r="LX71" s="214"/>
      <c r="LY71" s="211"/>
      <c r="LZ71" s="211"/>
      <c r="MA71" s="211"/>
      <c r="MB71" s="211"/>
      <c r="MC71" s="211"/>
      <c r="MD71" s="211"/>
      <c r="ME71" s="211"/>
      <c r="MF71" s="211"/>
      <c r="MG71" s="211"/>
      <c r="MH71" s="211"/>
      <c r="MI71" s="211"/>
      <c r="MJ71" s="211"/>
      <c r="MK71" s="211"/>
      <c r="ML71" s="211"/>
      <c r="MM71" s="211"/>
      <c r="MN71" s="211"/>
      <c r="MO71" s="211"/>
      <c r="MP71" s="211"/>
      <c r="MQ71" s="211"/>
      <c r="MR71" s="211"/>
      <c r="MS71" s="211"/>
      <c r="MT71" s="211"/>
      <c r="MU71" s="506"/>
      <c r="MV71" s="506"/>
      <c r="MW71" s="109"/>
      <c r="MX71" s="109"/>
      <c r="MY71" s="109"/>
      <c r="MZ71" s="109"/>
      <c r="NA71" s="109"/>
      <c r="NB71" s="109"/>
      <c r="NC71" s="506"/>
      <c r="ND71" s="506"/>
      <c r="NI71" s="109"/>
      <c r="NJ71" s="109"/>
    </row>
    <row r="72" spans="2:408">
      <c r="D72" s="66"/>
      <c r="J72" s="327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133"/>
      <c r="AJ72" s="133"/>
      <c r="AK72" s="133"/>
      <c r="AL72" s="133"/>
      <c r="AM72" s="133"/>
      <c r="AN72" s="133"/>
      <c r="AO72" s="133"/>
      <c r="AP72" s="133"/>
      <c r="AQ72" s="133"/>
      <c r="AR72" s="133"/>
      <c r="AU72" s="133"/>
      <c r="AV72" s="133"/>
      <c r="AW72" s="133"/>
      <c r="AX72" s="133"/>
      <c r="AY72" s="133"/>
      <c r="AZ72" s="133"/>
      <c r="BA72" s="133"/>
      <c r="BB72" s="133"/>
      <c r="BC72" s="6"/>
      <c r="BD72" s="8"/>
      <c r="BE72" s="8"/>
      <c r="BF72" s="8"/>
      <c r="BG72" s="8"/>
      <c r="BH72" s="8"/>
      <c r="BM72" s="133"/>
      <c r="BN72" s="133"/>
      <c r="BO72" s="143"/>
      <c r="BP72" s="133"/>
      <c r="BQ72" s="143"/>
      <c r="BR72" s="133"/>
      <c r="BS72" s="143"/>
      <c r="BT72" s="133"/>
      <c r="BU72" s="147"/>
      <c r="BV72" s="147"/>
      <c r="BX72" s="147"/>
      <c r="BY72" s="147"/>
      <c r="CB72" s="476"/>
      <c r="CD72" s="3"/>
      <c r="CE72" s="3"/>
      <c r="CF72" s="157"/>
      <c r="CG72" s="157"/>
      <c r="CH72" s="157"/>
      <c r="CI72" s="158"/>
      <c r="CJ72" s="157"/>
      <c r="CK72" s="477"/>
      <c r="CL72" s="157"/>
      <c r="CM72" s="157"/>
      <c r="CN72" s="157"/>
      <c r="CO72" s="157"/>
      <c r="CP72" s="157"/>
      <c r="CQ72" s="157"/>
      <c r="CR72" s="157"/>
      <c r="CS72" s="157"/>
      <c r="CT72" s="66"/>
      <c r="CU72" s="66"/>
      <c r="CV72" s="3"/>
      <c r="CW72" s="60"/>
      <c r="CX72" s="3"/>
      <c r="CY72" s="3"/>
      <c r="CZ72" s="6"/>
      <c r="DA72" s="6"/>
      <c r="DB72" s="4"/>
      <c r="DC72" s="4"/>
      <c r="DD72" s="157"/>
      <c r="DE72" s="157"/>
      <c r="DF72" s="143"/>
      <c r="DG72" s="143"/>
      <c r="DH72" s="159"/>
      <c r="DI72" s="167"/>
      <c r="DJ72" s="157"/>
      <c r="DK72" s="157"/>
      <c r="DL72" s="147"/>
      <c r="DM72" s="133"/>
      <c r="DN72" s="159"/>
      <c r="DO72" s="167"/>
      <c r="DP72" s="157"/>
      <c r="DQ72" s="157"/>
      <c r="DR72" s="143"/>
      <c r="DS72" s="143"/>
      <c r="DT72" s="147"/>
      <c r="DU72" s="147"/>
      <c r="DV72" s="133"/>
      <c r="DW72" s="133"/>
      <c r="DX72" s="133"/>
      <c r="DY72" s="133"/>
      <c r="DZ72" s="133"/>
      <c r="EA72" s="133"/>
      <c r="EB72" s="133"/>
      <c r="EC72" s="133"/>
      <c r="ED72" s="157"/>
      <c r="EE72" s="157"/>
      <c r="EF72" s="147"/>
      <c r="EG72" s="147"/>
      <c r="EH72" s="157"/>
      <c r="EI72" s="157"/>
      <c r="EJ72" s="147"/>
      <c r="EK72" s="147"/>
      <c r="EL72" s="147"/>
      <c r="EM72" s="143"/>
      <c r="EN72" s="147"/>
      <c r="EO72" s="147"/>
      <c r="EP72" s="501"/>
      <c r="EQ72" s="143"/>
      <c r="ER72" s="143"/>
      <c r="ES72" s="147"/>
      <c r="ET72" s="147"/>
      <c r="EU72" s="143"/>
      <c r="EV72" s="143"/>
      <c r="EW72" s="157"/>
      <c r="EX72" s="157"/>
      <c r="EY72" s="157"/>
      <c r="EZ72" s="157"/>
    </row>
    <row r="73" spans="2:408">
      <c r="D73" s="66"/>
      <c r="J73" s="327"/>
      <c r="Q73" s="6"/>
      <c r="R73" s="6"/>
      <c r="S73" s="6"/>
      <c r="T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133"/>
      <c r="AJ73" s="133"/>
      <c r="AK73" s="133"/>
      <c r="AL73" s="133"/>
      <c r="AM73" s="133"/>
      <c r="AN73" s="133"/>
      <c r="AO73" s="133"/>
      <c r="AP73" s="133"/>
      <c r="AQ73" s="133"/>
      <c r="AR73" s="133"/>
      <c r="AU73" s="133"/>
      <c r="AV73" s="133"/>
      <c r="AW73" s="133"/>
      <c r="AX73" s="133"/>
      <c r="AY73" s="133"/>
      <c r="AZ73" s="133"/>
      <c r="BA73" s="133"/>
      <c r="BB73" s="133"/>
      <c r="BC73" s="6"/>
      <c r="BD73" s="8"/>
      <c r="BE73" s="8"/>
      <c r="BF73" s="8"/>
      <c r="BG73" s="8"/>
      <c r="BH73" s="8"/>
      <c r="BM73" s="133"/>
      <c r="BN73" s="133"/>
      <c r="BO73" s="143"/>
      <c r="BP73" s="133"/>
      <c r="BQ73" s="143"/>
      <c r="BR73" s="133"/>
      <c r="BS73" s="143"/>
      <c r="BT73" s="133"/>
      <c r="BU73" s="147"/>
      <c r="BV73" s="147"/>
      <c r="BX73" s="147"/>
      <c r="BY73" s="147"/>
      <c r="CB73" s="476"/>
      <c r="CD73" s="3"/>
      <c r="CE73" s="3"/>
      <c r="CF73" s="157"/>
      <c r="CG73" s="157"/>
      <c r="CH73" s="157"/>
      <c r="CI73" s="158"/>
      <c r="CJ73" s="157"/>
      <c r="CK73" s="477"/>
      <c r="CL73" s="157"/>
      <c r="CM73" s="157"/>
      <c r="CN73" s="157"/>
      <c r="CO73" s="157"/>
      <c r="CP73" s="157"/>
      <c r="CQ73" s="157"/>
      <c r="CR73" s="157"/>
      <c r="CS73" s="157"/>
      <c r="CT73" s="66"/>
      <c r="CU73" s="66"/>
      <c r="CV73" s="3"/>
      <c r="CW73" s="60"/>
      <c r="CX73" s="3"/>
      <c r="CY73" s="3"/>
      <c r="CZ73" s="6"/>
      <c r="DA73" s="6"/>
      <c r="DB73" s="4"/>
      <c r="DC73" s="4"/>
      <c r="DD73" s="157"/>
      <c r="DE73" s="157"/>
      <c r="DF73" s="143"/>
      <c r="DG73" s="143"/>
      <c r="DH73" s="159"/>
      <c r="DI73" s="167"/>
      <c r="DJ73" s="157"/>
      <c r="DK73" s="157"/>
      <c r="DL73" s="147"/>
      <c r="DM73" s="133"/>
      <c r="DN73" s="159"/>
      <c r="DO73" s="167"/>
      <c r="DP73" s="157"/>
      <c r="DQ73" s="157"/>
      <c r="DR73" s="143"/>
      <c r="DS73" s="143"/>
      <c r="DT73" s="147"/>
      <c r="DU73" s="147"/>
      <c r="DV73" s="133"/>
      <c r="DW73" s="133"/>
      <c r="DX73" s="133"/>
      <c r="DY73" s="133"/>
      <c r="DZ73" s="133"/>
      <c r="EA73" s="133"/>
      <c r="EB73" s="133"/>
      <c r="EC73" s="133"/>
      <c r="ED73" s="157"/>
      <c r="EE73" s="157"/>
      <c r="EF73" s="147"/>
      <c r="EG73" s="147"/>
      <c r="EH73" s="157"/>
      <c r="EI73" s="157"/>
      <c r="EJ73" s="147"/>
      <c r="EK73" s="147"/>
      <c r="EL73" s="147"/>
      <c r="EM73" s="143"/>
      <c r="EN73" s="147"/>
      <c r="EO73" s="147"/>
      <c r="EP73" s="501"/>
      <c r="EQ73" s="143"/>
      <c r="ER73" s="143"/>
      <c r="ES73" s="147"/>
      <c r="ET73" s="147"/>
      <c r="EU73" s="143"/>
      <c r="EV73" s="143"/>
      <c r="EW73" s="157"/>
      <c r="EX73" s="157"/>
      <c r="EY73" s="157"/>
      <c r="EZ73" s="157"/>
      <c r="NE73" s="496"/>
      <c r="NF73" s="496"/>
      <c r="NG73" s="496"/>
      <c r="NH73" s="496"/>
    </row>
    <row r="74" spans="2:408">
      <c r="D74" s="66"/>
      <c r="J74" s="327"/>
      <c r="Q74" s="6"/>
      <c r="R74" s="6"/>
      <c r="S74" s="6"/>
      <c r="T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133"/>
      <c r="AJ74" s="133"/>
      <c r="AK74" s="133"/>
      <c r="AL74" s="133"/>
      <c r="AM74" s="133"/>
      <c r="AN74" s="133"/>
      <c r="AO74" s="133"/>
      <c r="AP74" s="133"/>
      <c r="AQ74" s="133"/>
      <c r="AR74" s="133"/>
      <c r="AU74" s="133"/>
      <c r="AV74" s="133"/>
      <c r="AW74" s="133"/>
      <c r="AX74" s="133"/>
      <c r="AY74" s="133"/>
      <c r="AZ74" s="133"/>
      <c r="BA74" s="133"/>
      <c r="BB74" s="133"/>
      <c r="BC74" s="6"/>
      <c r="BD74" s="8"/>
      <c r="BE74" s="8"/>
      <c r="BF74" s="8"/>
      <c r="BG74" s="8"/>
      <c r="BH74" s="8"/>
      <c r="BM74" s="133"/>
      <c r="BN74" s="133"/>
      <c r="BO74" s="143"/>
      <c r="BP74" s="133"/>
      <c r="BQ74" s="143"/>
      <c r="BR74" s="133"/>
      <c r="BS74" s="143"/>
      <c r="BT74" s="133"/>
      <c r="BU74" s="147"/>
      <c r="BV74" s="147"/>
      <c r="BX74" s="147"/>
      <c r="BY74" s="147"/>
      <c r="CB74" s="476"/>
      <c r="CD74" s="3"/>
      <c r="CE74" s="3"/>
      <c r="CF74" s="157"/>
      <c r="CG74" s="157"/>
      <c r="CH74" s="157"/>
      <c r="CI74" s="158"/>
      <c r="CJ74" s="157"/>
      <c r="CK74" s="477"/>
      <c r="CL74" s="157"/>
      <c r="CM74" s="157"/>
      <c r="CN74" s="157"/>
      <c r="CO74" s="157"/>
      <c r="CP74" s="157"/>
      <c r="CQ74" s="157"/>
      <c r="CR74" s="157"/>
      <c r="CS74" s="157"/>
      <c r="CT74" s="66"/>
      <c r="CU74" s="66"/>
      <c r="CV74" s="3"/>
      <c r="CW74" s="60"/>
      <c r="CX74" s="3"/>
      <c r="CY74" s="3"/>
      <c r="CZ74" s="6"/>
      <c r="DA74" s="6"/>
      <c r="DB74" s="4"/>
      <c r="DC74" s="4"/>
      <c r="DD74" s="157"/>
      <c r="DE74" s="157"/>
      <c r="DF74" s="143"/>
      <c r="DG74" s="143"/>
      <c r="DH74" s="159"/>
      <c r="DI74" s="167"/>
      <c r="DJ74" s="157"/>
      <c r="DK74" s="157"/>
      <c r="DL74" s="147"/>
      <c r="DM74" s="133"/>
      <c r="DN74" s="159"/>
      <c r="DO74" s="167"/>
      <c r="DP74" s="157"/>
      <c r="DQ74" s="157"/>
      <c r="DR74" s="143"/>
      <c r="DS74" s="143"/>
      <c r="DT74" s="147"/>
      <c r="DU74" s="147"/>
      <c r="DV74" s="133"/>
      <c r="DW74" s="133"/>
      <c r="DX74" s="133"/>
      <c r="DY74" s="133"/>
      <c r="DZ74" s="133"/>
      <c r="EA74" s="133"/>
      <c r="EB74" s="133"/>
      <c r="EC74" s="133"/>
      <c r="ED74" s="157"/>
      <c r="EE74" s="157"/>
      <c r="EF74" s="147"/>
      <c r="EG74" s="147"/>
      <c r="EH74" s="157"/>
      <c r="EI74" s="157"/>
      <c r="EJ74" s="147"/>
      <c r="EK74" s="147"/>
      <c r="EL74" s="147"/>
      <c r="EM74" s="143"/>
      <c r="EN74" s="147"/>
      <c r="EO74" s="147"/>
      <c r="EP74" s="501"/>
      <c r="EQ74" s="143"/>
      <c r="ER74" s="143"/>
      <c r="ES74" s="147"/>
      <c r="ET74" s="147"/>
      <c r="EU74" s="143"/>
      <c r="EV74" s="143"/>
      <c r="EW74" s="157"/>
      <c r="EX74" s="157"/>
      <c r="EY74" s="157"/>
      <c r="EZ74" s="157"/>
    </row>
    <row r="75" spans="2:408">
      <c r="D75" s="66"/>
      <c r="J75" s="327"/>
      <c r="Q75" s="6"/>
      <c r="R75" s="6"/>
      <c r="S75" s="6"/>
      <c r="T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133"/>
      <c r="AJ75" s="133"/>
      <c r="AK75" s="133"/>
      <c r="AL75" s="133"/>
      <c r="AM75" s="133"/>
      <c r="AN75" s="133"/>
      <c r="AO75" s="133"/>
      <c r="AP75" s="133"/>
      <c r="AQ75" s="133"/>
      <c r="AR75" s="133"/>
      <c r="AU75" s="133"/>
      <c r="AV75" s="133"/>
      <c r="AW75" s="133"/>
      <c r="AX75" s="133"/>
      <c r="AY75" s="133"/>
      <c r="AZ75" s="133"/>
      <c r="BA75" s="133"/>
      <c r="BB75" s="133"/>
      <c r="BC75" s="6"/>
      <c r="BD75" s="8"/>
      <c r="BE75" s="8"/>
      <c r="BF75" s="8"/>
      <c r="BG75" s="8"/>
      <c r="BH75" s="8"/>
      <c r="BM75" s="133"/>
      <c r="BN75" s="133"/>
      <c r="BO75" s="143"/>
      <c r="BP75" s="133"/>
      <c r="BQ75" s="143"/>
      <c r="BR75" s="133"/>
      <c r="BS75" s="143"/>
      <c r="BT75" s="133"/>
      <c r="BU75" s="147"/>
      <c r="BV75" s="147"/>
      <c r="BX75" s="147"/>
      <c r="BY75" s="147"/>
      <c r="CB75" s="476"/>
      <c r="CD75" s="3"/>
      <c r="CE75" s="3"/>
      <c r="CF75" s="157"/>
      <c r="CG75" s="157"/>
      <c r="CH75" s="157"/>
      <c r="CI75" s="158"/>
      <c r="CJ75" s="157"/>
      <c r="CK75" s="477"/>
      <c r="CL75" s="157"/>
      <c r="CM75" s="157"/>
      <c r="CN75" s="157"/>
      <c r="CO75" s="157"/>
      <c r="CP75" s="157"/>
      <c r="CQ75" s="157"/>
      <c r="CR75" s="157"/>
      <c r="CS75" s="157"/>
      <c r="CT75" s="66"/>
      <c r="CU75" s="66"/>
      <c r="CV75" s="3"/>
      <c r="CW75" s="60"/>
      <c r="CX75" s="3"/>
      <c r="CY75" s="3"/>
      <c r="CZ75" s="6"/>
      <c r="DA75" s="6"/>
      <c r="DB75" s="4"/>
      <c r="DC75" s="4"/>
      <c r="DD75" s="157"/>
      <c r="DE75" s="157"/>
      <c r="DF75" s="143"/>
      <c r="DG75" s="143"/>
      <c r="DH75" s="159"/>
      <c r="DI75" s="167"/>
      <c r="DJ75" s="157"/>
      <c r="DK75" s="157"/>
      <c r="DL75" s="147"/>
      <c r="DM75" s="133"/>
      <c r="DN75" s="159"/>
      <c r="DO75" s="167"/>
      <c r="DP75" s="157"/>
      <c r="DQ75" s="157"/>
      <c r="DR75" s="143"/>
      <c r="DS75" s="143"/>
      <c r="DT75" s="147"/>
      <c r="DU75" s="147"/>
      <c r="DV75" s="133"/>
      <c r="DW75" s="133"/>
      <c r="DX75" s="133"/>
      <c r="DY75" s="133"/>
      <c r="DZ75" s="133"/>
      <c r="EA75" s="133"/>
      <c r="EB75" s="133"/>
      <c r="EC75" s="133"/>
      <c r="ED75" s="157"/>
      <c r="EE75" s="157"/>
      <c r="EF75" s="147"/>
      <c r="EG75" s="147"/>
      <c r="EH75" s="157"/>
      <c r="EI75" s="157"/>
      <c r="EJ75" s="147"/>
      <c r="EK75" s="147"/>
      <c r="EL75" s="147"/>
      <c r="EM75" s="143"/>
      <c r="EN75" s="147"/>
      <c r="EO75" s="147"/>
      <c r="EP75" s="501"/>
      <c r="EQ75" s="143"/>
      <c r="ER75" s="143"/>
      <c r="ES75" s="147"/>
      <c r="ET75" s="147"/>
      <c r="EU75" s="143"/>
      <c r="EV75" s="143"/>
      <c r="EW75" s="157"/>
      <c r="EX75" s="157"/>
      <c r="EY75" s="157"/>
      <c r="EZ75" s="157"/>
    </row>
    <row r="76" spans="2:408" s="484" customFormat="1" ht="17.399999999999999">
      <c r="B76" s="245"/>
      <c r="C76" s="5"/>
      <c r="D76" s="486"/>
      <c r="E76" s="487"/>
      <c r="F76" s="117"/>
      <c r="G76" s="117"/>
      <c r="H76" s="117"/>
      <c r="I76" s="117"/>
      <c r="J76" s="488"/>
      <c r="K76" s="487"/>
      <c r="L76" s="117"/>
      <c r="M76" s="117"/>
      <c r="N76" s="117"/>
      <c r="O76" s="514"/>
      <c r="P76" s="514"/>
      <c r="Y76" s="117"/>
      <c r="Z76" s="117"/>
      <c r="AA76" s="117"/>
      <c r="AB76" s="117"/>
      <c r="AC76" s="117"/>
      <c r="AD76" s="117"/>
      <c r="AE76" s="117"/>
      <c r="AF76" s="117"/>
      <c r="AG76" s="117"/>
      <c r="AH76" s="117"/>
      <c r="AI76" s="489"/>
      <c r="AJ76" s="489"/>
      <c r="AK76" s="489"/>
      <c r="AL76" s="489"/>
      <c r="AM76" s="489"/>
      <c r="AN76" s="489"/>
      <c r="AO76" s="489"/>
      <c r="AP76" s="489"/>
      <c r="AQ76" s="489"/>
      <c r="AR76" s="489"/>
      <c r="AS76" s="117"/>
      <c r="AT76" s="117"/>
      <c r="AU76" s="489"/>
      <c r="AV76" s="489"/>
      <c r="AW76" s="489"/>
      <c r="AX76" s="489"/>
      <c r="AY76" s="489"/>
      <c r="AZ76" s="489"/>
      <c r="BA76" s="489"/>
      <c r="BB76" s="489"/>
      <c r="BC76" s="118"/>
      <c r="BD76" s="490"/>
      <c r="BE76" s="490"/>
      <c r="BF76" s="490"/>
      <c r="BG76" s="490"/>
      <c r="BH76" s="490"/>
      <c r="BI76" s="491"/>
      <c r="BJ76" s="491"/>
      <c r="BK76" s="489"/>
      <c r="BL76" s="489"/>
      <c r="BM76" s="489"/>
      <c r="BN76" s="489"/>
      <c r="BO76" s="247"/>
      <c r="BP76" s="489"/>
      <c r="BQ76" s="247"/>
      <c r="BR76" s="489"/>
      <c r="BS76" s="247"/>
      <c r="BT76" s="489"/>
      <c r="BU76" s="168"/>
      <c r="BV76" s="168"/>
      <c r="BW76" s="117"/>
      <c r="BX76" s="168"/>
      <c r="BY76" s="168"/>
      <c r="BZ76" s="247"/>
      <c r="CA76" s="168"/>
      <c r="CB76" s="481"/>
      <c r="CC76" s="247"/>
      <c r="CD76" s="491"/>
      <c r="CE76" s="491"/>
      <c r="CF76" s="482"/>
      <c r="CG76" s="482"/>
      <c r="CH76" s="482"/>
      <c r="CI76" s="492"/>
      <c r="CJ76" s="157"/>
      <c r="CK76" s="477"/>
      <c r="CL76" s="157"/>
      <c r="CM76" s="157"/>
      <c r="CN76" s="482"/>
      <c r="CO76" s="482"/>
      <c r="CP76" s="482"/>
      <c r="CQ76" s="482"/>
      <c r="CR76" s="482"/>
      <c r="CS76" s="482"/>
      <c r="CT76" s="66"/>
      <c r="CU76" s="66"/>
      <c r="CV76" s="491"/>
      <c r="CW76" s="493"/>
      <c r="CX76" s="491"/>
      <c r="CY76" s="491"/>
      <c r="CZ76" s="118"/>
      <c r="DA76" s="118"/>
      <c r="DB76" s="267"/>
      <c r="DC76" s="267"/>
      <c r="DD76" s="482"/>
      <c r="DE76" s="482"/>
      <c r="DF76" s="247"/>
      <c r="DG76" s="247"/>
      <c r="DH76" s="494"/>
      <c r="DI76" s="495"/>
      <c r="DJ76" s="482"/>
      <c r="DK76" s="482"/>
      <c r="DL76" s="489"/>
      <c r="DM76" s="489"/>
      <c r="DN76" s="494"/>
      <c r="DO76" s="495"/>
      <c r="DP76" s="482"/>
      <c r="DQ76" s="482"/>
      <c r="DR76" s="247"/>
      <c r="DS76" s="247"/>
      <c r="DT76" s="168"/>
      <c r="DU76" s="168"/>
      <c r="DV76" s="489"/>
      <c r="DW76" s="489"/>
      <c r="DX76" s="489"/>
      <c r="DY76" s="489"/>
      <c r="DZ76" s="489"/>
      <c r="EA76" s="489"/>
      <c r="EB76" s="489"/>
      <c r="EC76" s="489"/>
      <c r="ED76" s="482"/>
      <c r="EE76" s="482"/>
      <c r="EF76" s="168"/>
      <c r="EG76" s="168"/>
      <c r="EH76" s="482"/>
      <c r="EI76" s="482"/>
      <c r="EJ76" s="168"/>
      <c r="EK76" s="168"/>
      <c r="EL76" s="168"/>
      <c r="EM76" s="247"/>
      <c r="EN76" s="168"/>
      <c r="EO76" s="168"/>
      <c r="EP76" s="502"/>
      <c r="EQ76" s="247"/>
      <c r="ER76" s="247"/>
      <c r="ES76" s="168"/>
      <c r="ET76" s="168"/>
      <c r="EU76" s="247"/>
      <c r="EV76" s="247"/>
      <c r="EW76" s="482"/>
      <c r="EX76" s="482"/>
      <c r="EY76" s="482"/>
      <c r="EZ76" s="482"/>
      <c r="FA76" s="486"/>
      <c r="FB76" s="486"/>
      <c r="FC76" s="486"/>
      <c r="FD76" s="486"/>
      <c r="FE76" s="486"/>
      <c r="FF76" s="486"/>
      <c r="FG76" s="117"/>
      <c r="FH76" s="117"/>
      <c r="FI76" s="486"/>
      <c r="FJ76" s="486"/>
      <c r="FK76" s="486"/>
      <c r="FL76" s="486"/>
      <c r="FM76" s="486"/>
      <c r="FN76" s="486"/>
      <c r="FO76" s="117"/>
      <c r="FP76" s="117"/>
      <c r="FQ76" s="494"/>
      <c r="FR76" s="494"/>
      <c r="FS76" s="494"/>
      <c r="FT76" s="494"/>
      <c r="FU76" s="494"/>
      <c r="FV76" s="494"/>
      <c r="FW76" s="494"/>
      <c r="FX76" s="494"/>
      <c r="FY76" s="494"/>
      <c r="FZ76" s="494"/>
      <c r="GA76" s="494"/>
      <c r="GB76" s="494"/>
      <c r="GC76" s="494"/>
      <c r="GD76" s="494"/>
      <c r="GE76" s="494"/>
      <c r="GF76" s="494"/>
      <c r="GG76" s="117"/>
      <c r="GH76" s="117"/>
      <c r="GI76" s="117"/>
      <c r="GJ76" s="117"/>
      <c r="GK76" s="161"/>
      <c r="GL76" s="161"/>
      <c r="GM76" s="161"/>
      <c r="GN76" s="161"/>
      <c r="GO76" s="161"/>
      <c r="GP76" s="161"/>
      <c r="GQ76" s="161"/>
      <c r="GR76" s="161"/>
      <c r="GS76" s="161"/>
      <c r="GT76" s="161"/>
      <c r="GU76" s="161"/>
      <c r="GV76" s="161"/>
      <c r="GW76" s="161"/>
      <c r="GX76" s="161"/>
      <c r="GY76" s="161"/>
      <c r="GZ76" s="161"/>
      <c r="HA76" s="117"/>
      <c r="HB76" s="117"/>
      <c r="HC76" s="161"/>
      <c r="HD76" s="161"/>
      <c r="HE76" s="161"/>
      <c r="HF76" s="161"/>
      <c r="HG76" s="161"/>
      <c r="HH76" s="161"/>
      <c r="HI76" s="117"/>
      <c r="HJ76" s="117"/>
      <c r="HK76" s="161"/>
      <c r="HL76" s="161"/>
      <c r="HM76" s="161"/>
      <c r="HN76" s="161"/>
      <c r="HO76" s="161"/>
      <c r="HP76" s="161"/>
      <c r="HQ76" s="117"/>
      <c r="HR76" s="117"/>
      <c r="HS76" s="117"/>
      <c r="HT76" s="117"/>
      <c r="HU76" s="117"/>
      <c r="HV76" s="117"/>
      <c r="HW76" s="117"/>
      <c r="HX76" s="117"/>
      <c r="HY76" s="491"/>
      <c r="HZ76" s="491"/>
      <c r="IA76" s="491"/>
      <c r="IB76" s="491"/>
      <c r="IC76" s="491"/>
      <c r="ID76" s="491"/>
      <c r="IE76" s="491"/>
      <c r="IF76" s="491"/>
      <c r="IG76" s="491"/>
      <c r="IH76" s="491"/>
      <c r="II76" s="491"/>
      <c r="IJ76" s="491"/>
      <c r="IK76" s="491"/>
      <c r="IL76" s="491"/>
      <c r="IM76" s="491"/>
      <c r="IN76" s="491"/>
      <c r="IO76" s="491"/>
      <c r="IP76" s="491"/>
      <c r="IQ76" s="491"/>
      <c r="IR76" s="491"/>
      <c r="IS76" s="491"/>
      <c r="IT76" s="491"/>
      <c r="IU76" s="491"/>
      <c r="IV76" s="491"/>
      <c r="IW76" s="491"/>
      <c r="IX76" s="491"/>
      <c r="IY76" s="491"/>
      <c r="IZ76" s="491"/>
      <c r="JA76" s="482"/>
      <c r="JB76" s="482"/>
      <c r="JC76" s="482"/>
      <c r="JD76" s="482"/>
      <c r="JE76" s="482"/>
      <c r="JF76" s="482"/>
      <c r="JG76" s="482"/>
      <c r="JH76" s="482"/>
      <c r="JI76" s="482"/>
      <c r="JJ76" s="482"/>
      <c r="JK76" s="482"/>
      <c r="JL76" s="482"/>
      <c r="JM76" s="482"/>
      <c r="JN76" s="482"/>
      <c r="JO76" s="482"/>
      <c r="JP76" s="482"/>
      <c r="JQ76" s="482"/>
      <c r="JR76" s="482"/>
      <c r="JS76" s="482"/>
      <c r="JT76" s="482"/>
      <c r="JU76" s="482"/>
      <c r="JV76" s="482"/>
      <c r="JW76" s="482"/>
      <c r="JX76" s="482"/>
      <c r="JY76" s="482"/>
      <c r="JZ76" s="482"/>
      <c r="KA76" s="117"/>
      <c r="KB76" s="117"/>
      <c r="KC76" s="117"/>
      <c r="KD76" s="117"/>
      <c r="KE76" s="161"/>
      <c r="KF76" s="161"/>
      <c r="KG76" s="161"/>
      <c r="KH76" s="161"/>
      <c r="KI76" s="117"/>
      <c r="KJ76" s="117"/>
      <c r="KK76" s="161"/>
      <c r="KL76" s="161"/>
      <c r="KM76" s="161"/>
      <c r="KN76" s="161"/>
      <c r="KO76" s="117"/>
      <c r="KP76" s="117"/>
      <c r="KQ76" s="161"/>
      <c r="KR76" s="161"/>
      <c r="KS76" s="161"/>
      <c r="KT76" s="161"/>
      <c r="KU76" s="161"/>
      <c r="KV76" s="161"/>
      <c r="KW76" s="161"/>
      <c r="KX76" s="161"/>
      <c r="KY76" s="161"/>
      <c r="KZ76" s="161"/>
      <c r="LA76" s="117"/>
      <c r="LB76" s="117"/>
      <c r="LC76" s="161"/>
      <c r="LD76" s="161"/>
      <c r="LE76" s="161"/>
      <c r="LF76" s="161"/>
      <c r="LG76" s="161"/>
      <c r="LH76" s="161"/>
      <c r="LI76" s="161"/>
      <c r="LJ76" s="161"/>
      <c r="LK76" s="161"/>
      <c r="LL76" s="161"/>
      <c r="LM76" s="161"/>
      <c r="LN76" s="161"/>
      <c r="LO76" s="161"/>
      <c r="LP76" s="161"/>
      <c r="LQ76" s="161"/>
      <c r="LR76" s="161"/>
      <c r="LS76" s="161"/>
      <c r="LT76" s="161"/>
      <c r="LW76" s="257"/>
      <c r="LX76" s="257"/>
      <c r="LY76" s="257"/>
      <c r="LZ76" s="257"/>
      <c r="MA76" s="257"/>
      <c r="MB76" s="257"/>
      <c r="MC76" s="257"/>
      <c r="MD76" s="257"/>
      <c r="ME76" s="257"/>
      <c r="MF76" s="257"/>
      <c r="MG76" s="257"/>
      <c r="MH76" s="257"/>
      <c r="MI76" s="257"/>
      <c r="MJ76" s="257"/>
      <c r="MK76" s="257"/>
      <c r="ML76" s="257"/>
      <c r="MM76" s="257"/>
      <c r="MN76" s="257"/>
      <c r="MO76" s="257"/>
      <c r="MP76" s="257"/>
      <c r="MQ76" s="257"/>
      <c r="MR76" s="257"/>
      <c r="MS76" s="257"/>
      <c r="MT76" s="257"/>
      <c r="MU76" s="496"/>
      <c r="MV76" s="496"/>
      <c r="MW76" s="496"/>
      <c r="MX76" s="496"/>
      <c r="MY76" s="496"/>
      <c r="MZ76" s="496"/>
      <c r="NA76" s="496"/>
      <c r="NB76" s="496"/>
      <c r="NC76" s="496"/>
      <c r="ND76" s="496"/>
      <c r="NE76" s="62"/>
      <c r="NF76" s="62"/>
      <c r="NG76" s="62"/>
      <c r="NH76" s="62"/>
      <c r="NI76" s="496"/>
      <c r="NJ76" s="496"/>
      <c r="NK76" s="540"/>
      <c r="NL76" s="540"/>
      <c r="NM76" s="540"/>
      <c r="NN76" s="540"/>
      <c r="NO76" s="540"/>
      <c r="NP76" s="540"/>
      <c r="NQ76" s="540"/>
      <c r="NR76" s="540"/>
      <c r="NS76" s="540"/>
      <c r="NT76" s="540"/>
      <c r="NU76" s="540"/>
      <c r="NV76" s="540"/>
      <c r="NW76" s="540"/>
      <c r="NX76" s="540"/>
      <c r="NY76" s="540"/>
      <c r="NZ76" s="540"/>
      <c r="OA76" s="540"/>
      <c r="OB76" s="540"/>
      <c r="OC76" s="540"/>
      <c r="OD76" s="540"/>
      <c r="OE76" s="540"/>
      <c r="OF76" s="540"/>
      <c r="OG76" s="707"/>
      <c r="OH76" s="707"/>
      <c r="OI76" s="705"/>
      <c r="OJ76" s="705"/>
      <c r="OK76" s="540"/>
      <c r="OL76" s="540"/>
      <c r="OM76" s="540"/>
      <c r="ON76" s="540"/>
      <c r="OO76" s="540"/>
      <c r="OP76" s="540"/>
      <c r="OQ76" s="540"/>
      <c r="OR76" s="540"/>
    </row>
    <row r="77" spans="2:408">
      <c r="O77" s="629"/>
      <c r="P77" s="629"/>
      <c r="Q77" s="1"/>
      <c r="R77" s="1"/>
      <c r="S77" s="1"/>
      <c r="T77" s="1"/>
      <c r="U77" s="1"/>
      <c r="V77" s="1"/>
      <c r="W77" s="1"/>
      <c r="X77" s="1"/>
      <c r="DV77" s="133"/>
      <c r="DW77" s="133"/>
      <c r="DX77" s="133"/>
      <c r="DY77" s="133"/>
      <c r="DZ77" s="133"/>
      <c r="EA77" s="133"/>
      <c r="EB77" s="133"/>
      <c r="EC77" s="133"/>
    </row>
    <row r="78" spans="2:408">
      <c r="D78" s="66"/>
      <c r="J78" s="327"/>
      <c r="Q78" s="6"/>
      <c r="R78" s="6"/>
      <c r="S78" s="6"/>
      <c r="T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133"/>
      <c r="AJ78" s="133"/>
      <c r="AK78" s="133"/>
      <c r="AL78" s="133"/>
      <c r="AM78" s="133"/>
      <c r="AN78" s="133"/>
      <c r="AO78" s="133"/>
      <c r="AP78" s="133"/>
      <c r="AQ78" s="133"/>
      <c r="AR78" s="133"/>
      <c r="AU78" s="133"/>
      <c r="AV78" s="133"/>
      <c r="AW78" s="133"/>
      <c r="AX78" s="133"/>
      <c r="AY78" s="133"/>
      <c r="AZ78" s="133"/>
      <c r="BA78" s="133"/>
      <c r="BB78" s="133"/>
      <c r="BC78" s="6"/>
      <c r="BD78" s="8"/>
      <c r="BE78" s="8"/>
      <c r="BF78" s="8"/>
      <c r="BG78" s="8"/>
      <c r="BH78" s="8"/>
      <c r="BM78" s="133"/>
      <c r="BN78" s="133"/>
      <c r="BO78" s="143"/>
      <c r="BP78" s="133"/>
      <c r="BQ78" s="143"/>
      <c r="BR78" s="133"/>
      <c r="BS78" s="143"/>
      <c r="BT78" s="133"/>
      <c r="BU78" s="147"/>
      <c r="BV78" s="147"/>
      <c r="BX78" s="147"/>
      <c r="BY78" s="147"/>
      <c r="CB78" s="476"/>
      <c r="CD78" s="3"/>
      <c r="CE78" s="3"/>
      <c r="CF78" s="157"/>
      <c r="CG78" s="157"/>
      <c r="CH78" s="157"/>
      <c r="CI78" s="158"/>
      <c r="CJ78" s="157"/>
      <c r="CK78" s="477"/>
      <c r="CL78" s="157"/>
      <c r="CM78" s="157"/>
      <c r="CN78" s="157"/>
      <c r="CO78" s="157"/>
      <c r="CP78" s="157"/>
      <c r="CQ78" s="157"/>
      <c r="CR78" s="157"/>
      <c r="CS78" s="157"/>
      <c r="CT78" s="66"/>
      <c r="CU78" s="66"/>
      <c r="CV78" s="3"/>
      <c r="CW78" s="60"/>
      <c r="CX78" s="3"/>
      <c r="CY78" s="3"/>
      <c r="CZ78" s="6"/>
      <c r="DA78" s="6"/>
      <c r="DB78" s="4"/>
      <c r="DC78" s="4"/>
      <c r="DD78" s="157"/>
      <c r="DE78" s="157"/>
      <c r="DF78" s="143"/>
      <c r="DG78" s="143"/>
      <c r="DH78" s="159"/>
      <c r="DI78" s="167"/>
      <c r="DJ78" s="157"/>
      <c r="DK78" s="157"/>
      <c r="DL78" s="147"/>
      <c r="DM78" s="133"/>
      <c r="DN78" s="159"/>
      <c r="DO78" s="167"/>
      <c r="DP78" s="157"/>
      <c r="DQ78" s="157"/>
      <c r="DR78" s="143"/>
      <c r="DS78" s="143"/>
      <c r="DT78" s="147"/>
      <c r="DU78" s="147"/>
      <c r="DV78" s="133"/>
      <c r="DW78" s="133"/>
      <c r="DX78" s="133"/>
      <c r="DY78" s="133"/>
      <c r="DZ78" s="133"/>
      <c r="EA78" s="133"/>
      <c r="EB78" s="133"/>
      <c r="EC78" s="133"/>
      <c r="ED78" s="157"/>
      <c r="EE78" s="157"/>
      <c r="EF78" s="147"/>
      <c r="EG78" s="147"/>
      <c r="EH78" s="157"/>
      <c r="EI78" s="157"/>
      <c r="EJ78" s="147"/>
      <c r="EK78" s="147"/>
      <c r="EL78" s="147"/>
      <c r="EM78" s="143"/>
      <c r="EN78" s="147"/>
      <c r="EO78" s="147"/>
      <c r="EP78" s="501"/>
      <c r="EQ78" s="143"/>
      <c r="ER78" s="143"/>
      <c r="ES78" s="147"/>
      <c r="ET78" s="147"/>
      <c r="EU78" s="143"/>
      <c r="EV78" s="143"/>
      <c r="EW78" s="157"/>
      <c r="EX78" s="157"/>
      <c r="EY78" s="157"/>
      <c r="EZ78" s="157"/>
    </row>
    <row r="79" spans="2:408">
      <c r="D79" s="66"/>
      <c r="J79" s="327"/>
      <c r="Q79" s="6"/>
      <c r="R79" s="6"/>
      <c r="S79" s="6"/>
      <c r="T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133"/>
      <c r="AJ79" s="133"/>
      <c r="AK79" s="133"/>
      <c r="AL79" s="133"/>
      <c r="AM79" s="133"/>
      <c r="AN79" s="133"/>
      <c r="AO79" s="133"/>
      <c r="AP79" s="133"/>
      <c r="AQ79" s="133"/>
      <c r="AR79" s="133"/>
      <c r="AU79" s="133"/>
      <c r="AV79" s="133"/>
      <c r="AW79" s="133"/>
      <c r="AX79" s="133"/>
      <c r="AY79" s="133"/>
      <c r="AZ79" s="133"/>
      <c r="BA79" s="133"/>
      <c r="BB79" s="133"/>
      <c r="BC79" s="6"/>
      <c r="BD79" s="8"/>
      <c r="BE79" s="8"/>
      <c r="BF79" s="8"/>
      <c r="BG79" s="8"/>
      <c r="BH79" s="8"/>
      <c r="BM79" s="133"/>
      <c r="BN79" s="133"/>
      <c r="BO79" s="143"/>
      <c r="BP79" s="133"/>
      <c r="BQ79" s="143"/>
      <c r="BR79" s="133"/>
      <c r="BS79" s="143"/>
      <c r="BT79" s="133"/>
      <c r="BU79" s="147"/>
      <c r="BV79" s="147"/>
      <c r="BX79" s="147"/>
      <c r="BY79" s="147"/>
      <c r="CB79" s="476"/>
      <c r="CD79" s="3"/>
      <c r="CE79" s="3"/>
      <c r="CF79" s="157"/>
      <c r="CG79" s="157"/>
      <c r="CH79" s="157"/>
      <c r="CI79" s="158"/>
      <c r="CJ79" s="157"/>
      <c r="CK79" s="477"/>
      <c r="CL79" s="157"/>
      <c r="CM79" s="157"/>
      <c r="CN79" s="157"/>
      <c r="CO79" s="157"/>
      <c r="CP79" s="157"/>
      <c r="CQ79" s="157"/>
      <c r="CR79" s="157"/>
      <c r="CS79" s="157"/>
      <c r="CT79" s="66"/>
      <c r="CU79" s="66"/>
      <c r="CV79" s="3"/>
      <c r="CW79" s="60"/>
      <c r="CX79" s="3"/>
      <c r="CY79" s="3"/>
      <c r="CZ79" s="6"/>
      <c r="DA79" s="6"/>
      <c r="DB79" s="4"/>
      <c r="DC79" s="4"/>
      <c r="DD79" s="157"/>
      <c r="DE79" s="157"/>
      <c r="DF79" s="143"/>
      <c r="DG79" s="143"/>
      <c r="DH79" s="159"/>
      <c r="DI79" s="167"/>
      <c r="DJ79" s="157"/>
      <c r="DK79" s="157"/>
      <c r="DL79" s="147"/>
      <c r="DM79" s="133"/>
      <c r="DN79" s="159"/>
      <c r="DO79" s="167"/>
      <c r="DP79" s="157"/>
      <c r="DQ79" s="157"/>
      <c r="DR79" s="143"/>
      <c r="DS79" s="143"/>
      <c r="DT79" s="147"/>
      <c r="DU79" s="147"/>
      <c r="DV79" s="133"/>
      <c r="DW79" s="133"/>
      <c r="DX79" s="133"/>
      <c r="DY79" s="133"/>
      <c r="DZ79" s="133"/>
      <c r="EA79" s="133"/>
      <c r="EB79" s="133"/>
      <c r="EC79" s="133"/>
      <c r="ED79" s="157"/>
      <c r="EE79" s="157"/>
      <c r="EF79" s="147"/>
      <c r="EG79" s="147"/>
      <c r="EH79" s="157"/>
      <c r="EI79" s="157"/>
      <c r="EJ79" s="147"/>
      <c r="EK79" s="147"/>
      <c r="EL79" s="147"/>
      <c r="EM79" s="143"/>
      <c r="EN79" s="147"/>
      <c r="EO79" s="147"/>
      <c r="EP79" s="501"/>
      <c r="EQ79" s="143"/>
      <c r="ER79" s="143"/>
      <c r="ES79" s="147"/>
      <c r="ET79" s="147"/>
      <c r="EU79" s="143"/>
      <c r="EV79" s="143"/>
      <c r="EW79" s="157"/>
      <c r="EX79" s="157"/>
      <c r="EY79" s="157"/>
      <c r="EZ79" s="157"/>
    </row>
    <row r="80" spans="2:408">
      <c r="D80" s="66"/>
      <c r="J80" s="327"/>
      <c r="Q80" s="6"/>
      <c r="R80" s="6"/>
      <c r="S80" s="6"/>
      <c r="T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133"/>
      <c r="AJ80" s="133"/>
      <c r="AK80" s="133"/>
      <c r="AL80" s="133"/>
      <c r="AM80" s="133"/>
      <c r="AN80" s="133"/>
      <c r="AO80" s="133"/>
      <c r="AP80" s="133"/>
      <c r="AQ80" s="133"/>
      <c r="AR80" s="133"/>
      <c r="AU80" s="133"/>
      <c r="AV80" s="133"/>
      <c r="AW80" s="133"/>
      <c r="AX80" s="133"/>
      <c r="AY80" s="133"/>
      <c r="AZ80" s="133"/>
      <c r="BA80" s="133"/>
      <c r="BB80" s="133"/>
      <c r="BC80" s="6"/>
      <c r="BD80" s="8"/>
      <c r="BE80" s="8"/>
      <c r="BF80" s="8"/>
      <c r="BG80" s="8"/>
      <c r="BH80" s="8"/>
      <c r="BM80" s="133"/>
      <c r="BN80" s="133"/>
      <c r="BO80" s="143"/>
      <c r="BP80" s="133"/>
      <c r="BQ80" s="143"/>
      <c r="BR80" s="133"/>
      <c r="BS80" s="143"/>
      <c r="BT80" s="133"/>
      <c r="BU80" s="147"/>
      <c r="BV80" s="147"/>
      <c r="BX80" s="147"/>
      <c r="BY80" s="147"/>
      <c r="CB80" s="476"/>
      <c r="CD80" s="3"/>
      <c r="CE80" s="3"/>
      <c r="CF80" s="157"/>
      <c r="CG80" s="157"/>
      <c r="CH80" s="157"/>
      <c r="CI80" s="158"/>
      <c r="CJ80" s="157"/>
      <c r="CK80" s="477"/>
      <c r="CL80" s="157"/>
      <c r="CM80" s="157"/>
      <c r="CN80" s="157"/>
      <c r="CO80" s="157"/>
      <c r="CP80" s="157"/>
      <c r="CQ80" s="157"/>
      <c r="CR80" s="157"/>
      <c r="CS80" s="157"/>
      <c r="CT80" s="66"/>
      <c r="CU80" s="66"/>
      <c r="CV80" s="3"/>
      <c r="CW80" s="60"/>
      <c r="CX80" s="3"/>
      <c r="CY80" s="3"/>
      <c r="CZ80" s="6"/>
      <c r="DA80" s="6"/>
      <c r="DB80" s="4"/>
      <c r="DC80" s="4"/>
      <c r="DD80" s="157"/>
      <c r="DE80" s="157"/>
      <c r="DF80" s="143"/>
      <c r="DG80" s="143"/>
      <c r="DH80" s="159"/>
      <c r="DI80" s="167"/>
      <c r="DJ80" s="157"/>
      <c r="DK80" s="157"/>
      <c r="DL80" s="147"/>
      <c r="DM80" s="133"/>
      <c r="DN80" s="159"/>
      <c r="DO80" s="167"/>
      <c r="DP80" s="157"/>
      <c r="DQ80" s="157"/>
      <c r="DR80" s="143"/>
      <c r="DS80" s="143"/>
      <c r="DT80" s="147"/>
      <c r="DU80" s="147"/>
      <c r="DV80" s="133"/>
      <c r="DW80" s="133"/>
      <c r="DX80" s="133"/>
      <c r="DY80" s="133"/>
      <c r="DZ80" s="133"/>
      <c r="EA80" s="133"/>
      <c r="EB80" s="133"/>
      <c r="EC80" s="133"/>
      <c r="ED80" s="157"/>
      <c r="EE80" s="157"/>
      <c r="EF80" s="147"/>
      <c r="EG80" s="147"/>
      <c r="EH80" s="157"/>
      <c r="EI80" s="157"/>
      <c r="EJ80" s="147"/>
      <c r="EK80" s="147"/>
      <c r="EL80" s="147"/>
      <c r="EM80" s="143"/>
      <c r="EN80" s="147"/>
      <c r="EO80" s="147"/>
      <c r="EP80" s="501"/>
      <c r="EQ80" s="143"/>
      <c r="ER80" s="143"/>
      <c r="ES80" s="147"/>
      <c r="ET80" s="147"/>
      <c r="EU80" s="143"/>
      <c r="EV80" s="143"/>
      <c r="EW80" s="157"/>
      <c r="EX80" s="157"/>
      <c r="EY80" s="157"/>
      <c r="EZ80" s="157"/>
    </row>
    <row r="81" spans="4:372">
      <c r="D81" s="66"/>
      <c r="J81" s="327"/>
      <c r="Q81" s="6"/>
      <c r="R81" s="6"/>
      <c r="S81" s="6"/>
      <c r="T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133"/>
      <c r="AJ81" s="133"/>
      <c r="AK81" s="133"/>
      <c r="AL81" s="133"/>
      <c r="AM81" s="133"/>
      <c r="AN81" s="133"/>
      <c r="AO81" s="133"/>
      <c r="AP81" s="133"/>
      <c r="AQ81" s="133"/>
      <c r="AR81" s="133"/>
      <c r="AU81" s="133"/>
      <c r="AV81" s="133"/>
      <c r="AW81" s="133"/>
      <c r="AX81" s="133"/>
      <c r="AY81" s="133"/>
      <c r="AZ81" s="133"/>
      <c r="BA81" s="133"/>
      <c r="BB81" s="133"/>
      <c r="BC81" s="6"/>
      <c r="BD81" s="8"/>
      <c r="BE81" s="8"/>
      <c r="BF81" s="8"/>
      <c r="BG81" s="8"/>
      <c r="BH81" s="8"/>
      <c r="BM81" s="133"/>
      <c r="BN81" s="133"/>
      <c r="BO81" s="143"/>
      <c r="BP81" s="133"/>
      <c r="BQ81" s="143"/>
      <c r="BR81" s="133"/>
      <c r="BS81" s="143"/>
      <c r="BT81" s="133"/>
      <c r="BU81" s="147"/>
      <c r="BV81" s="147"/>
      <c r="BX81" s="147"/>
      <c r="BY81" s="147"/>
      <c r="CB81" s="476"/>
      <c r="CD81" s="3"/>
      <c r="CE81" s="3"/>
      <c r="CF81" s="157"/>
      <c r="CG81" s="157"/>
      <c r="CH81" s="157"/>
      <c r="CI81" s="158"/>
      <c r="CJ81" s="157"/>
      <c r="CK81" s="477"/>
      <c r="CL81" s="157"/>
      <c r="CM81" s="157"/>
      <c r="CN81" s="157"/>
      <c r="CO81" s="157"/>
      <c r="CP81" s="157"/>
      <c r="CQ81" s="157"/>
      <c r="CR81" s="157"/>
      <c r="CS81" s="157"/>
      <c r="CT81" s="66"/>
      <c r="CU81" s="66"/>
      <c r="CV81" s="3"/>
      <c r="CW81" s="60"/>
      <c r="CX81" s="3"/>
      <c r="CY81" s="3"/>
      <c r="CZ81" s="6"/>
      <c r="DA81" s="6"/>
      <c r="DB81" s="4"/>
      <c r="DC81" s="4"/>
      <c r="DD81" s="157"/>
      <c r="DE81" s="157"/>
      <c r="DF81" s="143"/>
      <c r="DG81" s="143"/>
      <c r="DH81" s="159"/>
      <c r="DI81" s="167"/>
      <c r="DJ81" s="157"/>
      <c r="DK81" s="157"/>
      <c r="DL81" s="147"/>
      <c r="DM81" s="133"/>
      <c r="DN81" s="159"/>
      <c r="DO81" s="167"/>
      <c r="DP81" s="157"/>
      <c r="DQ81" s="157"/>
      <c r="DR81" s="143"/>
      <c r="DS81" s="143"/>
      <c r="DT81" s="147"/>
      <c r="DU81" s="147"/>
      <c r="DV81" s="133"/>
      <c r="DW81" s="133"/>
      <c r="DX81" s="133"/>
      <c r="DY81" s="133"/>
      <c r="DZ81" s="133"/>
      <c r="EA81" s="133"/>
      <c r="EB81" s="133"/>
      <c r="EC81" s="133"/>
      <c r="ED81" s="157"/>
      <c r="EE81" s="157"/>
      <c r="EF81" s="147"/>
      <c r="EG81" s="147"/>
      <c r="EH81" s="157"/>
      <c r="EI81" s="157"/>
      <c r="EJ81" s="147"/>
      <c r="EK81" s="147"/>
      <c r="EL81" s="147"/>
      <c r="EM81" s="143"/>
      <c r="EN81" s="147"/>
      <c r="EO81" s="147"/>
      <c r="EP81" s="501"/>
      <c r="EQ81" s="143"/>
      <c r="ER81" s="143"/>
      <c r="ES81" s="147"/>
      <c r="ET81" s="147"/>
      <c r="EU81" s="143"/>
      <c r="EV81" s="143"/>
      <c r="EW81" s="157"/>
      <c r="EX81" s="157"/>
      <c r="EY81" s="157"/>
      <c r="EZ81" s="157"/>
    </row>
    <row r="82" spans="4:372">
      <c r="D82" s="66"/>
      <c r="J82" s="327"/>
      <c r="Q82" s="6"/>
      <c r="R82" s="6"/>
      <c r="S82" s="6"/>
      <c r="T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133"/>
      <c r="AJ82" s="133"/>
      <c r="AK82" s="133"/>
      <c r="AL82" s="133"/>
      <c r="AM82" s="133"/>
      <c r="AN82" s="133"/>
      <c r="AO82" s="133"/>
      <c r="AP82" s="133"/>
      <c r="AQ82" s="133"/>
      <c r="AR82" s="133"/>
      <c r="AU82" s="133"/>
      <c r="AV82" s="133"/>
      <c r="AW82" s="133"/>
      <c r="AX82" s="133"/>
      <c r="AY82" s="133"/>
      <c r="AZ82" s="133"/>
      <c r="BA82" s="133"/>
      <c r="BB82" s="133"/>
      <c r="BC82" s="6"/>
      <c r="BD82" s="8"/>
      <c r="BE82" s="8"/>
      <c r="BF82" s="8"/>
      <c r="BG82" s="8"/>
      <c r="BH82" s="8"/>
      <c r="BM82" s="133"/>
      <c r="BN82" s="133"/>
      <c r="BO82" s="143"/>
      <c r="BP82" s="133"/>
      <c r="BQ82" s="143"/>
      <c r="BR82" s="133"/>
      <c r="BS82" s="143"/>
      <c r="BT82" s="133"/>
      <c r="BU82" s="147"/>
      <c r="BV82" s="147"/>
      <c r="BX82" s="147"/>
      <c r="BY82" s="147"/>
      <c r="CB82" s="476"/>
      <c r="CD82" s="3"/>
      <c r="CE82" s="3"/>
      <c r="CF82" s="157"/>
      <c r="CG82" s="157"/>
      <c r="CH82" s="157"/>
      <c r="CI82" s="158"/>
      <c r="CJ82" s="157"/>
      <c r="CK82" s="477"/>
      <c r="CL82" s="157"/>
      <c r="CM82" s="157"/>
      <c r="CN82" s="157"/>
      <c r="CO82" s="157"/>
      <c r="CP82" s="157"/>
      <c r="CQ82" s="157"/>
      <c r="CR82" s="157"/>
      <c r="CS82" s="157"/>
      <c r="CT82" s="66"/>
      <c r="CU82" s="66"/>
      <c r="CV82" s="3"/>
      <c r="CW82" s="60"/>
      <c r="CX82" s="3"/>
      <c r="CY82" s="3"/>
      <c r="CZ82" s="6"/>
      <c r="DA82" s="6"/>
      <c r="DB82" s="4"/>
      <c r="DC82" s="4"/>
      <c r="DD82" s="157"/>
      <c r="DE82" s="157"/>
      <c r="DF82" s="143"/>
      <c r="DG82" s="143"/>
      <c r="DH82" s="159"/>
      <c r="DI82" s="167"/>
      <c r="DJ82" s="157"/>
      <c r="DK82" s="157"/>
      <c r="DL82" s="147"/>
      <c r="DM82" s="133"/>
      <c r="DN82" s="159"/>
      <c r="DO82" s="167"/>
      <c r="DP82" s="157"/>
      <c r="DQ82" s="157"/>
      <c r="DR82" s="143"/>
      <c r="DS82" s="143"/>
      <c r="DT82" s="147"/>
      <c r="DU82" s="147"/>
      <c r="DV82" s="133"/>
      <c r="DW82" s="133"/>
      <c r="DX82" s="133"/>
      <c r="DY82" s="133"/>
      <c r="DZ82" s="133"/>
      <c r="EA82" s="133"/>
      <c r="EB82" s="133"/>
      <c r="EC82" s="133"/>
      <c r="ED82" s="157"/>
      <c r="EE82" s="157"/>
      <c r="EF82" s="147"/>
      <c r="EG82" s="147"/>
      <c r="EH82" s="157"/>
      <c r="EI82" s="157"/>
      <c r="EJ82" s="147"/>
      <c r="EK82" s="147"/>
      <c r="EL82" s="147"/>
      <c r="EM82" s="143"/>
      <c r="EN82" s="147"/>
      <c r="EO82" s="147"/>
      <c r="EP82" s="501"/>
      <c r="EQ82" s="143"/>
      <c r="ER82" s="143"/>
      <c r="ES82" s="147"/>
      <c r="ET82" s="147"/>
      <c r="EU82" s="143"/>
      <c r="EV82" s="143"/>
      <c r="EW82" s="157"/>
      <c r="EX82" s="157"/>
      <c r="EY82" s="157"/>
      <c r="EZ82" s="157"/>
    </row>
    <row r="83" spans="4:372">
      <c r="D83" s="66"/>
      <c r="J83" s="327"/>
      <c r="Q83" s="6"/>
      <c r="R83" s="6"/>
      <c r="S83" s="6"/>
      <c r="T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133"/>
      <c r="AJ83" s="133"/>
      <c r="AK83" s="133"/>
      <c r="AL83" s="133"/>
      <c r="AM83" s="133"/>
      <c r="AN83" s="133"/>
      <c r="AO83" s="133"/>
      <c r="AP83" s="133"/>
      <c r="AQ83" s="133"/>
      <c r="AR83" s="133"/>
      <c r="AU83" s="133"/>
      <c r="AV83" s="133"/>
      <c r="AW83" s="133"/>
      <c r="AX83" s="133"/>
      <c r="AY83" s="133"/>
      <c r="AZ83" s="133"/>
      <c r="BA83" s="133"/>
      <c r="BB83" s="133"/>
      <c r="BC83" s="6"/>
      <c r="BD83" s="8"/>
      <c r="BE83" s="8"/>
      <c r="BF83" s="8"/>
      <c r="BG83" s="8"/>
      <c r="BH83" s="8"/>
      <c r="BM83" s="133"/>
      <c r="BN83" s="133"/>
      <c r="BO83" s="143"/>
      <c r="BP83" s="133"/>
      <c r="BQ83" s="143"/>
      <c r="BR83" s="133"/>
      <c r="BS83" s="143"/>
      <c r="BT83" s="133"/>
      <c r="BU83" s="147"/>
      <c r="BV83" s="147"/>
      <c r="BX83" s="147"/>
      <c r="BY83" s="147"/>
      <c r="CB83" s="476"/>
      <c r="CD83" s="3"/>
      <c r="CE83" s="3"/>
      <c r="CF83" s="157"/>
      <c r="CG83" s="157"/>
      <c r="CH83" s="157"/>
      <c r="CI83" s="158"/>
      <c r="CJ83" s="157"/>
      <c r="CK83" s="477"/>
      <c r="CL83" s="157"/>
      <c r="CM83" s="157"/>
      <c r="CN83" s="157"/>
      <c r="CO83" s="157"/>
      <c r="CP83" s="157"/>
      <c r="CQ83" s="157"/>
      <c r="CR83" s="157"/>
      <c r="CS83" s="157"/>
      <c r="CT83" s="66"/>
      <c r="CU83" s="66"/>
      <c r="CV83" s="3"/>
      <c r="CW83" s="60"/>
      <c r="CX83" s="3"/>
      <c r="CY83" s="3"/>
      <c r="CZ83" s="6"/>
      <c r="DA83" s="6"/>
      <c r="DB83" s="4"/>
      <c r="DC83" s="4"/>
      <c r="DD83" s="157"/>
      <c r="DE83" s="157"/>
      <c r="DF83" s="143"/>
      <c r="DG83" s="143"/>
      <c r="DH83" s="159"/>
      <c r="DI83" s="167"/>
      <c r="DJ83" s="157"/>
      <c r="DK83" s="157"/>
      <c r="DL83" s="147"/>
      <c r="DM83" s="133"/>
      <c r="DN83" s="159"/>
      <c r="DO83" s="167"/>
      <c r="DP83" s="157"/>
      <c r="DQ83" s="157"/>
      <c r="DR83" s="143"/>
      <c r="DS83" s="143"/>
      <c r="DT83" s="147"/>
      <c r="DU83" s="147"/>
      <c r="DV83" s="133"/>
      <c r="DW83" s="133"/>
      <c r="DX83" s="133"/>
      <c r="DY83" s="133"/>
      <c r="DZ83" s="133"/>
      <c r="EA83" s="133"/>
      <c r="EB83" s="133"/>
      <c r="EC83" s="133"/>
      <c r="ED83" s="157"/>
      <c r="EE83" s="157"/>
      <c r="EF83" s="147"/>
      <c r="EG83" s="147"/>
      <c r="EH83" s="157"/>
      <c r="EI83" s="157"/>
      <c r="EJ83" s="147"/>
      <c r="EK83" s="147"/>
      <c r="EL83" s="147"/>
      <c r="EM83" s="143"/>
      <c r="EN83" s="147"/>
      <c r="EO83" s="147"/>
      <c r="EP83" s="501"/>
      <c r="EQ83" s="143"/>
      <c r="ER83" s="143"/>
      <c r="ES83" s="147"/>
      <c r="ET83" s="147"/>
      <c r="EU83" s="143"/>
      <c r="EV83" s="143"/>
      <c r="EW83" s="157"/>
      <c r="EX83" s="157"/>
      <c r="EY83" s="157"/>
      <c r="EZ83" s="157"/>
    </row>
    <row r="84" spans="4:372">
      <c r="D84" s="66"/>
      <c r="J84" s="327"/>
      <c r="Q84" s="6"/>
      <c r="R84" s="6"/>
      <c r="S84" s="6"/>
      <c r="T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133"/>
      <c r="AJ84" s="133"/>
      <c r="AK84" s="133"/>
      <c r="AL84" s="133"/>
      <c r="AM84" s="133"/>
      <c r="AN84" s="133"/>
      <c r="AO84" s="133"/>
      <c r="AP84" s="133"/>
      <c r="AQ84" s="133"/>
      <c r="AR84" s="133"/>
      <c r="AU84" s="133"/>
      <c r="AV84" s="133"/>
      <c r="AW84" s="133"/>
      <c r="AX84" s="133"/>
      <c r="AY84" s="133"/>
      <c r="AZ84" s="133"/>
      <c r="BA84" s="133"/>
      <c r="BB84" s="133"/>
      <c r="BC84" s="6"/>
      <c r="BD84" s="8"/>
      <c r="BE84" s="8"/>
      <c r="BF84" s="8"/>
      <c r="BG84" s="8"/>
      <c r="BH84" s="8"/>
      <c r="BM84" s="133"/>
      <c r="BN84" s="133"/>
      <c r="BO84" s="143"/>
      <c r="BP84" s="133"/>
      <c r="BQ84" s="143"/>
      <c r="BR84" s="133"/>
      <c r="BS84" s="143"/>
      <c r="BT84" s="133"/>
      <c r="BU84" s="147"/>
      <c r="BV84" s="147"/>
      <c r="BX84" s="147"/>
      <c r="BY84" s="147"/>
      <c r="CB84" s="476"/>
      <c r="CD84" s="3"/>
      <c r="CE84" s="3"/>
      <c r="CF84" s="157"/>
      <c r="CG84" s="157"/>
      <c r="CH84" s="157"/>
      <c r="CI84" s="158"/>
      <c r="CJ84" s="157"/>
      <c r="CK84" s="477"/>
      <c r="CL84" s="157"/>
      <c r="CM84" s="157"/>
      <c r="CN84" s="157"/>
      <c r="CO84" s="157"/>
      <c r="CP84" s="157"/>
      <c r="CQ84" s="157"/>
      <c r="CR84" s="157"/>
      <c r="CS84" s="157"/>
      <c r="CT84" s="66"/>
      <c r="CU84" s="66"/>
      <c r="CV84" s="3"/>
      <c r="CW84" s="60"/>
      <c r="CX84" s="3"/>
      <c r="CY84" s="3"/>
      <c r="CZ84" s="6"/>
      <c r="DA84" s="6"/>
      <c r="DB84" s="4"/>
      <c r="DC84" s="4"/>
      <c r="DD84" s="157"/>
      <c r="DE84" s="157"/>
      <c r="DF84" s="143"/>
      <c r="DG84" s="143"/>
      <c r="DH84" s="159"/>
      <c r="DI84" s="167"/>
      <c r="DJ84" s="157"/>
      <c r="DK84" s="157"/>
      <c r="DL84" s="147"/>
      <c r="DM84" s="133"/>
      <c r="DN84" s="159"/>
      <c r="DO84" s="167"/>
      <c r="DP84" s="157"/>
      <c r="DQ84" s="157"/>
      <c r="DR84" s="143"/>
      <c r="DS84" s="143"/>
      <c r="DT84" s="147"/>
      <c r="DU84" s="147"/>
      <c r="DV84" s="133"/>
      <c r="DW84" s="133"/>
      <c r="DX84" s="133"/>
      <c r="DY84" s="133"/>
      <c r="DZ84" s="133"/>
      <c r="EA84" s="133"/>
      <c r="EB84" s="133"/>
      <c r="EC84" s="133"/>
      <c r="ED84" s="157"/>
      <c r="EE84" s="157"/>
      <c r="EF84" s="147"/>
      <c r="EG84" s="147"/>
      <c r="EH84" s="157"/>
      <c r="EI84" s="157"/>
      <c r="EJ84" s="147"/>
      <c r="EK84" s="147"/>
      <c r="EL84" s="147"/>
      <c r="EM84" s="143"/>
      <c r="EN84" s="147"/>
      <c r="EO84" s="147"/>
      <c r="EP84" s="501"/>
      <c r="EQ84" s="143"/>
      <c r="ER84" s="143"/>
      <c r="ES84" s="147"/>
      <c r="ET84" s="147"/>
      <c r="EU84" s="143"/>
      <c r="EV84" s="143"/>
      <c r="EW84" s="157"/>
      <c r="EX84" s="157"/>
      <c r="EY84" s="157"/>
      <c r="EZ84" s="157"/>
    </row>
    <row r="85" spans="4:372">
      <c r="D85" s="66"/>
      <c r="J85" s="327"/>
      <c r="Q85" s="6"/>
      <c r="R85" s="6"/>
      <c r="S85" s="6"/>
      <c r="T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133"/>
      <c r="AJ85" s="133"/>
      <c r="AK85" s="133"/>
      <c r="AL85" s="133"/>
      <c r="AM85" s="133"/>
      <c r="AN85" s="133"/>
      <c r="AO85" s="133"/>
      <c r="AP85" s="133"/>
      <c r="AQ85" s="133"/>
      <c r="AR85" s="133"/>
      <c r="AU85" s="133"/>
      <c r="AV85" s="133"/>
      <c r="AW85" s="133"/>
      <c r="AX85" s="133"/>
      <c r="AY85" s="133"/>
      <c r="AZ85" s="133"/>
      <c r="BA85" s="133"/>
      <c r="BB85" s="133"/>
      <c r="BC85" s="6"/>
      <c r="BD85" s="8"/>
      <c r="BE85" s="8"/>
      <c r="BF85" s="8"/>
      <c r="BG85" s="8"/>
      <c r="BH85" s="8"/>
      <c r="BM85" s="133"/>
      <c r="BN85" s="133"/>
      <c r="BO85" s="143"/>
      <c r="BP85" s="133"/>
      <c r="BQ85" s="143"/>
      <c r="BR85" s="133"/>
      <c r="BS85" s="143"/>
      <c r="BT85" s="133"/>
      <c r="BU85" s="147"/>
      <c r="BV85" s="147"/>
      <c r="BX85" s="147"/>
      <c r="BY85" s="147"/>
      <c r="CB85" s="476"/>
      <c r="CD85" s="3"/>
      <c r="CE85" s="3"/>
      <c r="CF85" s="157"/>
      <c r="CG85" s="157"/>
      <c r="CH85" s="157"/>
      <c r="CI85" s="158"/>
      <c r="CJ85" s="157"/>
      <c r="CK85" s="477"/>
      <c r="CL85" s="157"/>
      <c r="CM85" s="157"/>
      <c r="CN85" s="157"/>
      <c r="CO85" s="157"/>
      <c r="CP85" s="157"/>
      <c r="CQ85" s="157"/>
      <c r="CR85" s="157"/>
      <c r="CS85" s="157"/>
      <c r="CT85" s="66"/>
      <c r="CU85" s="66"/>
      <c r="CV85" s="3"/>
      <c r="CW85" s="60"/>
      <c r="CX85" s="3"/>
      <c r="CY85" s="3"/>
      <c r="CZ85" s="6"/>
      <c r="DA85" s="6"/>
      <c r="DB85" s="4"/>
      <c r="DC85" s="4"/>
      <c r="DD85" s="157"/>
      <c r="DE85" s="157"/>
      <c r="DF85" s="143"/>
      <c r="DG85" s="143"/>
      <c r="DH85" s="159"/>
      <c r="DI85" s="167"/>
      <c r="DJ85" s="157"/>
      <c r="DK85" s="157"/>
      <c r="DL85" s="147"/>
      <c r="DM85" s="133"/>
      <c r="DN85" s="159"/>
      <c r="DO85" s="167"/>
      <c r="DP85" s="157"/>
      <c r="DQ85" s="157"/>
      <c r="DR85" s="143"/>
      <c r="DS85" s="143"/>
      <c r="DT85" s="147"/>
      <c r="DU85" s="147"/>
      <c r="DV85" s="133"/>
      <c r="DW85" s="133"/>
      <c r="DX85" s="133"/>
      <c r="DY85" s="133"/>
      <c r="DZ85" s="133"/>
      <c r="EA85" s="133"/>
      <c r="EB85" s="133"/>
      <c r="EC85" s="133"/>
      <c r="ED85" s="157"/>
      <c r="EE85" s="157"/>
      <c r="EF85" s="147"/>
      <c r="EG85" s="147"/>
      <c r="EH85" s="157"/>
      <c r="EI85" s="157"/>
      <c r="EJ85" s="147"/>
      <c r="EK85" s="147"/>
      <c r="EL85" s="147"/>
      <c r="EM85" s="143"/>
      <c r="EN85" s="147"/>
      <c r="EO85" s="147"/>
      <c r="EP85" s="501"/>
      <c r="EQ85" s="143"/>
      <c r="ER85" s="143"/>
      <c r="ES85" s="147"/>
      <c r="ET85" s="147"/>
      <c r="EU85" s="143"/>
      <c r="EV85" s="143"/>
      <c r="EW85" s="157"/>
      <c r="EX85" s="157"/>
      <c r="EY85" s="157"/>
      <c r="EZ85" s="157"/>
    </row>
    <row r="86" spans="4:372">
      <c r="D86" s="66"/>
      <c r="J86" s="327"/>
      <c r="Q86" s="6"/>
      <c r="R86" s="6"/>
      <c r="S86" s="6"/>
      <c r="T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133"/>
      <c r="AJ86" s="133"/>
      <c r="AK86" s="133"/>
      <c r="AL86" s="133"/>
      <c r="AM86" s="133"/>
      <c r="AN86" s="133"/>
      <c r="AO86" s="133"/>
      <c r="AP86" s="133"/>
      <c r="AQ86" s="133"/>
      <c r="AR86" s="133"/>
      <c r="AU86" s="133"/>
      <c r="AV86" s="133"/>
      <c r="AW86" s="133"/>
      <c r="AX86" s="133"/>
      <c r="AY86" s="133"/>
      <c r="AZ86" s="133"/>
      <c r="BA86" s="133"/>
      <c r="BB86" s="133"/>
      <c r="BC86" s="6"/>
      <c r="BD86" s="8"/>
      <c r="BE86" s="8"/>
      <c r="BF86" s="8"/>
      <c r="BG86" s="8"/>
      <c r="BH86" s="8"/>
      <c r="BM86" s="133"/>
      <c r="BN86" s="133"/>
      <c r="BO86" s="143"/>
      <c r="BP86" s="133"/>
      <c r="BQ86" s="143"/>
      <c r="BR86" s="133"/>
      <c r="BS86" s="143"/>
      <c r="BT86" s="133"/>
      <c r="BU86" s="147"/>
      <c r="BV86" s="147"/>
      <c r="BX86" s="147"/>
      <c r="BY86" s="147"/>
      <c r="CB86" s="476"/>
      <c r="CD86" s="3"/>
      <c r="CE86" s="3"/>
      <c r="CF86" s="157"/>
      <c r="CG86" s="157"/>
      <c r="CH86" s="157"/>
      <c r="CI86" s="158"/>
      <c r="CJ86" s="157"/>
      <c r="CK86" s="477"/>
      <c r="CL86" s="157"/>
      <c r="CM86" s="157"/>
      <c r="CN86" s="157"/>
      <c r="CO86" s="157"/>
      <c r="CP86" s="157"/>
      <c r="CQ86" s="157"/>
      <c r="CR86" s="157"/>
      <c r="CS86" s="157"/>
      <c r="CT86" s="66"/>
      <c r="CU86" s="66"/>
      <c r="CV86" s="3"/>
      <c r="CW86" s="60"/>
      <c r="CX86" s="3"/>
      <c r="CY86" s="3"/>
      <c r="CZ86" s="6"/>
      <c r="DA86" s="6"/>
      <c r="DB86" s="4"/>
      <c r="DC86" s="4"/>
      <c r="DD86" s="157"/>
      <c r="DE86" s="157"/>
      <c r="DF86" s="143"/>
      <c r="DG86" s="143"/>
      <c r="DH86" s="159"/>
      <c r="DI86" s="167"/>
      <c r="DJ86" s="157"/>
      <c r="DK86" s="157"/>
      <c r="DL86" s="147"/>
      <c r="DM86" s="133"/>
      <c r="DN86" s="159"/>
      <c r="DO86" s="167"/>
      <c r="DP86" s="157"/>
      <c r="DQ86" s="157"/>
      <c r="DR86" s="143"/>
      <c r="DS86" s="143"/>
      <c r="DT86" s="147"/>
      <c r="DU86" s="147"/>
      <c r="DV86" s="133"/>
      <c r="DW86" s="133"/>
      <c r="DX86" s="133"/>
      <c r="DY86" s="133"/>
      <c r="DZ86" s="133"/>
      <c r="EA86" s="133"/>
      <c r="EB86" s="133"/>
      <c r="EC86" s="133"/>
      <c r="ED86" s="157"/>
      <c r="EE86" s="157"/>
      <c r="EF86" s="147"/>
      <c r="EG86" s="147"/>
      <c r="EH86" s="157"/>
      <c r="EI86" s="157"/>
      <c r="EJ86" s="147"/>
      <c r="EK86" s="147"/>
      <c r="EL86" s="147"/>
      <c r="EM86" s="143"/>
      <c r="EN86" s="147"/>
      <c r="EO86" s="147"/>
      <c r="EP86" s="501"/>
      <c r="EQ86" s="143"/>
      <c r="ER86" s="143"/>
      <c r="ES86" s="147"/>
      <c r="ET86" s="147"/>
      <c r="EU86" s="143"/>
      <c r="EV86" s="143"/>
      <c r="EW86" s="157"/>
      <c r="EX86" s="157"/>
      <c r="EY86" s="157"/>
      <c r="EZ86" s="157"/>
    </row>
    <row r="87" spans="4:372">
      <c r="D87" s="66"/>
      <c r="J87" s="327"/>
      <c r="Q87" s="6"/>
      <c r="R87" s="6"/>
      <c r="S87" s="6"/>
      <c r="T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133"/>
      <c r="AJ87" s="133"/>
      <c r="AK87" s="133"/>
      <c r="AL87" s="133"/>
      <c r="AM87" s="133"/>
      <c r="AN87" s="133"/>
      <c r="AO87" s="133"/>
      <c r="AP87" s="133"/>
      <c r="AQ87" s="133"/>
      <c r="AR87" s="133"/>
      <c r="AU87" s="133"/>
      <c r="AV87" s="133"/>
      <c r="AW87" s="133"/>
      <c r="AX87" s="133"/>
      <c r="AY87" s="133"/>
      <c r="AZ87" s="133"/>
      <c r="BA87" s="133"/>
      <c r="BB87" s="133"/>
      <c r="BC87" s="6"/>
      <c r="BD87" s="8"/>
      <c r="BE87" s="8"/>
      <c r="BF87" s="8"/>
      <c r="BG87" s="8"/>
      <c r="BH87" s="8"/>
      <c r="BM87" s="133"/>
      <c r="BN87" s="133"/>
      <c r="BO87" s="143"/>
      <c r="BP87" s="133"/>
      <c r="BQ87" s="143"/>
      <c r="BR87" s="133"/>
      <c r="BS87" s="143"/>
      <c r="BT87" s="133"/>
      <c r="BU87" s="147"/>
      <c r="BV87" s="147"/>
      <c r="BX87" s="147"/>
      <c r="BY87" s="147"/>
      <c r="CB87" s="476"/>
      <c r="CD87" s="3"/>
      <c r="CE87" s="3"/>
      <c r="CF87" s="157"/>
      <c r="CG87" s="157"/>
      <c r="CH87" s="157"/>
      <c r="CI87" s="158"/>
      <c r="CJ87" s="157"/>
      <c r="CK87" s="477"/>
      <c r="CL87" s="157"/>
      <c r="CM87" s="157"/>
      <c r="CN87" s="157"/>
      <c r="CO87" s="157"/>
      <c r="CP87" s="157"/>
      <c r="CQ87" s="157"/>
      <c r="CR87" s="157"/>
      <c r="CS87" s="157"/>
      <c r="CT87" s="66"/>
      <c r="CU87" s="66"/>
      <c r="CV87" s="3"/>
      <c r="CW87" s="60"/>
      <c r="CX87" s="3"/>
      <c r="CY87" s="3"/>
      <c r="CZ87" s="6"/>
      <c r="DA87" s="6"/>
      <c r="DB87" s="4"/>
      <c r="DC87" s="4"/>
      <c r="DD87" s="157"/>
      <c r="DE87" s="157"/>
      <c r="DF87" s="143"/>
      <c r="DG87" s="143"/>
      <c r="DH87" s="159"/>
      <c r="DI87" s="167"/>
      <c r="DJ87" s="157"/>
      <c r="DK87" s="157"/>
      <c r="DL87" s="147"/>
      <c r="DM87" s="133"/>
      <c r="DN87" s="159"/>
      <c r="DO87" s="167"/>
      <c r="DP87" s="157"/>
      <c r="DQ87" s="157"/>
      <c r="DR87" s="143"/>
      <c r="DS87" s="143"/>
      <c r="DT87" s="147"/>
      <c r="DU87" s="147"/>
      <c r="DV87" s="133"/>
      <c r="DW87" s="133"/>
      <c r="DX87" s="133"/>
      <c r="DY87" s="133"/>
      <c r="DZ87" s="133"/>
      <c r="EA87" s="133"/>
      <c r="EB87" s="133"/>
      <c r="EC87" s="133"/>
      <c r="ED87" s="157"/>
      <c r="EE87" s="157"/>
      <c r="EF87" s="147"/>
      <c r="EG87" s="147"/>
      <c r="EH87" s="157"/>
      <c r="EI87" s="157"/>
      <c r="EJ87" s="147"/>
      <c r="EK87" s="147"/>
      <c r="EL87" s="147"/>
      <c r="EM87" s="143"/>
      <c r="EN87" s="147"/>
      <c r="EO87" s="147"/>
      <c r="EP87" s="501"/>
      <c r="EQ87" s="143"/>
      <c r="ER87" s="143"/>
      <c r="ES87" s="147"/>
      <c r="ET87" s="147"/>
      <c r="EU87" s="143"/>
      <c r="EV87" s="143"/>
      <c r="EW87" s="157"/>
      <c r="EX87" s="157"/>
      <c r="EY87" s="157"/>
      <c r="EZ87" s="157"/>
    </row>
    <row r="88" spans="4:372">
      <c r="D88" s="66"/>
      <c r="J88" s="327"/>
      <c r="Q88" s="6"/>
      <c r="R88" s="6"/>
      <c r="S88" s="6"/>
      <c r="T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133"/>
      <c r="AJ88" s="133"/>
      <c r="AK88" s="133"/>
      <c r="AL88" s="133"/>
      <c r="AM88" s="133"/>
      <c r="AN88" s="133"/>
      <c r="AO88" s="133"/>
      <c r="AP88" s="133"/>
      <c r="AQ88" s="133"/>
      <c r="AR88" s="133"/>
      <c r="AU88" s="133"/>
      <c r="AV88" s="133"/>
      <c r="AW88" s="133"/>
      <c r="AX88" s="133"/>
      <c r="AY88" s="133"/>
      <c r="AZ88" s="133"/>
      <c r="BA88" s="133"/>
      <c r="BB88" s="133"/>
      <c r="BC88" s="6"/>
      <c r="BD88" s="8"/>
      <c r="BE88" s="8"/>
      <c r="BF88" s="8"/>
      <c r="BG88" s="8"/>
      <c r="BH88" s="8"/>
      <c r="BM88" s="133"/>
      <c r="BN88" s="133"/>
      <c r="BO88" s="143"/>
      <c r="BP88" s="133"/>
      <c r="BQ88" s="143"/>
      <c r="BR88" s="133"/>
      <c r="BS88" s="143"/>
      <c r="BT88" s="133"/>
      <c r="BU88" s="147"/>
      <c r="BV88" s="147"/>
      <c r="BX88" s="147"/>
      <c r="BY88" s="147"/>
      <c r="CB88" s="476"/>
      <c r="CD88" s="3"/>
      <c r="CE88" s="3"/>
      <c r="CF88" s="157"/>
      <c r="CG88" s="157"/>
      <c r="CH88" s="157"/>
      <c r="CI88" s="158"/>
      <c r="CJ88" s="157"/>
      <c r="CK88" s="477"/>
      <c r="CL88" s="157"/>
      <c r="CM88" s="157"/>
      <c r="CN88" s="157"/>
      <c r="CO88" s="157"/>
      <c r="CP88" s="157"/>
      <c r="CQ88" s="157"/>
      <c r="CR88" s="157"/>
      <c r="CS88" s="157"/>
      <c r="CT88" s="66"/>
      <c r="CU88" s="66"/>
      <c r="CV88" s="3"/>
      <c r="CW88" s="60"/>
      <c r="CX88" s="3"/>
      <c r="CY88" s="3"/>
      <c r="CZ88" s="6"/>
      <c r="DA88" s="6"/>
      <c r="DB88" s="4"/>
      <c r="DC88" s="4"/>
      <c r="DD88" s="157"/>
      <c r="DE88" s="157"/>
      <c r="DF88" s="143"/>
      <c r="DG88" s="143"/>
      <c r="DH88" s="159"/>
      <c r="DI88" s="167"/>
      <c r="DJ88" s="157"/>
      <c r="DK88" s="157"/>
      <c r="DL88" s="147"/>
      <c r="DM88" s="133"/>
      <c r="DN88" s="159"/>
      <c r="DO88" s="167"/>
      <c r="DP88" s="157"/>
      <c r="DQ88" s="157"/>
      <c r="DR88" s="143"/>
      <c r="DS88" s="143"/>
      <c r="DT88" s="147"/>
      <c r="DU88" s="147"/>
      <c r="DV88" s="133"/>
      <c r="DW88" s="133"/>
      <c r="DX88" s="133"/>
      <c r="DY88" s="133"/>
      <c r="DZ88" s="133"/>
      <c r="EA88" s="133"/>
      <c r="EB88" s="133"/>
      <c r="EC88" s="133"/>
      <c r="ED88" s="157"/>
      <c r="EE88" s="157"/>
      <c r="EF88" s="147"/>
      <c r="EG88" s="147"/>
      <c r="EH88" s="157"/>
      <c r="EI88" s="157"/>
      <c r="EJ88" s="147"/>
      <c r="EK88" s="147"/>
      <c r="EL88" s="147"/>
      <c r="EM88" s="143"/>
      <c r="EN88" s="147"/>
      <c r="EO88" s="147"/>
      <c r="EP88" s="501"/>
      <c r="EQ88" s="143"/>
      <c r="ER88" s="143"/>
      <c r="ES88" s="147"/>
      <c r="ET88" s="147"/>
      <c r="EU88" s="143"/>
      <c r="EV88" s="143"/>
      <c r="EW88" s="157"/>
      <c r="EX88" s="157"/>
      <c r="EY88" s="157"/>
      <c r="EZ88" s="157"/>
    </row>
    <row r="89" spans="4:372">
      <c r="D89" s="66"/>
      <c r="J89" s="327"/>
      <c r="Q89" s="6"/>
      <c r="R89" s="6"/>
      <c r="S89" s="6"/>
      <c r="T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133"/>
      <c r="AJ89" s="133"/>
      <c r="AK89" s="133"/>
      <c r="AL89" s="133"/>
      <c r="AM89" s="133"/>
      <c r="AN89" s="133"/>
      <c r="AO89" s="133"/>
      <c r="AP89" s="133"/>
      <c r="AQ89" s="133"/>
      <c r="AR89" s="133"/>
      <c r="AU89" s="133"/>
      <c r="AV89" s="133"/>
      <c r="AW89" s="133"/>
      <c r="AX89" s="133"/>
      <c r="AY89" s="133"/>
      <c r="AZ89" s="133"/>
      <c r="BA89" s="133"/>
      <c r="BB89" s="133"/>
      <c r="BC89" s="6"/>
      <c r="BD89" s="8"/>
      <c r="BE89" s="8"/>
      <c r="BF89" s="8"/>
      <c r="BG89" s="8"/>
      <c r="BH89" s="8"/>
      <c r="BM89" s="133"/>
      <c r="BN89" s="133"/>
      <c r="BO89" s="143"/>
      <c r="BP89" s="133"/>
      <c r="BQ89" s="143"/>
      <c r="BR89" s="133"/>
      <c r="BS89" s="143"/>
      <c r="BT89" s="133"/>
      <c r="BU89" s="147"/>
      <c r="BV89" s="147"/>
      <c r="BX89" s="147"/>
      <c r="BY89" s="147"/>
      <c r="CB89" s="476"/>
      <c r="CD89" s="3"/>
      <c r="CE89" s="3"/>
      <c r="CF89" s="157"/>
      <c r="CG89" s="157"/>
      <c r="CH89" s="157"/>
      <c r="CI89" s="158"/>
      <c r="CJ89" s="157"/>
      <c r="CK89" s="477"/>
      <c r="CL89" s="157"/>
      <c r="CM89" s="157"/>
      <c r="CN89" s="157"/>
      <c r="CO89" s="157"/>
      <c r="CP89" s="157"/>
      <c r="CQ89" s="157"/>
      <c r="CR89" s="157"/>
      <c r="CS89" s="157"/>
      <c r="CT89" s="66"/>
      <c r="CU89" s="66"/>
      <c r="CV89" s="3"/>
      <c r="CW89" s="60"/>
      <c r="CX89" s="3"/>
      <c r="CY89" s="3"/>
      <c r="CZ89" s="6"/>
      <c r="DA89" s="6"/>
      <c r="DB89" s="4"/>
      <c r="DC89" s="4"/>
      <c r="DD89" s="157"/>
      <c r="DE89" s="157"/>
      <c r="DF89" s="143"/>
      <c r="DG89" s="143"/>
      <c r="DH89" s="159"/>
      <c r="DI89" s="167"/>
      <c r="DJ89" s="157"/>
      <c r="DK89" s="157"/>
      <c r="DL89" s="147"/>
      <c r="DM89" s="133"/>
      <c r="DN89" s="159"/>
      <c r="DO89" s="167"/>
      <c r="DP89" s="157"/>
      <c r="DQ89" s="157"/>
      <c r="DR89" s="143"/>
      <c r="DS89" s="143"/>
      <c r="DT89" s="147"/>
      <c r="DU89" s="147"/>
      <c r="DV89" s="133"/>
      <c r="DW89" s="133"/>
      <c r="DX89" s="133"/>
      <c r="DY89" s="133"/>
      <c r="DZ89" s="133"/>
      <c r="EA89" s="133"/>
      <c r="EB89" s="133"/>
      <c r="EC89" s="133"/>
      <c r="ED89" s="157"/>
      <c r="EE89" s="157"/>
      <c r="EF89" s="147"/>
      <c r="EG89" s="147"/>
      <c r="EH89" s="157"/>
      <c r="EI89" s="157"/>
      <c r="EJ89" s="147"/>
      <c r="EK89" s="147"/>
      <c r="EL89" s="147"/>
      <c r="EM89" s="143"/>
      <c r="EN89" s="147"/>
      <c r="EO89" s="147"/>
      <c r="EP89" s="501"/>
      <c r="EQ89" s="143"/>
      <c r="ER89" s="143"/>
      <c r="ES89" s="147"/>
      <c r="ET89" s="147"/>
      <c r="EU89" s="143"/>
      <c r="EV89" s="143"/>
      <c r="EW89" s="157"/>
      <c r="EX89" s="157"/>
      <c r="EY89" s="157"/>
      <c r="EZ89" s="157"/>
    </row>
    <row r="90" spans="4:372">
      <c r="D90" s="66"/>
      <c r="J90" s="327"/>
      <c r="Q90" s="6"/>
      <c r="R90" s="6"/>
      <c r="S90" s="6"/>
      <c r="T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133"/>
      <c r="AJ90" s="133"/>
      <c r="AK90" s="133"/>
      <c r="AL90" s="133"/>
      <c r="AM90" s="133"/>
      <c r="AN90" s="133"/>
      <c r="AO90" s="133"/>
      <c r="AP90" s="133"/>
      <c r="AQ90" s="133"/>
      <c r="AR90" s="133"/>
      <c r="AU90" s="133"/>
      <c r="AV90" s="133"/>
      <c r="AW90" s="133"/>
      <c r="AX90" s="133"/>
      <c r="AY90" s="133"/>
      <c r="AZ90" s="133"/>
      <c r="BA90" s="133"/>
      <c r="BB90" s="133"/>
      <c r="BC90" s="6"/>
      <c r="BD90" s="8"/>
      <c r="BE90" s="8"/>
      <c r="BF90" s="8"/>
      <c r="BG90" s="8"/>
      <c r="BH90" s="8"/>
      <c r="BM90" s="133"/>
      <c r="BN90" s="133"/>
      <c r="BO90" s="143"/>
      <c r="BP90" s="133"/>
      <c r="BQ90" s="143"/>
      <c r="BR90" s="133"/>
      <c r="BS90" s="143"/>
      <c r="BT90" s="133"/>
      <c r="BU90" s="147"/>
      <c r="BV90" s="147"/>
      <c r="BX90" s="147"/>
      <c r="BY90" s="147"/>
      <c r="CB90" s="476"/>
      <c r="CD90" s="3"/>
      <c r="CE90" s="3"/>
      <c r="CF90" s="157"/>
      <c r="CG90" s="157"/>
      <c r="CH90" s="157"/>
      <c r="CI90" s="158"/>
      <c r="CJ90" s="157"/>
      <c r="CK90" s="477"/>
      <c r="CL90" s="157"/>
      <c r="CM90" s="157"/>
      <c r="CN90" s="157"/>
      <c r="CO90" s="157"/>
      <c r="CP90" s="157"/>
      <c r="CQ90" s="157"/>
      <c r="CR90" s="157"/>
      <c r="CS90" s="157"/>
      <c r="CT90" s="66"/>
      <c r="CU90" s="66"/>
      <c r="CV90" s="3"/>
      <c r="CW90" s="60"/>
      <c r="CX90" s="3"/>
      <c r="CY90" s="3"/>
      <c r="CZ90" s="6"/>
      <c r="DA90" s="6"/>
      <c r="DB90" s="4"/>
      <c r="DC90" s="4"/>
      <c r="DD90" s="157"/>
      <c r="DE90" s="157"/>
      <c r="DF90" s="143"/>
      <c r="DG90" s="143"/>
      <c r="DH90" s="159"/>
      <c r="DI90" s="167"/>
      <c r="DJ90" s="157"/>
      <c r="DK90" s="157"/>
      <c r="DL90" s="147"/>
      <c r="DM90" s="133"/>
      <c r="DN90" s="159"/>
      <c r="DO90" s="167"/>
      <c r="DP90" s="157"/>
      <c r="DQ90" s="157"/>
      <c r="DR90" s="143"/>
      <c r="DS90" s="143"/>
      <c r="DT90" s="147"/>
      <c r="DU90" s="147"/>
      <c r="DV90" s="133"/>
      <c r="DW90" s="133"/>
      <c r="DX90" s="133"/>
      <c r="DY90" s="133"/>
      <c r="DZ90" s="133"/>
      <c r="EA90" s="133"/>
      <c r="EB90" s="133"/>
      <c r="EC90" s="133"/>
      <c r="ED90" s="157"/>
      <c r="EE90" s="157"/>
      <c r="EF90" s="147"/>
      <c r="EG90" s="147"/>
      <c r="EH90" s="157"/>
      <c r="EI90" s="157"/>
      <c r="EJ90" s="147"/>
      <c r="EK90" s="147"/>
      <c r="EL90" s="147"/>
      <c r="EM90" s="143"/>
      <c r="EN90" s="147"/>
      <c r="EO90" s="147"/>
      <c r="EP90" s="501"/>
      <c r="EQ90" s="143"/>
      <c r="ER90" s="143"/>
      <c r="ES90" s="147"/>
      <c r="ET90" s="147"/>
      <c r="EU90" s="143"/>
      <c r="EV90" s="143"/>
      <c r="EW90" s="157"/>
      <c r="EX90" s="157"/>
      <c r="EY90" s="157"/>
      <c r="EZ90" s="157"/>
    </row>
    <row r="91" spans="4:372">
      <c r="D91" s="66"/>
      <c r="J91" s="327"/>
      <c r="Q91" s="6"/>
      <c r="R91" s="6"/>
      <c r="S91" s="6"/>
      <c r="T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133"/>
      <c r="AJ91" s="133"/>
      <c r="AK91" s="133"/>
      <c r="AL91" s="133"/>
      <c r="AM91" s="133"/>
      <c r="AN91" s="133"/>
      <c r="AO91" s="133"/>
      <c r="AP91" s="133"/>
      <c r="AQ91" s="133"/>
      <c r="AR91" s="133"/>
      <c r="AU91" s="133"/>
      <c r="AV91" s="133"/>
      <c r="AW91" s="133"/>
      <c r="AX91" s="133"/>
      <c r="AY91" s="133"/>
      <c r="AZ91" s="133"/>
      <c r="BA91" s="133"/>
      <c r="BB91" s="133"/>
      <c r="BC91" s="6"/>
      <c r="BD91" s="8"/>
      <c r="BE91" s="8"/>
      <c r="BF91" s="8"/>
      <c r="BG91" s="8"/>
      <c r="BH91" s="8"/>
      <c r="BM91" s="133"/>
      <c r="BN91" s="133"/>
      <c r="BO91" s="143"/>
      <c r="BP91" s="133"/>
      <c r="BQ91" s="143"/>
      <c r="BR91" s="133"/>
      <c r="BS91" s="143"/>
      <c r="BT91" s="133"/>
      <c r="BU91" s="147"/>
      <c r="BV91" s="147"/>
      <c r="BX91" s="147"/>
      <c r="BY91" s="147"/>
      <c r="CB91" s="476"/>
      <c r="CD91" s="3"/>
      <c r="CE91" s="3"/>
      <c r="CF91" s="157"/>
      <c r="CG91" s="157"/>
      <c r="CH91" s="157"/>
      <c r="CI91" s="158"/>
      <c r="CJ91" s="157"/>
      <c r="CK91" s="477"/>
      <c r="CL91" s="157"/>
      <c r="CM91" s="157"/>
      <c r="CN91" s="157"/>
      <c r="CO91" s="157"/>
      <c r="CP91" s="157"/>
      <c r="CQ91" s="157"/>
      <c r="CR91" s="157"/>
      <c r="CS91" s="157"/>
      <c r="CT91" s="66"/>
      <c r="CU91" s="66"/>
      <c r="CV91" s="3"/>
      <c r="CW91" s="60"/>
      <c r="CX91" s="3"/>
      <c r="CY91" s="3"/>
      <c r="CZ91" s="6"/>
      <c r="DA91" s="6"/>
      <c r="DB91" s="4"/>
      <c r="DC91" s="4"/>
      <c r="DD91" s="157"/>
      <c r="DE91" s="157"/>
      <c r="DF91" s="143"/>
      <c r="DG91" s="143"/>
      <c r="DH91" s="159"/>
      <c r="DI91" s="167"/>
      <c r="DJ91" s="157"/>
      <c r="DK91" s="157"/>
      <c r="DL91" s="147"/>
      <c r="DM91" s="133"/>
      <c r="DN91" s="159"/>
      <c r="DO91" s="167"/>
      <c r="DP91" s="157"/>
      <c r="DQ91" s="157"/>
      <c r="DR91" s="143"/>
      <c r="DS91" s="143"/>
      <c r="DT91" s="147"/>
      <c r="DU91" s="147"/>
      <c r="DV91" s="133"/>
      <c r="DW91" s="133"/>
      <c r="DX91" s="133"/>
      <c r="DY91" s="133"/>
      <c r="DZ91" s="133"/>
      <c r="EA91" s="133"/>
      <c r="EB91" s="133"/>
      <c r="EC91" s="133"/>
      <c r="ED91" s="157"/>
      <c r="EE91" s="157"/>
      <c r="EF91" s="147"/>
      <c r="EG91" s="147"/>
      <c r="EH91" s="157"/>
      <c r="EI91" s="157"/>
      <c r="EJ91" s="147"/>
      <c r="EK91" s="147"/>
      <c r="EL91" s="147"/>
      <c r="EM91" s="143"/>
      <c r="EN91" s="147"/>
      <c r="EO91" s="147"/>
      <c r="EP91" s="501"/>
      <c r="EQ91" s="143"/>
      <c r="ER91" s="143"/>
      <c r="ES91" s="147"/>
      <c r="ET91" s="147"/>
      <c r="EU91" s="143"/>
      <c r="EV91" s="143"/>
      <c r="EW91" s="157"/>
      <c r="EX91" s="157"/>
      <c r="EY91" s="157"/>
      <c r="EZ91" s="157"/>
    </row>
    <row r="92" spans="4:372">
      <c r="D92" s="66"/>
      <c r="J92" s="327"/>
      <c r="Q92" s="6"/>
      <c r="R92" s="6"/>
      <c r="S92" s="6"/>
      <c r="T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133"/>
      <c r="AJ92" s="133"/>
      <c r="AK92" s="133"/>
      <c r="AL92" s="133"/>
      <c r="AM92" s="133"/>
      <c r="AN92" s="133"/>
      <c r="AO92" s="133"/>
      <c r="AP92" s="133"/>
      <c r="AQ92" s="133"/>
      <c r="AR92" s="133"/>
      <c r="AU92" s="133"/>
      <c r="AV92" s="133"/>
      <c r="AW92" s="133"/>
      <c r="AX92" s="133"/>
      <c r="AY92" s="133"/>
      <c r="AZ92" s="133"/>
      <c r="BA92" s="133"/>
      <c r="BB92" s="133"/>
      <c r="BC92" s="6"/>
      <c r="BD92" s="8"/>
      <c r="BE92" s="8"/>
      <c r="BF92" s="8"/>
      <c r="BG92" s="8"/>
      <c r="BH92" s="8"/>
      <c r="BM92" s="133"/>
      <c r="BN92" s="133"/>
      <c r="BO92" s="143"/>
      <c r="BP92" s="133"/>
      <c r="BQ92" s="143"/>
      <c r="BR92" s="133"/>
      <c r="BS92" s="143"/>
      <c r="BT92" s="133"/>
      <c r="BU92" s="147"/>
      <c r="BV92" s="147"/>
      <c r="BX92" s="147"/>
      <c r="BY92" s="147"/>
      <c r="CB92" s="476"/>
      <c r="CD92" s="3"/>
      <c r="CE92" s="3"/>
      <c r="CF92" s="157"/>
      <c r="CG92" s="157"/>
      <c r="CH92" s="157"/>
      <c r="CI92" s="158"/>
      <c r="CJ92" s="157"/>
      <c r="CK92" s="477"/>
      <c r="CL92" s="157"/>
      <c r="CM92" s="157"/>
      <c r="CN92" s="157"/>
      <c r="CO92" s="157"/>
      <c r="CP92" s="157"/>
      <c r="CQ92" s="157"/>
      <c r="CR92" s="157"/>
      <c r="CS92" s="157"/>
      <c r="CT92" s="66"/>
      <c r="CU92" s="66"/>
      <c r="CV92" s="3"/>
      <c r="CW92" s="60"/>
      <c r="CX92" s="3"/>
      <c r="CY92" s="3"/>
      <c r="CZ92" s="6"/>
      <c r="DA92" s="6"/>
      <c r="DB92" s="4"/>
      <c r="DC92" s="4"/>
      <c r="DD92" s="157"/>
      <c r="DE92" s="157"/>
      <c r="DF92" s="143"/>
      <c r="DG92" s="143"/>
      <c r="DH92" s="159"/>
      <c r="DI92" s="167"/>
      <c r="DJ92" s="157"/>
      <c r="DK92" s="157"/>
      <c r="DL92" s="147"/>
      <c r="DM92" s="133"/>
      <c r="DN92" s="159"/>
      <c r="DO92" s="167"/>
      <c r="DP92" s="157"/>
      <c r="DQ92" s="157"/>
      <c r="DR92" s="143"/>
      <c r="DS92" s="143"/>
      <c r="DT92" s="147"/>
      <c r="DU92" s="147"/>
      <c r="DV92" s="133"/>
      <c r="DW92" s="133"/>
      <c r="DX92" s="133"/>
      <c r="DY92" s="133"/>
      <c r="DZ92" s="133"/>
      <c r="EA92" s="133"/>
      <c r="EB92" s="133"/>
      <c r="EC92" s="133"/>
      <c r="ED92" s="157"/>
      <c r="EE92" s="157"/>
      <c r="EF92" s="147"/>
      <c r="EG92" s="147"/>
      <c r="EH92" s="157"/>
      <c r="EI92" s="157"/>
      <c r="EJ92" s="147"/>
      <c r="EK92" s="147"/>
      <c r="EL92" s="147"/>
      <c r="EM92" s="143"/>
      <c r="EN92" s="147"/>
      <c r="EO92" s="147"/>
      <c r="EP92" s="501"/>
      <c r="EQ92" s="143"/>
      <c r="ER92" s="143"/>
      <c r="ES92" s="147"/>
      <c r="ET92" s="147"/>
      <c r="EU92" s="143"/>
      <c r="EV92" s="143"/>
      <c r="EW92" s="157"/>
      <c r="EX92" s="157"/>
      <c r="EY92" s="157"/>
      <c r="EZ92" s="157"/>
    </row>
    <row r="93" spans="4:372">
      <c r="D93" s="66"/>
      <c r="J93" s="327"/>
      <c r="Q93" s="6"/>
      <c r="R93" s="6"/>
      <c r="S93" s="6"/>
      <c r="T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133"/>
      <c r="AJ93" s="133"/>
      <c r="AK93" s="133"/>
      <c r="AL93" s="133"/>
      <c r="AM93" s="133"/>
      <c r="AN93" s="133"/>
      <c r="AO93" s="133"/>
      <c r="AP93" s="133"/>
      <c r="AQ93" s="133"/>
      <c r="AR93" s="133"/>
      <c r="AU93" s="133"/>
      <c r="AV93" s="133"/>
      <c r="AW93" s="133"/>
      <c r="AX93" s="133"/>
      <c r="AY93" s="133"/>
      <c r="AZ93" s="133"/>
      <c r="BA93" s="133"/>
      <c r="BB93" s="133"/>
      <c r="BC93" s="6"/>
      <c r="BD93" s="8"/>
      <c r="BE93" s="8"/>
      <c r="BF93" s="8"/>
      <c r="BG93" s="8"/>
      <c r="BH93" s="8"/>
      <c r="BM93" s="133"/>
      <c r="BN93" s="133"/>
      <c r="BO93" s="143"/>
      <c r="BP93" s="133"/>
      <c r="BQ93" s="143"/>
      <c r="BR93" s="133"/>
      <c r="BS93" s="143"/>
      <c r="BT93" s="133"/>
      <c r="BU93" s="147"/>
      <c r="BV93" s="147"/>
      <c r="BX93" s="147"/>
      <c r="BY93" s="147"/>
      <c r="CB93" s="476"/>
      <c r="CD93" s="3"/>
      <c r="CE93" s="3"/>
      <c r="CF93" s="157"/>
      <c r="CG93" s="157"/>
      <c r="CH93" s="157"/>
      <c r="CI93" s="158"/>
      <c r="CJ93" s="157"/>
      <c r="CK93" s="477"/>
      <c r="CL93" s="157"/>
      <c r="CM93" s="157"/>
      <c r="CN93" s="157"/>
      <c r="CO93" s="157"/>
      <c r="CP93" s="157"/>
      <c r="CQ93" s="157"/>
      <c r="CR93" s="157"/>
      <c r="CS93" s="157"/>
      <c r="CT93" s="66"/>
      <c r="CU93" s="66"/>
      <c r="CV93" s="3"/>
      <c r="CW93" s="60"/>
      <c r="CX93" s="3"/>
      <c r="CY93" s="3"/>
      <c r="CZ93" s="6"/>
      <c r="DA93" s="6"/>
      <c r="DB93" s="4"/>
      <c r="DC93" s="4"/>
      <c r="DD93" s="157"/>
      <c r="DE93" s="157"/>
      <c r="DF93" s="143"/>
      <c r="DG93" s="143"/>
      <c r="DH93" s="159"/>
      <c r="DI93" s="167"/>
      <c r="DJ93" s="157"/>
      <c r="DK93" s="157"/>
      <c r="DL93" s="147"/>
      <c r="DM93" s="133"/>
      <c r="DN93" s="159"/>
      <c r="DO93" s="167"/>
      <c r="DP93" s="157"/>
      <c r="DQ93" s="157"/>
      <c r="DR93" s="143"/>
      <c r="DS93" s="143"/>
      <c r="DT93" s="147"/>
      <c r="DU93" s="147"/>
      <c r="DV93" s="133"/>
      <c r="DW93" s="133"/>
      <c r="DX93" s="133"/>
      <c r="DY93" s="133"/>
      <c r="DZ93" s="133"/>
      <c r="EA93" s="133"/>
      <c r="EB93" s="133"/>
      <c r="EC93" s="133"/>
      <c r="ED93" s="157"/>
      <c r="EE93" s="157"/>
      <c r="EF93" s="147"/>
      <c r="EG93" s="147"/>
      <c r="EH93" s="157"/>
      <c r="EI93" s="157"/>
      <c r="EJ93" s="147"/>
      <c r="EK93" s="147"/>
      <c r="EL93" s="147"/>
      <c r="EM93" s="143"/>
      <c r="EN93" s="147"/>
      <c r="EO93" s="147"/>
      <c r="EP93" s="501"/>
      <c r="EQ93" s="143"/>
      <c r="ER93" s="143"/>
      <c r="ES93" s="147"/>
      <c r="ET93" s="147"/>
      <c r="EU93" s="143"/>
      <c r="EV93" s="143"/>
      <c r="EW93" s="157"/>
      <c r="EX93" s="157"/>
      <c r="EY93" s="157"/>
      <c r="EZ93" s="157"/>
    </row>
    <row r="94" spans="4:372">
      <c r="D94" s="66"/>
      <c r="J94" s="327"/>
      <c r="Q94" s="6"/>
      <c r="R94" s="6"/>
      <c r="S94" s="6"/>
      <c r="T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133"/>
      <c r="AJ94" s="133"/>
      <c r="AK94" s="133"/>
      <c r="AL94" s="133"/>
      <c r="AM94" s="133"/>
      <c r="AN94" s="133"/>
      <c r="AO94" s="133"/>
      <c r="AP94" s="133"/>
      <c r="AQ94" s="133"/>
      <c r="AR94" s="133"/>
      <c r="AU94" s="133"/>
      <c r="AV94" s="133"/>
      <c r="AW94" s="133"/>
      <c r="AX94" s="133"/>
      <c r="AY94" s="133"/>
      <c r="AZ94" s="133"/>
      <c r="BA94" s="133"/>
      <c r="BB94" s="133"/>
      <c r="BC94" s="6"/>
      <c r="BD94" s="8"/>
      <c r="BE94" s="8"/>
      <c r="BF94" s="8"/>
      <c r="BG94" s="8"/>
      <c r="BH94" s="8"/>
      <c r="BM94" s="133"/>
      <c r="BN94" s="133"/>
      <c r="BO94" s="143"/>
      <c r="BP94" s="133"/>
      <c r="BQ94" s="143"/>
      <c r="BR94" s="133"/>
      <c r="BS94" s="143"/>
      <c r="BT94" s="133"/>
      <c r="BU94" s="147"/>
      <c r="BV94" s="147"/>
      <c r="BX94" s="147"/>
      <c r="BY94" s="147"/>
      <c r="CB94" s="476"/>
      <c r="CD94" s="3"/>
      <c r="CE94" s="3"/>
      <c r="CF94" s="157"/>
      <c r="CG94" s="157"/>
      <c r="CH94" s="157"/>
      <c r="CI94" s="158"/>
      <c r="CJ94" s="157"/>
      <c r="CK94" s="477"/>
      <c r="CL94" s="157"/>
      <c r="CM94" s="157"/>
      <c r="CN94" s="157"/>
      <c r="CO94" s="157"/>
      <c r="CP94" s="157"/>
      <c r="CQ94" s="157"/>
      <c r="CR94" s="157"/>
      <c r="CS94" s="157"/>
      <c r="CT94" s="66"/>
      <c r="CU94" s="66"/>
      <c r="CV94" s="3"/>
      <c r="CW94" s="60"/>
      <c r="CX94" s="3"/>
      <c r="CY94" s="3"/>
      <c r="CZ94" s="6"/>
      <c r="DA94" s="6"/>
      <c r="DB94" s="4"/>
      <c r="DC94" s="4"/>
      <c r="DD94" s="157"/>
      <c r="DE94" s="157"/>
      <c r="DF94" s="143"/>
      <c r="DG94" s="143"/>
      <c r="DH94" s="159"/>
      <c r="DI94" s="167"/>
      <c r="DJ94" s="157"/>
      <c r="DK94" s="157"/>
      <c r="DL94" s="147"/>
      <c r="DM94" s="133"/>
      <c r="DN94" s="159"/>
      <c r="DO94" s="167"/>
      <c r="DP94" s="157"/>
      <c r="DQ94" s="157"/>
      <c r="DR94" s="143"/>
      <c r="DS94" s="143"/>
      <c r="DT94" s="147"/>
      <c r="DU94" s="147"/>
      <c r="DV94" s="133"/>
      <c r="DW94" s="133"/>
      <c r="DX94" s="133"/>
      <c r="DY94" s="133"/>
      <c r="DZ94" s="133"/>
      <c r="EA94" s="133"/>
      <c r="EB94" s="133"/>
      <c r="EC94" s="133"/>
      <c r="ED94" s="157"/>
      <c r="EE94" s="157"/>
      <c r="EF94" s="147"/>
      <c r="EG94" s="147"/>
      <c r="EH94" s="157"/>
      <c r="EI94" s="157"/>
      <c r="EJ94" s="147"/>
      <c r="EK94" s="147"/>
      <c r="EL94" s="147"/>
      <c r="EM94" s="143"/>
      <c r="EN94" s="147"/>
      <c r="EO94" s="147"/>
      <c r="EP94" s="501"/>
      <c r="EQ94" s="143"/>
      <c r="ER94" s="143"/>
      <c r="ES94" s="147"/>
      <c r="ET94" s="147"/>
      <c r="EU94" s="143"/>
      <c r="EV94" s="143"/>
      <c r="EW94" s="157"/>
      <c r="EX94" s="157"/>
      <c r="EY94" s="157"/>
      <c r="EZ94" s="157"/>
    </row>
    <row r="95" spans="4:372">
      <c r="D95" s="66"/>
      <c r="J95" s="327"/>
      <c r="Q95" s="6"/>
      <c r="R95" s="6"/>
      <c r="S95" s="6"/>
      <c r="T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133"/>
      <c r="AJ95" s="133"/>
      <c r="AK95" s="133"/>
      <c r="AL95" s="133"/>
      <c r="AM95" s="133"/>
      <c r="AN95" s="133"/>
      <c r="AO95" s="133"/>
      <c r="AP95" s="133"/>
      <c r="AQ95" s="133"/>
      <c r="AR95" s="133"/>
      <c r="AU95" s="133"/>
      <c r="AV95" s="133"/>
      <c r="AW95" s="133"/>
      <c r="AX95" s="133"/>
      <c r="AY95" s="133"/>
      <c r="AZ95" s="133"/>
      <c r="BA95" s="133"/>
      <c r="BB95" s="133"/>
      <c r="BC95" s="6"/>
      <c r="BD95" s="8"/>
      <c r="BE95" s="8"/>
      <c r="BF95" s="8"/>
      <c r="BG95" s="8"/>
      <c r="BH95" s="8"/>
      <c r="BM95" s="133"/>
      <c r="BN95" s="133"/>
      <c r="BO95" s="143"/>
      <c r="BP95" s="133"/>
      <c r="BQ95" s="143"/>
      <c r="BR95" s="133"/>
      <c r="BS95" s="143"/>
      <c r="BT95" s="133"/>
      <c r="BU95" s="147"/>
      <c r="BV95" s="147"/>
      <c r="BX95" s="147"/>
      <c r="BY95" s="147"/>
      <c r="CB95" s="476"/>
      <c r="CD95" s="3"/>
      <c r="CE95" s="3"/>
      <c r="CF95" s="157"/>
      <c r="CG95" s="157"/>
      <c r="CH95" s="157"/>
      <c r="CI95" s="158"/>
      <c r="CJ95" s="157"/>
      <c r="CK95" s="477"/>
      <c r="CL95" s="157"/>
      <c r="CM95" s="157"/>
      <c r="CN95" s="157"/>
      <c r="CO95" s="157"/>
      <c r="CP95" s="157"/>
      <c r="CQ95" s="157"/>
      <c r="CR95" s="157"/>
      <c r="CS95" s="157"/>
      <c r="CT95" s="66"/>
      <c r="CU95" s="66"/>
      <c r="CV95" s="3"/>
      <c r="CW95" s="60"/>
      <c r="CX95" s="3"/>
      <c r="CY95" s="3"/>
      <c r="CZ95" s="6"/>
      <c r="DA95" s="6"/>
      <c r="DB95" s="4"/>
      <c r="DC95" s="4"/>
      <c r="DD95" s="157"/>
      <c r="DE95" s="157"/>
      <c r="DF95" s="143"/>
      <c r="DG95" s="143"/>
      <c r="DH95" s="159"/>
      <c r="DI95" s="167"/>
      <c r="DJ95" s="157"/>
      <c r="DK95" s="157"/>
      <c r="DL95" s="147"/>
      <c r="DM95" s="133"/>
      <c r="DN95" s="159"/>
      <c r="DO95" s="167"/>
      <c r="DP95" s="157"/>
      <c r="DQ95" s="157"/>
      <c r="DR95" s="143"/>
      <c r="DS95" s="143"/>
      <c r="DT95" s="147"/>
      <c r="DU95" s="147"/>
      <c r="DV95" s="133"/>
      <c r="DW95" s="133"/>
      <c r="DX95" s="133"/>
      <c r="DY95" s="133"/>
      <c r="DZ95" s="133"/>
      <c r="EA95" s="133"/>
      <c r="EB95" s="133"/>
      <c r="EC95" s="133"/>
      <c r="ED95" s="157"/>
      <c r="EE95" s="157"/>
      <c r="EF95" s="147"/>
      <c r="EG95" s="147"/>
      <c r="EH95" s="157"/>
      <c r="EI95" s="157"/>
      <c r="EJ95" s="147"/>
      <c r="EK95" s="147"/>
      <c r="EL95" s="147"/>
      <c r="EM95" s="143"/>
      <c r="EN95" s="147"/>
      <c r="EO95" s="147"/>
      <c r="EP95" s="501"/>
      <c r="EQ95" s="143"/>
      <c r="ER95" s="143"/>
      <c r="ES95" s="147"/>
      <c r="ET95" s="147"/>
      <c r="EU95" s="143"/>
      <c r="EV95" s="143"/>
      <c r="EW95" s="157"/>
      <c r="EX95" s="157"/>
      <c r="EY95" s="157"/>
      <c r="EZ95" s="157"/>
      <c r="NE95" s="496"/>
      <c r="NF95" s="496"/>
      <c r="NG95" s="496"/>
      <c r="NH95" s="496"/>
    </row>
    <row r="96" spans="4:372">
      <c r="D96" s="66"/>
      <c r="J96" s="327"/>
      <c r="Q96" s="6"/>
      <c r="R96" s="6"/>
      <c r="S96" s="6"/>
      <c r="T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133"/>
      <c r="AJ96" s="133"/>
      <c r="AK96" s="133"/>
      <c r="AL96" s="133"/>
      <c r="AM96" s="133"/>
      <c r="AN96" s="133"/>
      <c r="AO96" s="133"/>
      <c r="AP96" s="133"/>
      <c r="AQ96" s="133"/>
      <c r="AR96" s="133"/>
      <c r="AU96" s="133"/>
      <c r="AV96" s="133"/>
      <c r="AW96" s="133"/>
      <c r="AX96" s="133"/>
      <c r="AY96" s="133"/>
      <c r="AZ96" s="133"/>
      <c r="BA96" s="133"/>
      <c r="BB96" s="133"/>
      <c r="BC96" s="6"/>
      <c r="BD96" s="8"/>
      <c r="BE96" s="8"/>
      <c r="BF96" s="8"/>
      <c r="BG96" s="8"/>
      <c r="BH96" s="8"/>
      <c r="BM96" s="133"/>
      <c r="BN96" s="133"/>
      <c r="BO96" s="143"/>
      <c r="BP96" s="133"/>
      <c r="BQ96" s="143"/>
      <c r="BR96" s="133"/>
      <c r="BS96" s="143"/>
      <c r="BT96" s="133"/>
      <c r="BU96" s="147"/>
      <c r="BV96" s="147"/>
      <c r="BX96" s="147"/>
      <c r="BY96" s="147"/>
      <c r="CB96" s="476"/>
      <c r="CD96" s="3"/>
      <c r="CE96" s="3"/>
      <c r="CF96" s="157"/>
      <c r="CG96" s="157"/>
      <c r="CH96" s="157"/>
      <c r="CI96" s="158"/>
      <c r="CJ96" s="157"/>
      <c r="CK96" s="477"/>
      <c r="CL96" s="157"/>
      <c r="CM96" s="157"/>
      <c r="CN96" s="157"/>
      <c r="CO96" s="157"/>
      <c r="CP96" s="157"/>
      <c r="CQ96" s="157"/>
      <c r="CR96" s="157"/>
      <c r="CS96" s="157"/>
      <c r="CT96" s="66"/>
      <c r="CU96" s="66"/>
      <c r="CV96" s="3"/>
      <c r="CW96" s="60"/>
      <c r="CX96" s="3"/>
      <c r="CY96" s="3"/>
      <c r="CZ96" s="6"/>
      <c r="DA96" s="6"/>
      <c r="DB96" s="4"/>
      <c r="DC96" s="4"/>
      <c r="DD96" s="157"/>
      <c r="DE96" s="157"/>
      <c r="DF96" s="143"/>
      <c r="DG96" s="143"/>
      <c r="DH96" s="159"/>
      <c r="DI96" s="167"/>
      <c r="DJ96" s="157"/>
      <c r="DK96" s="157"/>
      <c r="DL96" s="147"/>
      <c r="DM96" s="133"/>
      <c r="DN96" s="159"/>
      <c r="DO96" s="167"/>
      <c r="DP96" s="157"/>
      <c r="DQ96" s="157"/>
      <c r="DR96" s="143"/>
      <c r="DS96" s="143"/>
      <c r="DT96" s="147"/>
      <c r="DU96" s="147"/>
      <c r="DV96" s="133"/>
      <c r="DW96" s="133"/>
      <c r="DX96" s="133"/>
      <c r="DY96" s="133"/>
      <c r="DZ96" s="133"/>
      <c r="EA96" s="133"/>
      <c r="EB96" s="133"/>
      <c r="EC96" s="133"/>
      <c r="ED96" s="157"/>
      <c r="EE96" s="157"/>
      <c r="EF96" s="147"/>
      <c r="EG96" s="147"/>
      <c r="EH96" s="157"/>
      <c r="EI96" s="157"/>
      <c r="EJ96" s="147"/>
      <c r="EK96" s="147"/>
      <c r="EL96" s="147"/>
      <c r="EM96" s="143"/>
      <c r="EN96" s="147"/>
      <c r="EO96" s="147"/>
      <c r="EP96" s="501"/>
      <c r="EQ96" s="143"/>
      <c r="ER96" s="143"/>
      <c r="ES96" s="147"/>
      <c r="ET96" s="147"/>
      <c r="EU96" s="143"/>
      <c r="EV96" s="143"/>
      <c r="EW96" s="157"/>
      <c r="EX96" s="157"/>
      <c r="EY96" s="157"/>
      <c r="EZ96" s="157"/>
    </row>
    <row r="97" spans="2:408">
      <c r="D97" s="66"/>
      <c r="J97" s="327"/>
      <c r="Q97" s="6"/>
      <c r="R97" s="6"/>
      <c r="S97" s="6"/>
      <c r="T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133"/>
      <c r="AJ97" s="133"/>
      <c r="AK97" s="133"/>
      <c r="AL97" s="133"/>
      <c r="AM97" s="133"/>
      <c r="AN97" s="133"/>
      <c r="AO97" s="133"/>
      <c r="AP97" s="133"/>
      <c r="AQ97" s="133"/>
      <c r="AR97" s="133"/>
      <c r="AU97" s="133"/>
      <c r="AV97" s="133"/>
      <c r="AW97" s="133"/>
      <c r="AX97" s="133"/>
      <c r="AY97" s="133"/>
      <c r="AZ97" s="133"/>
      <c r="BA97" s="133"/>
      <c r="BB97" s="133"/>
      <c r="BC97" s="6"/>
      <c r="BD97" s="8"/>
      <c r="BE97" s="8"/>
      <c r="BF97" s="8"/>
      <c r="BG97" s="8"/>
      <c r="BH97" s="8"/>
      <c r="BM97" s="133"/>
      <c r="BN97" s="133"/>
      <c r="BO97" s="143"/>
      <c r="BP97" s="133"/>
      <c r="BQ97" s="143"/>
      <c r="BR97" s="133"/>
      <c r="BS97" s="143"/>
      <c r="BT97" s="133"/>
      <c r="BU97" s="147"/>
      <c r="BV97" s="147"/>
      <c r="BX97" s="147"/>
      <c r="BY97" s="147"/>
      <c r="CB97" s="476"/>
      <c r="CD97" s="3"/>
      <c r="CE97" s="3"/>
      <c r="CF97" s="157"/>
      <c r="CG97" s="157"/>
      <c r="CH97" s="157"/>
      <c r="CI97" s="158"/>
      <c r="CJ97" s="157"/>
      <c r="CK97" s="477"/>
      <c r="CL97" s="157"/>
      <c r="CM97" s="157"/>
      <c r="CN97" s="157"/>
      <c r="CO97" s="157"/>
      <c r="CP97" s="157"/>
      <c r="CQ97" s="157"/>
      <c r="CR97" s="157"/>
      <c r="CS97" s="157"/>
      <c r="CT97" s="66"/>
      <c r="CU97" s="66"/>
      <c r="CV97" s="3"/>
      <c r="CW97" s="60"/>
      <c r="CX97" s="3"/>
      <c r="CY97" s="3"/>
      <c r="CZ97" s="6"/>
      <c r="DA97" s="6"/>
      <c r="DB97" s="4"/>
      <c r="DC97" s="4"/>
      <c r="DD97" s="157"/>
      <c r="DE97" s="157"/>
      <c r="DF97" s="143"/>
      <c r="DG97" s="143"/>
      <c r="DH97" s="159"/>
      <c r="DI97" s="167"/>
      <c r="DJ97" s="157"/>
      <c r="DK97" s="157"/>
      <c r="DL97" s="147"/>
      <c r="DM97" s="133"/>
      <c r="DN97" s="159"/>
      <c r="DO97" s="167"/>
      <c r="DP97" s="157"/>
      <c r="DQ97" s="157"/>
      <c r="DR97" s="143"/>
      <c r="DS97" s="143"/>
      <c r="DT97" s="147"/>
      <c r="DU97" s="147"/>
      <c r="DV97" s="133"/>
      <c r="DW97" s="133"/>
      <c r="DX97" s="133"/>
      <c r="DY97" s="133"/>
      <c r="DZ97" s="133"/>
      <c r="EA97" s="133"/>
      <c r="EB97" s="133"/>
      <c r="EC97" s="133"/>
      <c r="ED97" s="157"/>
      <c r="EE97" s="157"/>
      <c r="EF97" s="147"/>
      <c r="EG97" s="147"/>
      <c r="EH97" s="157"/>
      <c r="EI97" s="157"/>
      <c r="EJ97" s="147"/>
      <c r="EK97" s="147"/>
      <c r="EL97" s="147"/>
      <c r="EM97" s="143"/>
      <c r="EN97" s="147"/>
      <c r="EO97" s="147"/>
      <c r="EP97" s="501"/>
      <c r="EQ97" s="143"/>
      <c r="ER97" s="143"/>
      <c r="ES97" s="147"/>
      <c r="ET97" s="147"/>
      <c r="EU97" s="143"/>
      <c r="EV97" s="143"/>
      <c r="EW97" s="157"/>
      <c r="EX97" s="157"/>
      <c r="EY97" s="157"/>
      <c r="EZ97" s="157"/>
    </row>
    <row r="98" spans="2:408" s="484" customFormat="1" ht="17.399999999999999">
      <c r="B98" s="485"/>
      <c r="C98" s="117"/>
      <c r="D98" s="486"/>
      <c r="E98" s="67"/>
      <c r="F98" s="117"/>
      <c r="G98" s="117"/>
      <c r="H98" s="117"/>
      <c r="I98" s="117"/>
      <c r="J98" s="488"/>
      <c r="K98" s="487"/>
      <c r="L98" s="117"/>
      <c r="M98" s="117"/>
      <c r="N98" s="5"/>
      <c r="O98" s="514"/>
      <c r="P98" s="514"/>
      <c r="Y98" s="117"/>
      <c r="Z98" s="117"/>
      <c r="AA98" s="117"/>
      <c r="AB98" s="117"/>
      <c r="AC98" s="117"/>
      <c r="AD98" s="117"/>
      <c r="AE98" s="117"/>
      <c r="AF98" s="117"/>
      <c r="AG98" s="117"/>
      <c r="AH98" s="117"/>
      <c r="AI98" s="489"/>
      <c r="AJ98" s="489"/>
      <c r="AK98" s="489"/>
      <c r="AL98" s="489"/>
      <c r="AM98" s="489"/>
      <c r="AN98" s="489"/>
      <c r="AO98" s="489"/>
      <c r="AP98" s="489"/>
      <c r="AQ98" s="489"/>
      <c r="AR98" s="489"/>
      <c r="AS98" s="117"/>
      <c r="AT98" s="117"/>
      <c r="AU98" s="489"/>
      <c r="AV98" s="489"/>
      <c r="AW98" s="489"/>
      <c r="AX98" s="489"/>
      <c r="AY98" s="489"/>
      <c r="AZ98" s="489"/>
      <c r="BA98" s="489"/>
      <c r="BB98" s="489"/>
      <c r="BC98" s="118"/>
      <c r="BD98" s="490"/>
      <c r="BE98" s="490"/>
      <c r="BF98" s="490"/>
      <c r="BG98" s="490"/>
      <c r="BH98" s="490"/>
      <c r="BI98" s="491"/>
      <c r="BJ98" s="491"/>
      <c r="BK98" s="489"/>
      <c r="BL98" s="489"/>
      <c r="BM98" s="489"/>
      <c r="BN98" s="489"/>
      <c r="BO98" s="247"/>
      <c r="BP98" s="489"/>
      <c r="BQ98" s="247"/>
      <c r="BR98" s="489"/>
      <c r="BS98" s="247"/>
      <c r="BT98" s="489"/>
      <c r="BU98" s="168"/>
      <c r="BV98" s="168"/>
      <c r="BW98" s="117"/>
      <c r="BX98" s="168"/>
      <c r="BY98" s="168"/>
      <c r="BZ98" s="247"/>
      <c r="CA98" s="168"/>
      <c r="CB98" s="481"/>
      <c r="CC98" s="247"/>
      <c r="CD98" s="491"/>
      <c r="CE98" s="491"/>
      <c r="CF98" s="482"/>
      <c r="CG98" s="482"/>
      <c r="CH98" s="482"/>
      <c r="CI98" s="492"/>
      <c r="CJ98" s="482"/>
      <c r="CK98" s="497"/>
      <c r="CL98" s="482"/>
      <c r="CM98" s="482"/>
      <c r="CN98" s="482"/>
      <c r="CO98" s="482"/>
      <c r="CP98" s="482"/>
      <c r="CQ98" s="482"/>
      <c r="CR98" s="482"/>
      <c r="CS98" s="482"/>
      <c r="CT98" s="66"/>
      <c r="CU98" s="66"/>
      <c r="CV98" s="491"/>
      <c r="CW98" s="493"/>
      <c r="CX98" s="491"/>
      <c r="CY98" s="491"/>
      <c r="CZ98" s="118"/>
      <c r="DA98" s="118"/>
      <c r="DB98" s="267"/>
      <c r="DC98" s="267"/>
      <c r="DD98" s="482"/>
      <c r="DE98" s="482"/>
      <c r="DF98" s="247"/>
      <c r="DG98" s="247"/>
      <c r="DH98" s="494"/>
      <c r="DI98" s="495"/>
      <c r="DJ98" s="482"/>
      <c r="DK98" s="482"/>
      <c r="DL98" s="168"/>
      <c r="DM98" s="489"/>
      <c r="DN98" s="494"/>
      <c r="DO98" s="495"/>
      <c r="DP98" s="482"/>
      <c r="DQ98" s="482"/>
      <c r="DR98" s="247"/>
      <c r="DS98" s="247"/>
      <c r="DT98" s="168"/>
      <c r="DU98" s="168"/>
      <c r="DV98" s="489"/>
      <c r="DW98" s="489"/>
      <c r="DX98" s="489"/>
      <c r="DY98" s="489"/>
      <c r="DZ98" s="489"/>
      <c r="EA98" s="489"/>
      <c r="EB98" s="489"/>
      <c r="EC98" s="489"/>
      <c r="ED98" s="482"/>
      <c r="EE98" s="482"/>
      <c r="EF98" s="168"/>
      <c r="EG98" s="168"/>
      <c r="EH98" s="482"/>
      <c r="EI98" s="482"/>
      <c r="EJ98" s="168"/>
      <c r="EK98" s="168"/>
      <c r="EL98" s="168"/>
      <c r="EM98" s="247"/>
      <c r="EN98" s="168"/>
      <c r="EO98" s="168"/>
      <c r="EP98" s="503"/>
      <c r="EQ98" s="247"/>
      <c r="ER98" s="247"/>
      <c r="ES98" s="168"/>
      <c r="ET98" s="168"/>
      <c r="EU98" s="247"/>
      <c r="EV98" s="247"/>
      <c r="EW98" s="482"/>
      <c r="EX98" s="482"/>
      <c r="EY98" s="482"/>
      <c r="EZ98" s="482"/>
      <c r="FA98" s="486"/>
      <c r="FB98" s="486"/>
      <c r="FC98" s="486"/>
      <c r="FD98" s="486"/>
      <c r="FE98" s="486"/>
      <c r="FF98" s="486"/>
      <c r="FG98" s="117"/>
      <c r="FH98" s="117"/>
      <c r="FI98" s="486"/>
      <c r="FJ98" s="486"/>
      <c r="FK98" s="486"/>
      <c r="FL98" s="486"/>
      <c r="FM98" s="486"/>
      <c r="FN98" s="486"/>
      <c r="FO98" s="117"/>
      <c r="FP98" s="117"/>
      <c r="FQ98" s="494"/>
      <c r="FR98" s="494"/>
      <c r="FS98" s="494"/>
      <c r="FT98" s="494"/>
      <c r="FU98" s="494"/>
      <c r="FV98" s="494"/>
      <c r="FW98" s="494"/>
      <c r="FX98" s="494"/>
      <c r="FY98" s="494"/>
      <c r="FZ98" s="494"/>
      <c r="GA98" s="494"/>
      <c r="GB98" s="494"/>
      <c r="GC98" s="494"/>
      <c r="GD98" s="494"/>
      <c r="GE98" s="494"/>
      <c r="GF98" s="494"/>
      <c r="GG98" s="117"/>
      <c r="GH98" s="117"/>
      <c r="GI98" s="117"/>
      <c r="GJ98" s="117"/>
      <c r="GK98" s="161"/>
      <c r="GL98" s="161"/>
      <c r="GM98" s="161"/>
      <c r="GN98" s="161"/>
      <c r="GO98" s="161"/>
      <c r="GP98" s="161"/>
      <c r="GQ98" s="161"/>
      <c r="GR98" s="161"/>
      <c r="GS98" s="161"/>
      <c r="GT98" s="161"/>
      <c r="GU98" s="161"/>
      <c r="GV98" s="161"/>
      <c r="GW98" s="161"/>
      <c r="GX98" s="161"/>
      <c r="GY98" s="161"/>
      <c r="GZ98" s="161"/>
      <c r="HA98" s="117"/>
      <c r="HB98" s="117"/>
      <c r="HC98" s="161"/>
      <c r="HD98" s="161"/>
      <c r="HE98" s="161"/>
      <c r="HF98" s="161"/>
      <c r="HG98" s="161"/>
      <c r="HH98" s="161"/>
      <c r="HI98" s="117"/>
      <c r="HJ98" s="117"/>
      <c r="HK98" s="161"/>
      <c r="HL98" s="161"/>
      <c r="HM98" s="161"/>
      <c r="HN98" s="161"/>
      <c r="HO98" s="161"/>
      <c r="HP98" s="161"/>
      <c r="HQ98" s="117"/>
      <c r="HR98" s="117"/>
      <c r="HS98" s="117"/>
      <c r="HT98" s="117"/>
      <c r="HU98" s="117"/>
      <c r="HV98" s="117"/>
      <c r="HW98" s="117"/>
      <c r="HX98" s="117"/>
      <c r="HY98" s="491"/>
      <c r="HZ98" s="491"/>
      <c r="IA98" s="491"/>
      <c r="IB98" s="491"/>
      <c r="IC98" s="491"/>
      <c r="ID98" s="491"/>
      <c r="IE98" s="491"/>
      <c r="IF98" s="491"/>
      <c r="IG98" s="491"/>
      <c r="IH98" s="491"/>
      <c r="II98" s="491"/>
      <c r="IJ98" s="491"/>
      <c r="IK98" s="491"/>
      <c r="IL98" s="491"/>
      <c r="IM98" s="491"/>
      <c r="IN98" s="491"/>
      <c r="IO98" s="491"/>
      <c r="IP98" s="491"/>
      <c r="IQ98" s="491"/>
      <c r="IR98" s="491"/>
      <c r="IS98" s="491"/>
      <c r="IT98" s="491"/>
      <c r="IU98" s="491"/>
      <c r="IV98" s="491"/>
      <c r="IW98" s="491"/>
      <c r="IX98" s="491"/>
      <c r="IY98" s="491"/>
      <c r="IZ98" s="491"/>
      <c r="JA98" s="482"/>
      <c r="JB98" s="482"/>
      <c r="JC98" s="482"/>
      <c r="JD98" s="482"/>
      <c r="JE98" s="482"/>
      <c r="JF98" s="482"/>
      <c r="JG98" s="482"/>
      <c r="JH98" s="482"/>
      <c r="JI98" s="482"/>
      <c r="JJ98" s="482"/>
      <c r="JK98" s="482"/>
      <c r="JL98" s="482"/>
      <c r="JM98" s="482"/>
      <c r="JN98" s="482"/>
      <c r="JO98" s="482"/>
      <c r="JP98" s="482"/>
      <c r="JQ98" s="482"/>
      <c r="JR98" s="482"/>
      <c r="JS98" s="482"/>
      <c r="JT98" s="482"/>
      <c r="JU98" s="482"/>
      <c r="JV98" s="482"/>
      <c r="JW98" s="482"/>
      <c r="JX98" s="482"/>
      <c r="JY98" s="482"/>
      <c r="JZ98" s="482"/>
      <c r="KA98" s="117"/>
      <c r="KB98" s="117"/>
      <c r="KC98" s="117"/>
      <c r="KD98" s="117"/>
      <c r="KE98" s="161"/>
      <c r="KF98" s="161"/>
      <c r="KG98" s="161"/>
      <c r="KH98" s="161"/>
      <c r="KI98" s="117"/>
      <c r="KJ98" s="117"/>
      <c r="KK98" s="161"/>
      <c r="KL98" s="161"/>
      <c r="KM98" s="161"/>
      <c r="KN98" s="161"/>
      <c r="KO98" s="117"/>
      <c r="KP98" s="117"/>
      <c r="KQ98" s="161"/>
      <c r="KR98" s="161"/>
      <c r="KS98" s="161"/>
      <c r="KT98" s="161"/>
      <c r="KU98" s="161"/>
      <c r="KV98" s="161"/>
      <c r="KW98" s="161"/>
      <c r="KX98" s="161"/>
      <c r="KY98" s="161"/>
      <c r="KZ98" s="161"/>
      <c r="LA98" s="117"/>
      <c r="LB98" s="117"/>
      <c r="LC98" s="161"/>
      <c r="LD98" s="161"/>
      <c r="LE98" s="161"/>
      <c r="LF98" s="161"/>
      <c r="LG98" s="161"/>
      <c r="LH98" s="161"/>
      <c r="LI98" s="161"/>
      <c r="LJ98" s="161"/>
      <c r="LK98" s="161"/>
      <c r="LL98" s="161"/>
      <c r="LM98" s="161"/>
      <c r="LN98" s="161"/>
      <c r="LO98" s="161"/>
      <c r="LP98" s="161"/>
      <c r="LQ98" s="161"/>
      <c r="LR98" s="161"/>
      <c r="LS98" s="161"/>
      <c r="LT98" s="161"/>
      <c r="LW98" s="257"/>
      <c r="LX98" s="257"/>
      <c r="LY98" s="257"/>
      <c r="LZ98" s="257"/>
      <c r="MA98" s="257"/>
      <c r="MB98" s="257"/>
      <c r="MC98" s="257"/>
      <c r="MD98" s="257"/>
      <c r="ME98" s="257"/>
      <c r="MF98" s="257"/>
      <c r="MG98" s="257"/>
      <c r="MH98" s="257"/>
      <c r="MI98" s="257"/>
      <c r="MJ98" s="257"/>
      <c r="MK98" s="257"/>
      <c r="ML98" s="257"/>
      <c r="MM98" s="257"/>
      <c r="MN98" s="257"/>
      <c r="MO98" s="257"/>
      <c r="MP98" s="257"/>
      <c r="MQ98" s="257"/>
      <c r="MR98" s="257"/>
      <c r="MS98" s="257"/>
      <c r="MT98" s="257"/>
      <c r="MU98" s="496"/>
      <c r="MV98" s="496"/>
      <c r="MW98" s="496"/>
      <c r="MX98" s="496"/>
      <c r="MY98" s="496"/>
      <c r="MZ98" s="496"/>
      <c r="NA98" s="496"/>
      <c r="NB98" s="496"/>
      <c r="NC98" s="496"/>
      <c r="ND98" s="496"/>
      <c r="NE98" s="62"/>
      <c r="NF98" s="62"/>
      <c r="NG98" s="62"/>
      <c r="NH98" s="62"/>
      <c r="NI98" s="496"/>
      <c r="NJ98" s="496"/>
      <c r="NK98" s="540"/>
      <c r="NL98" s="540"/>
      <c r="NM98" s="540"/>
      <c r="NN98" s="540"/>
      <c r="NO98" s="540"/>
      <c r="NP98" s="540"/>
      <c r="NQ98" s="540"/>
      <c r="NR98" s="540"/>
      <c r="NS98" s="540"/>
      <c r="NT98" s="540"/>
      <c r="NU98" s="540"/>
      <c r="NV98" s="540"/>
      <c r="NW98" s="540"/>
      <c r="NX98" s="540"/>
      <c r="NY98" s="540"/>
      <c r="NZ98" s="540"/>
      <c r="OA98" s="540"/>
      <c r="OB98" s="540"/>
      <c r="OC98" s="540"/>
      <c r="OD98" s="540"/>
      <c r="OE98" s="540"/>
      <c r="OF98" s="540"/>
      <c r="OG98" s="707"/>
      <c r="OH98" s="707"/>
      <c r="OI98" s="705"/>
      <c r="OJ98" s="705"/>
      <c r="OK98" s="540"/>
      <c r="OL98" s="540"/>
      <c r="OM98" s="540"/>
      <c r="ON98" s="540"/>
      <c r="OO98" s="540"/>
      <c r="OP98" s="540"/>
      <c r="OQ98" s="540"/>
      <c r="OR98" s="540"/>
    </row>
    <row r="99" spans="2:408">
      <c r="T99" s="1"/>
      <c r="U99" s="1"/>
      <c r="V99" s="1"/>
      <c r="W99" s="1"/>
      <c r="X99" s="1"/>
    </row>
    <row r="100" spans="2:408">
      <c r="D100" s="66"/>
      <c r="J100" s="327"/>
      <c r="Q100" s="6"/>
      <c r="R100" s="6"/>
      <c r="S100" s="6"/>
      <c r="T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133"/>
      <c r="AJ100" s="133"/>
      <c r="AK100" s="133"/>
      <c r="AL100" s="133"/>
      <c r="AM100" s="133"/>
      <c r="AN100" s="133"/>
      <c r="AO100" s="133"/>
      <c r="AP100" s="133"/>
      <c r="AQ100" s="133"/>
      <c r="AR100" s="133"/>
      <c r="AU100" s="133"/>
      <c r="AV100" s="133"/>
      <c r="AW100" s="133"/>
      <c r="AX100" s="133"/>
      <c r="AY100" s="133"/>
      <c r="AZ100" s="133"/>
      <c r="BA100" s="133"/>
      <c r="BB100" s="133"/>
      <c r="BC100" s="6"/>
      <c r="BD100" s="8"/>
      <c r="BE100" s="8"/>
      <c r="BF100" s="8"/>
      <c r="BG100" s="8"/>
      <c r="BH100" s="8"/>
      <c r="BM100" s="133"/>
      <c r="BN100" s="133"/>
      <c r="BO100" s="143"/>
      <c r="BP100" s="133"/>
      <c r="BQ100" s="143"/>
      <c r="BR100" s="133"/>
      <c r="BS100" s="143"/>
      <c r="BT100" s="133"/>
      <c r="BU100" s="147"/>
      <c r="BV100" s="147"/>
      <c r="BX100" s="147"/>
      <c r="BY100" s="147"/>
      <c r="CB100" s="476"/>
      <c r="CD100" s="3"/>
      <c r="CE100" s="3"/>
      <c r="CF100" s="157"/>
      <c r="CG100" s="157"/>
      <c r="CH100" s="157"/>
      <c r="CI100" s="158"/>
      <c r="CJ100" s="157"/>
      <c r="CK100" s="477"/>
      <c r="CL100" s="157"/>
      <c r="CM100" s="157"/>
      <c r="CN100" s="157"/>
      <c r="CO100" s="157"/>
      <c r="CP100" s="157"/>
      <c r="CQ100" s="157"/>
      <c r="CR100" s="157"/>
      <c r="CS100" s="157"/>
      <c r="CT100" s="66"/>
      <c r="CU100" s="66"/>
      <c r="CV100" s="3"/>
      <c r="CW100" s="60"/>
      <c r="CX100" s="3"/>
      <c r="CY100" s="3"/>
      <c r="CZ100" s="6"/>
      <c r="DA100" s="6"/>
      <c r="DB100" s="4"/>
      <c r="DC100" s="4"/>
      <c r="DD100" s="157"/>
      <c r="DE100" s="157"/>
      <c r="DF100" s="143"/>
      <c r="DG100" s="143"/>
      <c r="DH100" s="159"/>
      <c r="DI100" s="167"/>
      <c r="DJ100" s="157"/>
      <c r="DK100" s="157"/>
      <c r="DL100" s="147"/>
      <c r="DM100" s="133"/>
      <c r="DN100" s="159"/>
      <c r="DO100" s="167"/>
      <c r="DP100" s="157"/>
      <c r="DQ100" s="157"/>
      <c r="DR100" s="143"/>
      <c r="DS100" s="143"/>
      <c r="DT100" s="147"/>
      <c r="DU100" s="147"/>
      <c r="DV100" s="133"/>
      <c r="DW100" s="133"/>
      <c r="DX100" s="133"/>
      <c r="DY100" s="133"/>
      <c r="DZ100" s="133"/>
      <c r="EA100" s="133"/>
      <c r="EB100" s="133"/>
      <c r="EC100" s="133"/>
      <c r="ED100" s="157"/>
      <c r="EE100" s="157"/>
      <c r="EF100" s="147"/>
      <c r="EG100" s="147"/>
      <c r="EH100" s="157"/>
      <c r="EI100" s="157"/>
      <c r="EJ100" s="147"/>
      <c r="EK100" s="147"/>
      <c r="EL100" s="147"/>
      <c r="EM100" s="143"/>
      <c r="EN100" s="147"/>
      <c r="EO100" s="147"/>
      <c r="EP100" s="501"/>
      <c r="EQ100" s="143"/>
      <c r="ER100" s="143"/>
      <c r="ES100" s="147"/>
      <c r="ET100" s="147"/>
      <c r="EU100" s="143"/>
      <c r="EV100" s="143"/>
      <c r="EW100" s="157"/>
      <c r="EX100" s="157"/>
      <c r="EY100" s="157"/>
      <c r="EZ100" s="157"/>
    </row>
    <row r="101" spans="2:408">
      <c r="D101" s="66"/>
      <c r="J101" s="327"/>
      <c r="Q101" s="6"/>
      <c r="R101" s="6"/>
      <c r="S101" s="6"/>
      <c r="T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133"/>
      <c r="AJ101" s="133"/>
      <c r="AK101" s="133"/>
      <c r="AL101" s="133"/>
      <c r="AM101" s="133"/>
      <c r="AN101" s="133"/>
      <c r="AO101" s="133"/>
      <c r="AP101" s="133"/>
      <c r="AQ101" s="133"/>
      <c r="AR101" s="133"/>
      <c r="AU101" s="133"/>
      <c r="AV101" s="133"/>
      <c r="AW101" s="133"/>
      <c r="AX101" s="133"/>
      <c r="AY101" s="133"/>
      <c r="AZ101" s="133"/>
      <c r="BA101" s="133"/>
      <c r="BB101" s="133"/>
      <c r="BC101" s="6"/>
      <c r="BD101" s="8"/>
      <c r="BE101" s="8"/>
      <c r="BF101" s="8"/>
      <c r="BG101" s="8"/>
      <c r="BH101" s="8"/>
      <c r="BM101" s="133"/>
      <c r="BN101" s="133"/>
      <c r="BO101" s="143"/>
      <c r="BP101" s="133"/>
      <c r="BQ101" s="143"/>
      <c r="BR101" s="133"/>
      <c r="BS101" s="143"/>
      <c r="BT101" s="133"/>
      <c r="BU101" s="147"/>
      <c r="BV101" s="147"/>
      <c r="BX101" s="147"/>
      <c r="BY101" s="147"/>
      <c r="CB101" s="476"/>
      <c r="CD101" s="3"/>
      <c r="CE101" s="3"/>
      <c r="CF101" s="157"/>
      <c r="CG101" s="157"/>
      <c r="CH101" s="157"/>
      <c r="CI101" s="158"/>
      <c r="CJ101" s="157"/>
      <c r="CK101" s="477"/>
      <c r="CL101" s="157"/>
      <c r="CM101" s="157"/>
      <c r="CN101" s="157"/>
      <c r="CO101" s="157"/>
      <c r="CP101" s="157"/>
      <c r="CQ101" s="157"/>
      <c r="CR101" s="157"/>
      <c r="CS101" s="157"/>
      <c r="CT101" s="66"/>
      <c r="CU101" s="66"/>
      <c r="CV101" s="3"/>
      <c r="CW101" s="60"/>
      <c r="CX101" s="3"/>
      <c r="CY101" s="3"/>
      <c r="CZ101" s="6"/>
      <c r="DA101" s="6"/>
      <c r="DB101" s="4"/>
      <c r="DC101" s="4"/>
      <c r="DD101" s="157"/>
      <c r="DE101" s="157"/>
      <c r="DF101" s="143"/>
      <c r="DG101" s="143"/>
      <c r="DH101" s="159"/>
      <c r="DI101" s="167"/>
      <c r="DJ101" s="157"/>
      <c r="DK101" s="157"/>
      <c r="DL101" s="147"/>
      <c r="DM101" s="133"/>
      <c r="DN101" s="159"/>
      <c r="DO101" s="167"/>
      <c r="DP101" s="157"/>
      <c r="DQ101" s="157"/>
      <c r="DR101" s="143"/>
      <c r="DS101" s="143"/>
      <c r="DT101" s="147"/>
      <c r="DU101" s="147"/>
      <c r="DV101" s="133"/>
      <c r="DW101" s="133"/>
      <c r="DX101" s="133"/>
      <c r="DY101" s="133"/>
      <c r="DZ101" s="133"/>
      <c r="EA101" s="133"/>
      <c r="EB101" s="133"/>
      <c r="EC101" s="133"/>
      <c r="ED101" s="157"/>
      <c r="EE101" s="157"/>
      <c r="EF101" s="147"/>
      <c r="EG101" s="147"/>
      <c r="EH101" s="157"/>
      <c r="EI101" s="157"/>
      <c r="EJ101" s="147"/>
      <c r="EK101" s="147"/>
      <c r="EL101" s="147"/>
      <c r="EM101" s="143"/>
      <c r="EN101" s="147"/>
      <c r="EO101" s="147"/>
      <c r="EP101" s="501"/>
      <c r="EQ101" s="143"/>
      <c r="ER101" s="143"/>
      <c r="ES101" s="147"/>
      <c r="ET101" s="147"/>
      <c r="EU101" s="143"/>
      <c r="EV101" s="143"/>
      <c r="EW101" s="157"/>
      <c r="EX101" s="157"/>
      <c r="EY101" s="157"/>
      <c r="EZ101" s="157"/>
    </row>
    <row r="102" spans="2:408">
      <c r="D102" s="66"/>
      <c r="J102" s="327"/>
      <c r="Q102" s="6"/>
      <c r="R102" s="6"/>
      <c r="S102" s="6"/>
      <c r="T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133"/>
      <c r="AJ102" s="133"/>
      <c r="AK102" s="133"/>
      <c r="AL102" s="133"/>
      <c r="AM102" s="133"/>
      <c r="AN102" s="133"/>
      <c r="AO102" s="133"/>
      <c r="AP102" s="133"/>
      <c r="AQ102" s="133"/>
      <c r="AR102" s="133"/>
      <c r="AU102" s="133"/>
      <c r="AV102" s="133"/>
      <c r="AW102" s="133"/>
      <c r="AX102" s="133"/>
      <c r="AY102" s="133"/>
      <c r="AZ102" s="133"/>
      <c r="BA102" s="133"/>
      <c r="BB102" s="133"/>
      <c r="BC102" s="6"/>
      <c r="BD102" s="8"/>
      <c r="BE102" s="8"/>
      <c r="BF102" s="8"/>
      <c r="BG102" s="8"/>
      <c r="BH102" s="8"/>
      <c r="BM102" s="133"/>
      <c r="BN102" s="133"/>
      <c r="BO102" s="143"/>
      <c r="BP102" s="133"/>
      <c r="BQ102" s="143"/>
      <c r="BR102" s="133"/>
      <c r="BS102" s="143"/>
      <c r="BT102" s="133"/>
      <c r="BU102" s="147"/>
      <c r="BV102" s="147"/>
      <c r="BX102" s="147"/>
      <c r="BY102" s="147"/>
      <c r="CB102" s="476"/>
      <c r="CD102" s="3"/>
      <c r="CE102" s="3"/>
      <c r="CF102" s="157"/>
      <c r="CG102" s="157"/>
      <c r="CH102" s="157"/>
      <c r="CI102" s="158"/>
      <c r="CJ102" s="157"/>
      <c r="CK102" s="477"/>
      <c r="CL102" s="157"/>
      <c r="CM102" s="157"/>
      <c r="CN102" s="157"/>
      <c r="CO102" s="157"/>
      <c r="CP102" s="157"/>
      <c r="CQ102" s="157"/>
      <c r="CR102" s="157"/>
      <c r="CS102" s="157"/>
      <c r="CT102" s="66"/>
      <c r="CU102" s="66"/>
      <c r="CV102" s="3"/>
      <c r="CW102" s="60"/>
      <c r="CX102" s="3"/>
      <c r="CY102" s="3"/>
      <c r="CZ102" s="6"/>
      <c r="DA102" s="6"/>
      <c r="DB102" s="4"/>
      <c r="DC102" s="4"/>
      <c r="DD102" s="157"/>
      <c r="DE102" s="157"/>
      <c r="DF102" s="143"/>
      <c r="DG102" s="143"/>
      <c r="DH102" s="159"/>
      <c r="DI102" s="167"/>
      <c r="DJ102" s="157"/>
      <c r="DK102" s="157"/>
      <c r="DL102" s="147"/>
      <c r="DM102" s="133"/>
      <c r="DN102" s="159"/>
      <c r="DO102" s="167"/>
      <c r="DP102" s="157"/>
      <c r="DQ102" s="157"/>
      <c r="DR102" s="143"/>
      <c r="DS102" s="143"/>
      <c r="DT102" s="147"/>
      <c r="DU102" s="147"/>
      <c r="DV102" s="133"/>
      <c r="DW102" s="133"/>
      <c r="DX102" s="133"/>
      <c r="DY102" s="133"/>
      <c r="DZ102" s="133"/>
      <c r="EA102" s="133"/>
      <c r="EB102" s="133"/>
      <c r="EC102" s="133"/>
      <c r="ED102" s="157"/>
      <c r="EE102" s="157"/>
      <c r="EF102" s="147"/>
      <c r="EG102" s="147"/>
      <c r="EH102" s="157"/>
      <c r="EI102" s="157"/>
      <c r="EJ102" s="147"/>
      <c r="EK102" s="147"/>
      <c r="EL102" s="147"/>
      <c r="EM102" s="143"/>
      <c r="EN102" s="147"/>
      <c r="EO102" s="147"/>
      <c r="EP102" s="501"/>
      <c r="EQ102" s="143"/>
      <c r="ER102" s="143"/>
      <c r="ES102" s="147"/>
      <c r="ET102" s="147"/>
      <c r="EU102" s="143"/>
      <c r="EV102" s="143"/>
      <c r="EW102" s="157"/>
      <c r="EX102" s="157"/>
      <c r="EY102" s="157"/>
      <c r="EZ102" s="157"/>
    </row>
    <row r="103" spans="2:408">
      <c r="D103" s="66"/>
      <c r="J103" s="327"/>
      <c r="Q103" s="6"/>
      <c r="R103" s="6"/>
      <c r="S103" s="6"/>
      <c r="T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133"/>
      <c r="AJ103" s="133"/>
      <c r="AK103" s="133"/>
      <c r="AL103" s="133"/>
      <c r="AM103" s="133"/>
      <c r="AN103" s="133"/>
      <c r="AO103" s="133"/>
      <c r="AP103" s="133"/>
      <c r="AQ103" s="133"/>
      <c r="AR103" s="133"/>
      <c r="AU103" s="133"/>
      <c r="AV103" s="133"/>
      <c r="AW103" s="133"/>
      <c r="AX103" s="133"/>
      <c r="AY103" s="133"/>
      <c r="AZ103" s="133"/>
      <c r="BA103" s="133"/>
      <c r="BB103" s="133"/>
      <c r="BC103" s="6"/>
      <c r="BD103" s="8"/>
      <c r="BE103" s="8"/>
      <c r="BF103" s="8"/>
      <c r="BG103" s="8"/>
      <c r="BH103" s="8"/>
      <c r="BM103" s="133"/>
      <c r="BN103" s="133"/>
      <c r="BO103" s="143"/>
      <c r="BP103" s="133"/>
      <c r="BQ103" s="143"/>
      <c r="BR103" s="133"/>
      <c r="BS103" s="143"/>
      <c r="BT103" s="133"/>
      <c r="BU103" s="147"/>
      <c r="BV103" s="147"/>
      <c r="BX103" s="147"/>
      <c r="BY103" s="147"/>
      <c r="CB103" s="476"/>
      <c r="CD103" s="3"/>
      <c r="CE103" s="3"/>
      <c r="CF103" s="157"/>
      <c r="CG103" s="157"/>
      <c r="CH103" s="157"/>
      <c r="CI103" s="158"/>
      <c r="CJ103" s="157"/>
      <c r="CK103" s="477"/>
      <c r="CL103" s="157"/>
      <c r="CM103" s="157"/>
      <c r="CN103" s="157"/>
      <c r="CO103" s="157"/>
      <c r="CP103" s="157"/>
      <c r="CQ103" s="157"/>
      <c r="CR103" s="157"/>
      <c r="CS103" s="157"/>
      <c r="CT103" s="66"/>
      <c r="CU103" s="66"/>
      <c r="CV103" s="3"/>
      <c r="CW103" s="60"/>
      <c r="CX103" s="3"/>
      <c r="CY103" s="3"/>
      <c r="CZ103" s="6"/>
      <c r="DA103" s="6"/>
      <c r="DB103" s="4"/>
      <c r="DC103" s="4"/>
      <c r="DD103" s="157"/>
      <c r="DE103" s="157"/>
      <c r="DF103" s="143"/>
      <c r="DG103" s="143"/>
      <c r="DH103" s="159"/>
      <c r="DI103" s="167"/>
      <c r="DJ103" s="157"/>
      <c r="DK103" s="157"/>
      <c r="DL103" s="147"/>
      <c r="DM103" s="133"/>
      <c r="DN103" s="159"/>
      <c r="DO103" s="167"/>
      <c r="DP103" s="157"/>
      <c r="DQ103" s="157"/>
      <c r="DR103" s="143"/>
      <c r="DS103" s="143"/>
      <c r="DT103" s="147"/>
      <c r="DU103" s="147"/>
      <c r="DV103" s="133"/>
      <c r="DW103" s="133"/>
      <c r="DX103" s="133"/>
      <c r="DY103" s="133"/>
      <c r="DZ103" s="133"/>
      <c r="EA103" s="133"/>
      <c r="EB103" s="133"/>
      <c r="EC103" s="133"/>
      <c r="ED103" s="157"/>
      <c r="EE103" s="157"/>
      <c r="EF103" s="147"/>
      <c r="EG103" s="147"/>
      <c r="EH103" s="157"/>
      <c r="EI103" s="157"/>
      <c r="EJ103" s="147"/>
      <c r="EK103" s="147"/>
      <c r="EL103" s="147"/>
      <c r="EM103" s="143"/>
      <c r="EN103" s="147"/>
      <c r="EO103" s="147"/>
      <c r="EP103" s="501"/>
      <c r="EQ103" s="143"/>
      <c r="ER103" s="143"/>
      <c r="ES103" s="147"/>
      <c r="ET103" s="147"/>
      <c r="EU103" s="143"/>
      <c r="EV103" s="143"/>
      <c r="EW103" s="157"/>
      <c r="EX103" s="157"/>
      <c r="EY103" s="157"/>
      <c r="EZ103" s="157"/>
    </row>
    <row r="104" spans="2:408">
      <c r="D104" s="66"/>
      <c r="J104" s="327"/>
      <c r="Q104" s="6"/>
      <c r="R104" s="6"/>
      <c r="S104" s="6"/>
      <c r="T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133"/>
      <c r="AJ104" s="133"/>
      <c r="AK104" s="133"/>
      <c r="AL104" s="133"/>
      <c r="AM104" s="133"/>
      <c r="AN104" s="133"/>
      <c r="AO104" s="133"/>
      <c r="AP104" s="133"/>
      <c r="AQ104" s="133"/>
      <c r="AR104" s="133"/>
      <c r="AU104" s="133"/>
      <c r="AV104" s="133"/>
      <c r="AW104" s="133"/>
      <c r="AX104" s="133"/>
      <c r="AY104" s="133"/>
      <c r="AZ104" s="133"/>
      <c r="BA104" s="133"/>
      <c r="BB104" s="133"/>
      <c r="BC104" s="6"/>
      <c r="BD104" s="8"/>
      <c r="BE104" s="8"/>
      <c r="BF104" s="8"/>
      <c r="BG104" s="8"/>
      <c r="BH104" s="8"/>
      <c r="BM104" s="133"/>
      <c r="BN104" s="133"/>
      <c r="BO104" s="143"/>
      <c r="BP104" s="133"/>
      <c r="BQ104" s="143"/>
      <c r="BR104" s="133"/>
      <c r="BS104" s="143"/>
      <c r="BT104" s="133"/>
      <c r="BU104" s="147"/>
      <c r="BV104" s="147"/>
      <c r="BX104" s="147"/>
      <c r="BY104" s="147"/>
      <c r="CB104" s="476"/>
      <c r="CD104" s="3"/>
      <c r="CE104" s="3"/>
      <c r="CF104" s="157"/>
      <c r="CG104" s="157"/>
      <c r="CH104" s="157"/>
      <c r="CI104" s="158"/>
      <c r="CJ104" s="157"/>
      <c r="CK104" s="477"/>
      <c r="CL104" s="157"/>
      <c r="CM104" s="157"/>
      <c r="CN104" s="157"/>
      <c r="CO104" s="157"/>
      <c r="CP104" s="157"/>
      <c r="CQ104" s="157"/>
      <c r="CR104" s="157"/>
      <c r="CS104" s="157"/>
      <c r="CT104" s="66"/>
      <c r="CU104" s="66"/>
      <c r="CV104" s="3"/>
      <c r="CW104" s="60"/>
      <c r="CX104" s="3"/>
      <c r="CY104" s="3"/>
      <c r="CZ104" s="6"/>
      <c r="DA104" s="6"/>
      <c r="DB104" s="4"/>
      <c r="DC104" s="4"/>
      <c r="DD104" s="157"/>
      <c r="DE104" s="157"/>
      <c r="DF104" s="143"/>
      <c r="DG104" s="143"/>
      <c r="DH104" s="159"/>
      <c r="DI104" s="167"/>
      <c r="DJ104" s="157"/>
      <c r="DK104" s="157"/>
      <c r="DL104" s="147"/>
      <c r="DM104" s="133"/>
      <c r="DN104" s="159"/>
      <c r="DO104" s="167"/>
      <c r="DP104" s="157"/>
      <c r="DQ104" s="157"/>
      <c r="DR104" s="143"/>
      <c r="DS104" s="143"/>
      <c r="DT104" s="147"/>
      <c r="DU104" s="147"/>
      <c r="DV104" s="133"/>
      <c r="DW104" s="133"/>
      <c r="DX104" s="133"/>
      <c r="DY104" s="133"/>
      <c r="DZ104" s="133"/>
      <c r="EA104" s="133"/>
      <c r="EB104" s="133"/>
      <c r="EC104" s="133"/>
      <c r="ED104" s="157"/>
      <c r="EE104" s="157"/>
      <c r="EF104" s="147"/>
      <c r="EG104" s="147"/>
      <c r="EH104" s="157"/>
      <c r="EI104" s="157"/>
      <c r="EJ104" s="147"/>
      <c r="EK104" s="147"/>
      <c r="EL104" s="147"/>
      <c r="EM104" s="143"/>
      <c r="EN104" s="147"/>
      <c r="EO104" s="147"/>
      <c r="EP104" s="501"/>
      <c r="EQ104" s="143"/>
      <c r="ER104" s="143"/>
      <c r="ES104" s="147"/>
      <c r="ET104" s="147"/>
      <c r="EU104" s="143"/>
      <c r="EV104" s="143"/>
      <c r="EW104" s="157"/>
      <c r="EX104" s="157"/>
      <c r="EY104" s="157"/>
      <c r="EZ104" s="157"/>
    </row>
    <row r="105" spans="2:408">
      <c r="D105" s="66"/>
      <c r="J105" s="327"/>
      <c r="Q105" s="6"/>
      <c r="R105" s="6"/>
      <c r="S105" s="6"/>
      <c r="T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133"/>
      <c r="AJ105" s="133"/>
      <c r="AK105" s="133"/>
      <c r="AL105" s="133"/>
      <c r="AM105" s="133"/>
      <c r="AN105" s="133"/>
      <c r="AO105" s="133"/>
      <c r="AP105" s="133"/>
      <c r="AQ105" s="133"/>
      <c r="AR105" s="133"/>
      <c r="AU105" s="133"/>
      <c r="AV105" s="133"/>
      <c r="AW105" s="133"/>
      <c r="AX105" s="133"/>
      <c r="AY105" s="133"/>
      <c r="AZ105" s="133"/>
      <c r="BA105" s="133"/>
      <c r="BB105" s="133"/>
      <c r="BC105" s="6"/>
      <c r="BD105" s="8"/>
      <c r="BE105" s="8"/>
      <c r="BF105" s="8"/>
      <c r="BG105" s="8"/>
      <c r="BH105" s="8"/>
      <c r="BM105" s="133"/>
      <c r="BN105" s="133"/>
      <c r="BO105" s="143"/>
      <c r="BP105" s="133"/>
      <c r="BQ105" s="143"/>
      <c r="BR105" s="133"/>
      <c r="BS105" s="143"/>
      <c r="BT105" s="133"/>
      <c r="BU105" s="147"/>
      <c r="BV105" s="147"/>
      <c r="BX105" s="147"/>
      <c r="BY105" s="147"/>
      <c r="CB105" s="476"/>
      <c r="CD105" s="3"/>
      <c r="CE105" s="3"/>
      <c r="CF105" s="157"/>
      <c r="CG105" s="157"/>
      <c r="CH105" s="157"/>
      <c r="CI105" s="158"/>
      <c r="CJ105" s="157"/>
      <c r="CK105" s="477"/>
      <c r="CL105" s="157"/>
      <c r="CM105" s="157"/>
      <c r="CN105" s="157"/>
      <c r="CO105" s="157"/>
      <c r="CP105" s="157"/>
      <c r="CQ105" s="157"/>
      <c r="CR105" s="157"/>
      <c r="CS105" s="157"/>
      <c r="CT105" s="66"/>
      <c r="CU105" s="66"/>
      <c r="CV105" s="3"/>
      <c r="CW105" s="60"/>
      <c r="CX105" s="3"/>
      <c r="CY105" s="3"/>
      <c r="CZ105" s="6"/>
      <c r="DA105" s="6"/>
      <c r="DB105" s="4"/>
      <c r="DC105" s="4"/>
      <c r="DD105" s="157"/>
      <c r="DE105" s="157"/>
      <c r="DF105" s="143"/>
      <c r="DG105" s="143"/>
      <c r="DH105" s="159"/>
      <c r="DI105" s="167"/>
      <c r="DJ105" s="157"/>
      <c r="DK105" s="157"/>
      <c r="DL105" s="147"/>
      <c r="DM105" s="133"/>
      <c r="DN105" s="159"/>
      <c r="DO105" s="167"/>
      <c r="DP105" s="157"/>
      <c r="DQ105" s="157"/>
      <c r="DR105" s="143"/>
      <c r="DS105" s="143"/>
      <c r="DT105" s="147"/>
      <c r="DU105" s="147"/>
      <c r="DV105" s="133"/>
      <c r="DW105" s="133"/>
      <c r="DX105" s="133"/>
      <c r="DY105" s="133"/>
      <c r="DZ105" s="133"/>
      <c r="EA105" s="133"/>
      <c r="EB105" s="133"/>
      <c r="EC105" s="133"/>
      <c r="ED105" s="157"/>
      <c r="EE105" s="157"/>
      <c r="EF105" s="147"/>
      <c r="EG105" s="147"/>
      <c r="EH105" s="157"/>
      <c r="EI105" s="157"/>
      <c r="EJ105" s="147"/>
      <c r="EK105" s="147"/>
      <c r="EL105" s="147"/>
      <c r="EM105" s="143"/>
      <c r="EN105" s="147"/>
      <c r="EO105" s="147"/>
      <c r="EP105" s="501"/>
      <c r="EQ105" s="143"/>
      <c r="ER105" s="143"/>
      <c r="ES105" s="147"/>
      <c r="ET105" s="147"/>
      <c r="EU105" s="143"/>
      <c r="EV105" s="143"/>
      <c r="EW105" s="157"/>
      <c r="EX105" s="157"/>
      <c r="EY105" s="157"/>
      <c r="EZ105" s="157"/>
    </row>
    <row r="106" spans="2:408">
      <c r="D106" s="66"/>
      <c r="J106" s="327"/>
      <c r="Q106" s="6"/>
      <c r="R106" s="6"/>
      <c r="S106" s="6"/>
      <c r="T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133"/>
      <c r="AJ106" s="133"/>
      <c r="AK106" s="133"/>
      <c r="AL106" s="133"/>
      <c r="AM106" s="133"/>
      <c r="AN106" s="133"/>
      <c r="AO106" s="133"/>
      <c r="AP106" s="133"/>
      <c r="AQ106" s="133"/>
      <c r="AR106" s="133"/>
      <c r="AU106" s="133"/>
      <c r="AV106" s="133"/>
      <c r="AW106" s="133"/>
      <c r="AX106" s="133"/>
      <c r="AY106" s="133"/>
      <c r="AZ106" s="133"/>
      <c r="BA106" s="133"/>
      <c r="BB106" s="133"/>
      <c r="BC106" s="6"/>
      <c r="BD106" s="8"/>
      <c r="BE106" s="8"/>
      <c r="BF106" s="8"/>
      <c r="BG106" s="8"/>
      <c r="BH106" s="8"/>
      <c r="BM106" s="133"/>
      <c r="BN106" s="133"/>
      <c r="BO106" s="143"/>
      <c r="BP106" s="133"/>
      <c r="BQ106" s="143"/>
      <c r="BR106" s="133"/>
      <c r="BS106" s="143"/>
      <c r="BT106" s="133"/>
      <c r="BU106" s="147"/>
      <c r="BV106" s="147"/>
      <c r="BX106" s="147"/>
      <c r="BY106" s="147"/>
      <c r="CB106" s="476"/>
      <c r="CD106" s="3"/>
      <c r="CE106" s="3"/>
      <c r="CF106" s="157"/>
      <c r="CG106" s="157"/>
      <c r="CH106" s="157"/>
      <c r="CI106" s="158"/>
      <c r="CJ106" s="157"/>
      <c r="CK106" s="477"/>
      <c r="CL106" s="157"/>
      <c r="CM106" s="157"/>
      <c r="CN106" s="157"/>
      <c r="CO106" s="157"/>
      <c r="CP106" s="157"/>
      <c r="CQ106" s="157"/>
      <c r="CR106" s="157"/>
      <c r="CS106" s="157"/>
      <c r="CT106" s="66"/>
      <c r="CU106" s="66"/>
      <c r="CV106" s="3"/>
      <c r="CW106" s="60"/>
      <c r="CX106" s="3"/>
      <c r="CY106" s="3"/>
      <c r="CZ106" s="6"/>
      <c r="DA106" s="6"/>
      <c r="DB106" s="4"/>
      <c r="DC106" s="4"/>
      <c r="DD106" s="157"/>
      <c r="DE106" s="157"/>
      <c r="DF106" s="143"/>
      <c r="DG106" s="143"/>
      <c r="DH106" s="159"/>
      <c r="DI106" s="167"/>
      <c r="DJ106" s="157"/>
      <c r="DK106" s="157"/>
      <c r="DL106" s="147"/>
      <c r="DM106" s="133"/>
      <c r="DN106" s="159"/>
      <c r="DO106" s="167"/>
      <c r="DP106" s="157"/>
      <c r="DQ106" s="157"/>
      <c r="DR106" s="143"/>
      <c r="DS106" s="143"/>
      <c r="DT106" s="147"/>
      <c r="DU106" s="147"/>
      <c r="DV106" s="133"/>
      <c r="DW106" s="133"/>
      <c r="DX106" s="133"/>
      <c r="DY106" s="133"/>
      <c r="DZ106" s="133"/>
      <c r="EA106" s="133"/>
      <c r="EB106" s="133"/>
      <c r="EC106" s="133"/>
      <c r="ED106" s="157"/>
      <c r="EE106" s="157"/>
      <c r="EF106" s="147"/>
      <c r="EG106" s="147"/>
      <c r="EH106" s="157"/>
      <c r="EI106" s="157"/>
      <c r="EJ106" s="147"/>
      <c r="EK106" s="147"/>
      <c r="EL106" s="147"/>
      <c r="EM106" s="143"/>
      <c r="EN106" s="147"/>
      <c r="EO106" s="147"/>
      <c r="EP106" s="501"/>
      <c r="EQ106" s="143"/>
      <c r="ER106" s="143"/>
      <c r="ES106" s="147"/>
      <c r="ET106" s="147"/>
      <c r="EU106" s="143"/>
      <c r="EV106" s="143"/>
      <c r="EW106" s="157"/>
      <c r="EX106" s="157"/>
      <c r="EY106" s="157"/>
      <c r="EZ106" s="157"/>
    </row>
    <row r="107" spans="2:408">
      <c r="D107" s="66"/>
      <c r="J107" s="327"/>
      <c r="Q107" s="6"/>
      <c r="R107" s="6"/>
      <c r="S107" s="6"/>
      <c r="T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133"/>
      <c r="AJ107" s="133"/>
      <c r="AK107" s="133"/>
      <c r="AL107" s="133"/>
      <c r="AM107" s="133"/>
      <c r="AN107" s="133"/>
      <c r="AO107" s="133"/>
      <c r="AP107" s="133"/>
      <c r="AQ107" s="133"/>
      <c r="AR107" s="133"/>
      <c r="AU107" s="133"/>
      <c r="AV107" s="133"/>
      <c r="AW107" s="133"/>
      <c r="AX107" s="133"/>
      <c r="AY107" s="133"/>
      <c r="AZ107" s="133"/>
      <c r="BA107" s="133"/>
      <c r="BB107" s="133"/>
      <c r="BC107" s="6"/>
      <c r="BD107" s="8"/>
      <c r="BE107" s="8"/>
      <c r="BF107" s="8"/>
      <c r="BG107" s="8"/>
      <c r="BH107" s="8"/>
      <c r="BM107" s="133"/>
      <c r="BN107" s="133"/>
      <c r="BO107" s="143"/>
      <c r="BP107" s="133"/>
      <c r="BQ107" s="143"/>
      <c r="BR107" s="133"/>
      <c r="BS107" s="143"/>
      <c r="BT107" s="133"/>
      <c r="BU107" s="147"/>
      <c r="BV107" s="147"/>
      <c r="BX107" s="147"/>
      <c r="BY107" s="147"/>
      <c r="CB107" s="476"/>
      <c r="CD107" s="3"/>
      <c r="CE107" s="3"/>
      <c r="CF107" s="157"/>
      <c r="CG107" s="157"/>
      <c r="CH107" s="157"/>
      <c r="CI107" s="158"/>
      <c r="CJ107" s="157"/>
      <c r="CK107" s="477"/>
      <c r="CL107" s="157"/>
      <c r="CM107" s="157"/>
      <c r="CN107" s="157"/>
      <c r="CO107" s="157"/>
      <c r="CP107" s="157"/>
      <c r="CQ107" s="157"/>
      <c r="CR107" s="157"/>
      <c r="CS107" s="157"/>
      <c r="CT107" s="66"/>
      <c r="CU107" s="66"/>
      <c r="CV107" s="3"/>
      <c r="CW107" s="60"/>
      <c r="CX107" s="3"/>
      <c r="CY107" s="3"/>
      <c r="CZ107" s="6"/>
      <c r="DA107" s="6"/>
      <c r="DB107" s="4"/>
      <c r="DC107" s="4"/>
      <c r="DD107" s="157"/>
      <c r="DE107" s="157"/>
      <c r="DF107" s="143"/>
      <c r="DG107" s="143"/>
      <c r="DH107" s="159"/>
      <c r="DI107" s="167"/>
      <c r="DJ107" s="157"/>
      <c r="DK107" s="157"/>
      <c r="DL107" s="147"/>
      <c r="DM107" s="133"/>
      <c r="DN107" s="159"/>
      <c r="DO107" s="167"/>
      <c r="DP107" s="157"/>
      <c r="DQ107" s="157"/>
      <c r="DR107" s="143"/>
      <c r="DS107" s="143"/>
      <c r="DT107" s="147"/>
      <c r="DU107" s="147"/>
      <c r="DV107" s="133"/>
      <c r="DW107" s="133"/>
      <c r="DX107" s="133"/>
      <c r="DY107" s="133"/>
      <c r="DZ107" s="133"/>
      <c r="EA107" s="133"/>
      <c r="EB107" s="133"/>
      <c r="EC107" s="133"/>
      <c r="ED107" s="157"/>
      <c r="EE107" s="157"/>
      <c r="EF107" s="147"/>
      <c r="EG107" s="147"/>
      <c r="EH107" s="157"/>
      <c r="EI107" s="157"/>
      <c r="EJ107" s="147"/>
      <c r="EK107" s="147"/>
      <c r="EL107" s="147"/>
      <c r="EM107" s="143"/>
      <c r="EN107" s="147"/>
      <c r="EO107" s="147"/>
      <c r="EP107" s="501"/>
      <c r="EQ107" s="143"/>
      <c r="ER107" s="143"/>
      <c r="ES107" s="147"/>
      <c r="ET107" s="147"/>
      <c r="EU107" s="143"/>
      <c r="EV107" s="143"/>
      <c r="EW107" s="157"/>
      <c r="EX107" s="157"/>
      <c r="EY107" s="157"/>
      <c r="EZ107" s="157"/>
    </row>
    <row r="108" spans="2:408">
      <c r="D108" s="66"/>
      <c r="J108" s="327"/>
      <c r="Q108" s="6"/>
      <c r="R108" s="6"/>
      <c r="S108" s="6"/>
      <c r="T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133"/>
      <c r="AJ108" s="133"/>
      <c r="AK108" s="133"/>
      <c r="AL108" s="133"/>
      <c r="AM108" s="133"/>
      <c r="AN108" s="133"/>
      <c r="AO108" s="133"/>
      <c r="AP108" s="133"/>
      <c r="AQ108" s="133"/>
      <c r="AR108" s="133"/>
      <c r="AU108" s="133"/>
      <c r="AV108" s="133"/>
      <c r="AW108" s="133"/>
      <c r="AX108" s="133"/>
      <c r="AY108" s="133"/>
      <c r="AZ108" s="133"/>
      <c r="BA108" s="133"/>
      <c r="BB108" s="133"/>
      <c r="BC108" s="6"/>
      <c r="BD108" s="8"/>
      <c r="BE108" s="8"/>
      <c r="BF108" s="8"/>
      <c r="BG108" s="8"/>
      <c r="BH108" s="8"/>
      <c r="BM108" s="133"/>
      <c r="BN108" s="133"/>
      <c r="BO108" s="143"/>
      <c r="BP108" s="133"/>
      <c r="BQ108" s="143"/>
      <c r="BR108" s="133"/>
      <c r="BS108" s="143"/>
      <c r="BT108" s="133"/>
      <c r="BU108" s="147"/>
      <c r="BV108" s="147"/>
      <c r="BX108" s="147"/>
      <c r="BY108" s="147"/>
      <c r="CB108" s="476"/>
      <c r="CD108" s="3"/>
      <c r="CE108" s="3"/>
      <c r="CF108" s="157"/>
      <c r="CG108" s="157"/>
      <c r="CH108" s="157"/>
      <c r="CI108" s="158"/>
      <c r="CJ108" s="157"/>
      <c r="CK108" s="477"/>
      <c r="CL108" s="157"/>
      <c r="CM108" s="157"/>
      <c r="CN108" s="157"/>
      <c r="CO108" s="157"/>
      <c r="CP108" s="157"/>
      <c r="CQ108" s="157"/>
      <c r="CR108" s="157"/>
      <c r="CS108" s="157"/>
      <c r="CT108" s="66"/>
      <c r="CU108" s="66"/>
      <c r="CV108" s="3"/>
      <c r="CW108" s="60"/>
      <c r="CX108" s="3"/>
      <c r="CY108" s="3"/>
      <c r="CZ108" s="6"/>
      <c r="DA108" s="6"/>
      <c r="DB108" s="4"/>
      <c r="DC108" s="4"/>
      <c r="DD108" s="157"/>
      <c r="DE108" s="157"/>
      <c r="DF108" s="143"/>
      <c r="DG108" s="143"/>
      <c r="DH108" s="159"/>
      <c r="DI108" s="167"/>
      <c r="DJ108" s="157"/>
      <c r="DK108" s="157"/>
      <c r="DL108" s="147"/>
      <c r="DM108" s="133"/>
      <c r="DN108" s="159"/>
      <c r="DO108" s="167"/>
      <c r="DP108" s="157"/>
      <c r="DQ108" s="157"/>
      <c r="DR108" s="143"/>
      <c r="DS108" s="143"/>
      <c r="DT108" s="147"/>
      <c r="DU108" s="147"/>
      <c r="DV108" s="133"/>
      <c r="DW108" s="133"/>
      <c r="DX108" s="133"/>
      <c r="DY108" s="133"/>
      <c r="DZ108" s="133"/>
      <c r="EA108" s="133"/>
      <c r="EB108" s="133"/>
      <c r="EC108" s="133"/>
      <c r="ED108" s="157"/>
      <c r="EE108" s="157"/>
      <c r="EF108" s="147"/>
      <c r="EG108" s="147"/>
      <c r="EH108" s="157"/>
      <c r="EI108" s="157"/>
      <c r="EJ108" s="147"/>
      <c r="EK108" s="147"/>
      <c r="EL108" s="147"/>
      <c r="EM108" s="143"/>
      <c r="EN108" s="147"/>
      <c r="EO108" s="147"/>
      <c r="EP108" s="501"/>
      <c r="EQ108" s="143"/>
      <c r="ER108" s="143"/>
      <c r="ES108" s="147"/>
      <c r="ET108" s="147"/>
      <c r="EU108" s="143"/>
      <c r="EV108" s="143"/>
      <c r="EW108" s="157"/>
      <c r="EX108" s="157"/>
      <c r="EY108" s="157"/>
      <c r="EZ108" s="157"/>
    </row>
    <row r="109" spans="2:408">
      <c r="D109" s="66"/>
      <c r="J109" s="327"/>
      <c r="Q109" s="6"/>
      <c r="R109" s="6"/>
      <c r="S109" s="6"/>
      <c r="T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133"/>
      <c r="AJ109" s="133"/>
      <c r="AK109" s="133"/>
      <c r="AL109" s="133"/>
      <c r="AM109" s="133"/>
      <c r="AN109" s="133"/>
      <c r="AO109" s="133"/>
      <c r="AP109" s="133"/>
      <c r="AQ109" s="133"/>
      <c r="AR109" s="133"/>
      <c r="AU109" s="133"/>
      <c r="AV109" s="133"/>
      <c r="AW109" s="133"/>
      <c r="AX109" s="133"/>
      <c r="AY109" s="133"/>
      <c r="AZ109" s="133"/>
      <c r="BA109" s="133"/>
      <c r="BB109" s="133"/>
      <c r="BC109" s="6"/>
      <c r="BD109" s="8"/>
      <c r="BE109" s="8"/>
      <c r="BF109" s="8"/>
      <c r="BG109" s="8"/>
      <c r="BH109" s="8"/>
      <c r="BM109" s="133"/>
      <c r="BN109" s="133"/>
      <c r="BO109" s="143"/>
      <c r="BP109" s="133"/>
      <c r="BQ109" s="143"/>
      <c r="BR109" s="133"/>
      <c r="BS109" s="143"/>
      <c r="BT109" s="133"/>
      <c r="BU109" s="147"/>
      <c r="BV109" s="147"/>
      <c r="BX109" s="147"/>
      <c r="BY109" s="147"/>
      <c r="CB109" s="476"/>
      <c r="CD109" s="3"/>
      <c r="CE109" s="3"/>
      <c r="CF109" s="157"/>
      <c r="CG109" s="157"/>
      <c r="CH109" s="157"/>
      <c r="CI109" s="158"/>
      <c r="CJ109" s="157"/>
      <c r="CK109" s="477"/>
      <c r="CL109" s="157"/>
      <c r="CM109" s="157"/>
      <c r="CN109" s="157"/>
      <c r="CO109" s="157"/>
      <c r="CP109" s="157"/>
      <c r="CQ109" s="157"/>
      <c r="CR109" s="157"/>
      <c r="CS109" s="157"/>
      <c r="CT109" s="66"/>
      <c r="CU109" s="66"/>
      <c r="CV109" s="3"/>
      <c r="CW109" s="60"/>
      <c r="CX109" s="3"/>
      <c r="CY109" s="3"/>
      <c r="CZ109" s="6"/>
      <c r="DA109" s="6"/>
      <c r="DB109" s="4"/>
      <c r="DC109" s="4"/>
      <c r="DD109" s="157"/>
      <c r="DE109" s="157"/>
      <c r="DF109" s="143"/>
      <c r="DG109" s="143"/>
      <c r="DH109" s="159"/>
      <c r="DI109" s="167"/>
      <c r="DJ109" s="157"/>
      <c r="DK109" s="157"/>
      <c r="DL109" s="147"/>
      <c r="DM109" s="133"/>
      <c r="DN109" s="159"/>
      <c r="DO109" s="167"/>
      <c r="DP109" s="157"/>
      <c r="DQ109" s="157"/>
      <c r="DR109" s="143"/>
      <c r="DS109" s="143"/>
      <c r="DT109" s="147"/>
      <c r="DU109" s="147"/>
      <c r="DV109" s="133"/>
      <c r="DW109" s="133"/>
      <c r="DX109" s="133"/>
      <c r="DY109" s="133"/>
      <c r="DZ109" s="133"/>
      <c r="EA109" s="133"/>
      <c r="EB109" s="133"/>
      <c r="EC109" s="133"/>
      <c r="ED109" s="157"/>
      <c r="EE109" s="157"/>
      <c r="EF109" s="147"/>
      <c r="EG109" s="147"/>
      <c r="EH109" s="157"/>
      <c r="EI109" s="157"/>
      <c r="EJ109" s="147"/>
      <c r="EK109" s="147"/>
      <c r="EL109" s="147"/>
      <c r="EM109" s="143"/>
      <c r="EN109" s="147"/>
      <c r="EO109" s="147"/>
      <c r="EP109" s="501"/>
      <c r="EQ109" s="143"/>
      <c r="ER109" s="143"/>
      <c r="ES109" s="147"/>
      <c r="ET109" s="147"/>
      <c r="EU109" s="143"/>
      <c r="EV109" s="143"/>
      <c r="EW109" s="157"/>
      <c r="EX109" s="157"/>
      <c r="EY109" s="157"/>
      <c r="EZ109" s="157"/>
    </row>
    <row r="110" spans="2:408">
      <c r="D110" s="66"/>
      <c r="J110" s="327"/>
      <c r="Q110" s="6"/>
      <c r="R110" s="6"/>
      <c r="S110" s="6"/>
      <c r="T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133"/>
      <c r="AJ110" s="133"/>
      <c r="AK110" s="133"/>
      <c r="AL110" s="133"/>
      <c r="AM110" s="133"/>
      <c r="AN110" s="133"/>
      <c r="AO110" s="133"/>
      <c r="AP110" s="133"/>
      <c r="AQ110" s="133"/>
      <c r="AR110" s="133"/>
      <c r="AU110" s="133"/>
      <c r="AV110" s="133"/>
      <c r="AW110" s="133"/>
      <c r="AX110" s="133"/>
      <c r="AY110" s="133"/>
      <c r="AZ110" s="133"/>
      <c r="BA110" s="133"/>
      <c r="BB110" s="133"/>
      <c r="BC110" s="6"/>
      <c r="BD110" s="8"/>
      <c r="BE110" s="8"/>
      <c r="BF110" s="8"/>
      <c r="BG110" s="8"/>
      <c r="BH110" s="8"/>
      <c r="BM110" s="133"/>
      <c r="BN110" s="133"/>
      <c r="BO110" s="143"/>
      <c r="BP110" s="133"/>
      <c r="BQ110" s="143"/>
      <c r="BR110" s="133"/>
      <c r="BS110" s="143"/>
      <c r="BT110" s="133"/>
      <c r="BU110" s="147"/>
      <c r="BV110" s="147"/>
      <c r="BX110" s="147"/>
      <c r="BY110" s="147"/>
      <c r="CB110" s="476"/>
      <c r="CD110" s="3"/>
      <c r="CE110" s="3"/>
      <c r="CF110" s="157"/>
      <c r="CG110" s="157"/>
      <c r="CH110" s="157"/>
      <c r="CI110" s="158"/>
      <c r="CJ110" s="157"/>
      <c r="CK110" s="477"/>
      <c r="CL110" s="157"/>
      <c r="CM110" s="157"/>
      <c r="CN110" s="157"/>
      <c r="CO110" s="157"/>
      <c r="CP110" s="157"/>
      <c r="CQ110" s="157"/>
      <c r="CR110" s="157"/>
      <c r="CS110" s="157"/>
      <c r="CT110" s="66"/>
      <c r="CU110" s="66"/>
      <c r="CV110" s="3"/>
      <c r="CW110" s="60"/>
      <c r="CX110" s="3"/>
      <c r="CY110" s="3"/>
      <c r="CZ110" s="6"/>
      <c r="DA110" s="6"/>
      <c r="DB110" s="4"/>
      <c r="DC110" s="4"/>
      <c r="DD110" s="157"/>
      <c r="DE110" s="157"/>
      <c r="DF110" s="143"/>
      <c r="DG110" s="143"/>
      <c r="DH110" s="159"/>
      <c r="DI110" s="167"/>
      <c r="DJ110" s="157"/>
      <c r="DK110" s="157"/>
      <c r="DL110" s="147"/>
      <c r="DM110" s="133"/>
      <c r="DN110" s="159"/>
      <c r="DO110" s="167"/>
      <c r="DP110" s="157"/>
      <c r="DQ110" s="157"/>
      <c r="DR110" s="143"/>
      <c r="DS110" s="143"/>
      <c r="DT110" s="147"/>
      <c r="DU110" s="147"/>
      <c r="DV110" s="133"/>
      <c r="DW110" s="133"/>
      <c r="DX110" s="133"/>
      <c r="DY110" s="133"/>
      <c r="DZ110" s="133"/>
      <c r="EA110" s="133"/>
      <c r="EB110" s="133"/>
      <c r="EC110" s="133"/>
      <c r="ED110" s="157"/>
      <c r="EE110" s="157"/>
      <c r="EF110" s="147"/>
      <c r="EG110" s="147"/>
      <c r="EH110" s="157"/>
      <c r="EI110" s="157"/>
      <c r="EJ110" s="147"/>
      <c r="EK110" s="147"/>
      <c r="EL110" s="147"/>
      <c r="EM110" s="143"/>
      <c r="EN110" s="147"/>
      <c r="EO110" s="147"/>
      <c r="EP110" s="501"/>
      <c r="EQ110" s="143"/>
      <c r="ER110" s="143"/>
      <c r="ES110" s="147"/>
      <c r="ET110" s="147"/>
      <c r="EU110" s="143"/>
      <c r="EV110" s="143"/>
      <c r="EW110" s="157"/>
      <c r="EX110" s="157"/>
      <c r="EY110" s="157"/>
      <c r="EZ110" s="157"/>
    </row>
    <row r="111" spans="2:408">
      <c r="D111" s="66"/>
      <c r="J111" s="327"/>
      <c r="Q111" s="6"/>
      <c r="R111" s="6"/>
      <c r="S111" s="6"/>
      <c r="T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133"/>
      <c r="AJ111" s="133"/>
      <c r="AK111" s="133"/>
      <c r="AL111" s="133"/>
      <c r="AM111" s="133"/>
      <c r="AN111" s="133"/>
      <c r="AO111" s="133"/>
      <c r="AP111" s="133"/>
      <c r="AQ111" s="133"/>
      <c r="AR111" s="133"/>
      <c r="AU111" s="133"/>
      <c r="AV111" s="133"/>
      <c r="AW111" s="133"/>
      <c r="AX111" s="133"/>
      <c r="AY111" s="133"/>
      <c r="AZ111" s="133"/>
      <c r="BA111" s="133"/>
      <c r="BB111" s="133"/>
      <c r="BC111" s="6"/>
      <c r="BD111" s="8"/>
      <c r="BE111" s="8"/>
      <c r="BF111" s="8"/>
      <c r="BG111" s="8"/>
      <c r="BH111" s="8"/>
      <c r="BM111" s="133"/>
      <c r="BN111" s="133"/>
      <c r="BO111" s="143"/>
      <c r="BP111" s="133"/>
      <c r="BQ111" s="143"/>
      <c r="BR111" s="133"/>
      <c r="BS111" s="143"/>
      <c r="BT111" s="133"/>
      <c r="BU111" s="147"/>
      <c r="BV111" s="147"/>
      <c r="BX111" s="147"/>
      <c r="BY111" s="147"/>
      <c r="CB111" s="476"/>
      <c r="CD111" s="3"/>
      <c r="CE111" s="3"/>
      <c r="CF111" s="157"/>
      <c r="CG111" s="157"/>
      <c r="CH111" s="157"/>
      <c r="CI111" s="158"/>
      <c r="CJ111" s="157"/>
      <c r="CK111" s="477"/>
      <c r="CL111" s="157"/>
      <c r="CM111" s="157"/>
      <c r="CN111" s="157"/>
      <c r="CO111" s="157"/>
      <c r="CP111" s="157"/>
      <c r="CQ111" s="157"/>
      <c r="CR111" s="157"/>
      <c r="CS111" s="157"/>
      <c r="CT111" s="66"/>
      <c r="CU111" s="66"/>
      <c r="CV111" s="3"/>
      <c r="CW111" s="60"/>
      <c r="CX111" s="3"/>
      <c r="CY111" s="3"/>
      <c r="CZ111" s="6"/>
      <c r="DA111" s="6"/>
      <c r="DB111" s="4"/>
      <c r="DC111" s="4"/>
      <c r="DD111" s="157"/>
      <c r="DE111" s="157"/>
      <c r="DF111" s="143"/>
      <c r="DG111" s="143"/>
      <c r="DH111" s="159"/>
      <c r="DI111" s="167"/>
      <c r="DJ111" s="157"/>
      <c r="DK111" s="157"/>
      <c r="DL111" s="147"/>
      <c r="DM111" s="133"/>
      <c r="DN111" s="159"/>
      <c r="DO111" s="167"/>
      <c r="DP111" s="157"/>
      <c r="DQ111" s="157"/>
      <c r="DR111" s="143"/>
      <c r="DS111" s="143"/>
      <c r="DT111" s="147"/>
      <c r="DU111" s="147"/>
      <c r="DV111" s="133"/>
      <c r="DW111" s="133"/>
      <c r="DX111" s="133"/>
      <c r="DY111" s="133"/>
      <c r="DZ111" s="133"/>
      <c r="EA111" s="133"/>
      <c r="EB111" s="133"/>
      <c r="EC111" s="133"/>
      <c r="ED111" s="157"/>
      <c r="EE111" s="157"/>
      <c r="EF111" s="147"/>
      <c r="EG111" s="147"/>
      <c r="EH111" s="157"/>
      <c r="EI111" s="157"/>
      <c r="EJ111" s="147"/>
      <c r="EK111" s="147"/>
      <c r="EL111" s="147"/>
      <c r="EM111" s="143"/>
      <c r="EN111" s="147"/>
      <c r="EO111" s="147"/>
      <c r="EP111" s="501"/>
      <c r="EQ111" s="143"/>
      <c r="ER111" s="143"/>
      <c r="ES111" s="147"/>
      <c r="ET111" s="147"/>
      <c r="EU111" s="143"/>
      <c r="EV111" s="143"/>
      <c r="EW111" s="157"/>
      <c r="EX111" s="157"/>
      <c r="EY111" s="157"/>
      <c r="EZ111" s="157"/>
    </row>
    <row r="112" spans="2:408">
      <c r="D112" s="66"/>
      <c r="J112" s="327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133"/>
      <c r="AJ112" s="133"/>
      <c r="AK112" s="133"/>
      <c r="AL112" s="133"/>
      <c r="AM112" s="133"/>
      <c r="AN112" s="133"/>
      <c r="AO112" s="133"/>
      <c r="AP112" s="133"/>
      <c r="AQ112" s="133"/>
      <c r="AR112" s="133"/>
      <c r="AU112" s="133"/>
      <c r="AV112" s="133"/>
      <c r="AW112" s="133"/>
      <c r="AX112" s="133"/>
      <c r="AY112" s="133"/>
      <c r="AZ112" s="133"/>
      <c r="BA112" s="133"/>
      <c r="BB112" s="133"/>
      <c r="BC112" s="6"/>
      <c r="BD112" s="8"/>
      <c r="BE112" s="8"/>
      <c r="BF112" s="8"/>
      <c r="BG112" s="8"/>
      <c r="BH112" s="8"/>
      <c r="BM112" s="133"/>
      <c r="BN112" s="133"/>
      <c r="BO112" s="143"/>
      <c r="BP112" s="133"/>
      <c r="BQ112" s="143"/>
      <c r="BR112" s="133"/>
      <c r="BS112" s="143"/>
      <c r="BT112" s="133"/>
      <c r="BU112" s="147"/>
      <c r="BV112" s="147"/>
      <c r="BX112" s="147"/>
      <c r="BY112" s="147"/>
      <c r="CB112" s="476"/>
      <c r="CD112" s="3"/>
      <c r="CE112" s="3"/>
      <c r="CF112" s="157"/>
      <c r="CG112" s="157"/>
      <c r="CH112" s="157"/>
      <c r="CI112" s="158"/>
      <c r="CJ112" s="157"/>
      <c r="CK112" s="477"/>
      <c r="CL112" s="157"/>
      <c r="CM112" s="157"/>
      <c r="CN112" s="157"/>
      <c r="CO112" s="157"/>
      <c r="CP112" s="157"/>
      <c r="CQ112" s="157"/>
      <c r="CR112" s="157"/>
      <c r="CS112" s="157"/>
      <c r="CT112" s="66"/>
      <c r="CU112" s="66"/>
      <c r="CV112" s="3"/>
      <c r="CW112" s="60"/>
      <c r="CX112" s="3"/>
      <c r="CY112" s="3"/>
      <c r="CZ112" s="6"/>
      <c r="DA112" s="6"/>
      <c r="DB112" s="4"/>
      <c r="DC112" s="4"/>
      <c r="DD112" s="157"/>
      <c r="DE112" s="157"/>
      <c r="DF112" s="143"/>
      <c r="DG112" s="143"/>
      <c r="DH112" s="159"/>
      <c r="DI112" s="167"/>
      <c r="DJ112" s="157"/>
      <c r="DK112" s="157"/>
      <c r="DL112" s="147"/>
      <c r="DM112" s="133"/>
      <c r="DN112" s="159"/>
      <c r="DO112" s="167"/>
      <c r="DP112" s="157"/>
      <c r="DQ112" s="157"/>
      <c r="DR112" s="143"/>
      <c r="DS112" s="143"/>
      <c r="DT112" s="147"/>
      <c r="DU112" s="147"/>
      <c r="DV112" s="133"/>
      <c r="DW112" s="133"/>
      <c r="DX112" s="133"/>
      <c r="DY112" s="133"/>
      <c r="DZ112" s="133"/>
      <c r="EA112" s="133"/>
      <c r="EB112" s="133"/>
      <c r="EC112" s="133"/>
      <c r="ED112" s="157"/>
      <c r="EE112" s="157"/>
      <c r="EF112" s="147"/>
      <c r="EG112" s="147"/>
      <c r="EH112" s="157"/>
      <c r="EI112" s="157"/>
      <c r="EJ112" s="147"/>
      <c r="EK112" s="147"/>
      <c r="EL112" s="147"/>
      <c r="EM112" s="143"/>
      <c r="EN112" s="147"/>
      <c r="EO112" s="147"/>
      <c r="EP112" s="501"/>
      <c r="EQ112" s="143"/>
      <c r="ER112" s="143"/>
      <c r="ES112" s="147"/>
      <c r="ET112" s="147"/>
      <c r="EU112" s="143"/>
      <c r="EV112" s="143"/>
      <c r="EW112" s="157"/>
      <c r="EX112" s="157"/>
      <c r="EY112" s="157"/>
      <c r="EZ112" s="157"/>
      <c r="NE112" s="496"/>
      <c r="NF112" s="496"/>
      <c r="NG112" s="496"/>
      <c r="NH112" s="496"/>
    </row>
    <row r="113" spans="2:408">
      <c r="D113" s="66"/>
      <c r="J113" s="327"/>
      <c r="Q113" s="6"/>
      <c r="R113" s="6"/>
      <c r="S113" s="6"/>
      <c r="T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133"/>
      <c r="AJ113" s="133"/>
      <c r="AK113" s="133"/>
      <c r="AL113" s="133"/>
      <c r="AM113" s="133"/>
      <c r="AN113" s="133"/>
      <c r="AO113" s="133"/>
      <c r="AP113" s="133"/>
      <c r="AQ113" s="133"/>
      <c r="AR113" s="133"/>
      <c r="AU113" s="133"/>
      <c r="AV113" s="133"/>
      <c r="AW113" s="133"/>
      <c r="AX113" s="133"/>
      <c r="AY113" s="133"/>
      <c r="AZ113" s="133"/>
      <c r="BA113" s="133"/>
      <c r="BB113" s="133"/>
      <c r="BC113" s="6"/>
      <c r="BD113" s="8"/>
      <c r="BE113" s="8"/>
      <c r="BF113" s="8"/>
      <c r="BG113" s="8"/>
      <c r="BH113" s="8"/>
      <c r="BM113" s="133"/>
      <c r="BN113" s="133"/>
      <c r="BO113" s="143"/>
      <c r="BP113" s="133"/>
      <c r="BQ113" s="143"/>
      <c r="BR113" s="133"/>
      <c r="BS113" s="143"/>
      <c r="BT113" s="133"/>
      <c r="BU113" s="147"/>
      <c r="BV113" s="147"/>
      <c r="BX113" s="147"/>
      <c r="BY113" s="147"/>
      <c r="CB113" s="476"/>
      <c r="CD113" s="3"/>
      <c r="CE113" s="3"/>
      <c r="CF113" s="157"/>
      <c r="CG113" s="157"/>
      <c r="CH113" s="157"/>
      <c r="CI113" s="158"/>
      <c r="CJ113" s="157"/>
      <c r="CK113" s="477"/>
      <c r="CL113" s="157"/>
      <c r="CM113" s="157"/>
      <c r="CN113" s="157"/>
      <c r="CO113" s="157"/>
      <c r="CP113" s="157"/>
      <c r="CQ113" s="157"/>
      <c r="CR113" s="157"/>
      <c r="CS113" s="157"/>
      <c r="CT113" s="66"/>
      <c r="CU113" s="66"/>
      <c r="CV113" s="3"/>
      <c r="CW113" s="60"/>
      <c r="CX113" s="3"/>
      <c r="CY113" s="3"/>
      <c r="CZ113" s="6"/>
      <c r="DA113" s="6"/>
      <c r="DB113" s="4"/>
      <c r="DC113" s="4"/>
      <c r="DD113" s="157"/>
      <c r="DE113" s="157"/>
      <c r="DF113" s="143"/>
      <c r="DG113" s="143"/>
      <c r="DH113" s="159"/>
      <c r="DI113" s="167"/>
      <c r="DJ113" s="157"/>
      <c r="DK113" s="157"/>
      <c r="DL113" s="147"/>
      <c r="DM113" s="133"/>
      <c r="DN113" s="159"/>
      <c r="DO113" s="167"/>
      <c r="DP113" s="157"/>
      <c r="DQ113" s="157"/>
      <c r="DR113" s="143"/>
      <c r="DS113" s="143"/>
      <c r="DT113" s="147"/>
      <c r="DU113" s="147"/>
      <c r="DV113" s="133"/>
      <c r="DW113" s="133"/>
      <c r="DX113" s="133"/>
      <c r="DY113" s="133"/>
      <c r="DZ113" s="133"/>
      <c r="EA113" s="133"/>
      <c r="EB113" s="133"/>
      <c r="EC113" s="133"/>
      <c r="ED113" s="157"/>
      <c r="EE113" s="157"/>
      <c r="EF113" s="147"/>
      <c r="EG113" s="147"/>
      <c r="EH113" s="157"/>
      <c r="EI113" s="157"/>
      <c r="EJ113" s="147"/>
      <c r="EK113" s="147"/>
      <c r="EL113" s="147"/>
      <c r="EM113" s="143"/>
      <c r="EN113" s="147"/>
      <c r="EO113" s="147"/>
      <c r="EP113" s="501"/>
      <c r="EQ113" s="143"/>
      <c r="ER113" s="143"/>
      <c r="ES113" s="147"/>
      <c r="ET113" s="147"/>
      <c r="EU113" s="143"/>
      <c r="EV113" s="143"/>
      <c r="EW113" s="157"/>
      <c r="EX113" s="157"/>
      <c r="EY113" s="157"/>
      <c r="EZ113" s="157"/>
    </row>
    <row r="114" spans="2:408">
      <c r="D114" s="66"/>
      <c r="J114" s="327"/>
      <c r="Q114" s="6"/>
      <c r="R114" s="6"/>
      <c r="S114" s="6"/>
      <c r="T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133"/>
      <c r="AJ114" s="133"/>
      <c r="AK114" s="133"/>
      <c r="AL114" s="133"/>
      <c r="AM114" s="133"/>
      <c r="AN114" s="133"/>
      <c r="AO114" s="133"/>
      <c r="AP114" s="133"/>
      <c r="AQ114" s="133"/>
      <c r="AR114" s="133"/>
      <c r="AU114" s="133"/>
      <c r="AV114" s="133"/>
      <c r="AW114" s="133"/>
      <c r="AX114" s="133"/>
      <c r="AY114" s="133"/>
      <c r="AZ114" s="133"/>
      <c r="BA114" s="133"/>
      <c r="BB114" s="133"/>
      <c r="BC114" s="6"/>
      <c r="BD114" s="8"/>
      <c r="BE114" s="8"/>
      <c r="BF114" s="8"/>
      <c r="BG114" s="8"/>
      <c r="BH114" s="8"/>
      <c r="BM114" s="133"/>
      <c r="BN114" s="133"/>
      <c r="BO114" s="143"/>
      <c r="BP114" s="133"/>
      <c r="BQ114" s="143"/>
      <c r="BR114" s="133"/>
      <c r="BS114" s="143"/>
      <c r="BT114" s="133"/>
      <c r="BU114" s="147"/>
      <c r="BV114" s="147"/>
      <c r="BX114" s="147"/>
      <c r="BY114" s="147"/>
      <c r="CB114" s="476"/>
      <c r="CD114" s="3"/>
      <c r="CE114" s="3"/>
      <c r="CF114" s="157"/>
      <c r="CG114" s="157"/>
      <c r="CH114" s="157"/>
      <c r="CI114" s="158"/>
      <c r="CJ114" s="157"/>
      <c r="CK114" s="477"/>
      <c r="CL114" s="157"/>
      <c r="CM114" s="157"/>
      <c r="CN114" s="157"/>
      <c r="CO114" s="157"/>
      <c r="CP114" s="157"/>
      <c r="CQ114" s="157"/>
      <c r="CR114" s="157"/>
      <c r="CS114" s="157"/>
      <c r="CT114" s="66"/>
      <c r="CU114" s="66"/>
      <c r="CV114" s="3"/>
      <c r="CW114" s="60"/>
      <c r="CX114" s="3"/>
      <c r="CY114" s="3"/>
      <c r="CZ114" s="6"/>
      <c r="DA114" s="6"/>
      <c r="DB114" s="4"/>
      <c r="DC114" s="4"/>
      <c r="DD114" s="157"/>
      <c r="DE114" s="157"/>
      <c r="DF114" s="143"/>
      <c r="DG114" s="143"/>
      <c r="DH114" s="159"/>
      <c r="DI114" s="167"/>
      <c r="DJ114" s="157"/>
      <c r="DK114" s="157"/>
      <c r="DL114" s="147"/>
      <c r="DM114" s="133"/>
      <c r="DN114" s="159"/>
      <c r="DO114" s="167"/>
      <c r="DP114" s="157"/>
      <c r="DQ114" s="157"/>
      <c r="DR114" s="143"/>
      <c r="DS114" s="143"/>
      <c r="DT114" s="147"/>
      <c r="DU114" s="147"/>
      <c r="DV114" s="133"/>
      <c r="DW114" s="133"/>
      <c r="DX114" s="133"/>
      <c r="DY114" s="133"/>
      <c r="DZ114" s="133"/>
      <c r="EA114" s="133"/>
      <c r="EB114" s="133"/>
      <c r="EC114" s="133"/>
      <c r="ED114" s="157"/>
      <c r="EE114" s="157"/>
      <c r="EF114" s="147"/>
      <c r="EG114" s="147"/>
      <c r="EH114" s="157"/>
      <c r="EI114" s="157"/>
      <c r="EJ114" s="147"/>
      <c r="EK114" s="147"/>
      <c r="EL114" s="147"/>
      <c r="EM114" s="143"/>
      <c r="EN114" s="147"/>
      <c r="EO114" s="147"/>
      <c r="EP114" s="501"/>
      <c r="EQ114" s="143"/>
      <c r="ER114" s="143"/>
      <c r="ES114" s="147"/>
      <c r="ET114" s="147"/>
      <c r="EU114" s="143"/>
      <c r="EV114" s="143"/>
      <c r="EW114" s="157"/>
      <c r="EX114" s="157"/>
      <c r="EY114" s="157"/>
      <c r="EZ114" s="157"/>
    </row>
    <row r="115" spans="2:408" s="484" customFormat="1" ht="17.399999999999999">
      <c r="B115" s="245"/>
      <c r="C115" s="5"/>
      <c r="D115" s="486"/>
      <c r="E115" s="487"/>
      <c r="F115" s="117"/>
      <c r="G115" s="117"/>
      <c r="H115" s="117"/>
      <c r="I115" s="117"/>
      <c r="J115" s="488"/>
      <c r="K115" s="487"/>
      <c r="L115" s="117"/>
      <c r="M115" s="117"/>
      <c r="N115" s="117"/>
      <c r="O115" s="514"/>
      <c r="P115" s="514"/>
      <c r="X115" s="118"/>
      <c r="Y115" s="118"/>
      <c r="Z115" s="118"/>
      <c r="AA115" s="118"/>
      <c r="AB115" s="118"/>
      <c r="AC115" s="118"/>
      <c r="AD115" s="118"/>
      <c r="AE115" s="118"/>
      <c r="AF115" s="118"/>
      <c r="AG115" s="118"/>
      <c r="AH115" s="118"/>
      <c r="AI115" s="489"/>
      <c r="AJ115" s="489"/>
      <c r="AK115" s="489"/>
      <c r="AL115" s="489"/>
      <c r="AM115" s="489"/>
      <c r="AN115" s="489"/>
      <c r="AO115" s="489"/>
      <c r="AP115" s="489"/>
      <c r="AQ115" s="489"/>
      <c r="AR115" s="489"/>
      <c r="AS115" s="117"/>
      <c r="AT115" s="117"/>
      <c r="AU115" s="489"/>
      <c r="AV115" s="489"/>
      <c r="AW115" s="489"/>
      <c r="AX115" s="489"/>
      <c r="AY115" s="489"/>
      <c r="AZ115" s="489"/>
      <c r="BA115" s="489"/>
      <c r="BB115" s="489"/>
      <c r="BC115" s="118"/>
      <c r="BD115" s="490"/>
      <c r="BE115" s="490"/>
      <c r="BF115" s="490"/>
      <c r="BG115" s="490"/>
      <c r="BH115" s="490"/>
      <c r="BI115" s="491"/>
      <c r="BJ115" s="491"/>
      <c r="BK115" s="489"/>
      <c r="BL115" s="489"/>
      <c r="BM115" s="489"/>
      <c r="BN115" s="489"/>
      <c r="BO115" s="247"/>
      <c r="BP115" s="489"/>
      <c r="BQ115" s="247"/>
      <c r="BR115" s="489"/>
      <c r="BS115" s="247"/>
      <c r="BT115" s="489"/>
      <c r="BU115" s="168"/>
      <c r="BV115" s="168"/>
      <c r="BW115" s="117"/>
      <c r="BX115" s="168"/>
      <c r="BY115" s="168"/>
      <c r="BZ115" s="247"/>
      <c r="CA115" s="168"/>
      <c r="CB115" s="481"/>
      <c r="CC115" s="247"/>
      <c r="CD115" s="491"/>
      <c r="CE115" s="491"/>
      <c r="CF115" s="482"/>
      <c r="CG115" s="482"/>
      <c r="CH115" s="482"/>
      <c r="CI115" s="492"/>
      <c r="CJ115" s="157"/>
      <c r="CK115" s="477"/>
      <c r="CL115" s="157"/>
      <c r="CM115" s="157"/>
      <c r="CN115" s="482"/>
      <c r="CO115" s="482"/>
      <c r="CP115" s="482"/>
      <c r="CQ115" s="482"/>
      <c r="CR115" s="482"/>
      <c r="CS115" s="482"/>
      <c r="CT115" s="66"/>
      <c r="CU115" s="66"/>
      <c r="CV115" s="491"/>
      <c r="CW115" s="493"/>
      <c r="CX115" s="491"/>
      <c r="CY115" s="491"/>
      <c r="CZ115" s="118"/>
      <c r="DA115" s="118"/>
      <c r="DB115" s="267"/>
      <c r="DC115" s="267"/>
      <c r="DD115" s="482"/>
      <c r="DE115" s="482"/>
      <c r="DF115" s="247"/>
      <c r="DG115" s="247"/>
      <c r="DH115" s="494"/>
      <c r="DI115" s="495"/>
      <c r="DJ115" s="482"/>
      <c r="DK115" s="482"/>
      <c r="DL115" s="489"/>
      <c r="DM115" s="489"/>
      <c r="DN115" s="494"/>
      <c r="DO115" s="495"/>
      <c r="DP115" s="482"/>
      <c r="DQ115" s="482"/>
      <c r="DR115" s="247"/>
      <c r="DS115" s="247"/>
      <c r="DT115" s="168"/>
      <c r="DU115" s="168"/>
      <c r="DV115" s="489"/>
      <c r="DW115" s="489"/>
      <c r="DX115" s="489"/>
      <c r="DY115" s="489"/>
      <c r="DZ115" s="489"/>
      <c r="EA115" s="489"/>
      <c r="EB115" s="489"/>
      <c r="EC115" s="489"/>
      <c r="ED115" s="482"/>
      <c r="EE115" s="482"/>
      <c r="EF115" s="168"/>
      <c r="EG115" s="168"/>
      <c r="EH115" s="482"/>
      <c r="EI115" s="482"/>
      <c r="EJ115" s="168"/>
      <c r="EK115" s="168"/>
      <c r="EL115" s="168"/>
      <c r="EM115" s="247"/>
      <c r="EN115" s="168"/>
      <c r="EO115" s="168"/>
      <c r="EP115" s="502"/>
      <c r="EQ115" s="247"/>
      <c r="ER115" s="247"/>
      <c r="ES115" s="168"/>
      <c r="ET115" s="168"/>
      <c r="EU115" s="247"/>
      <c r="EV115" s="247"/>
      <c r="EW115" s="482"/>
      <c r="EX115" s="482"/>
      <c r="EY115" s="482"/>
      <c r="EZ115" s="482"/>
      <c r="FA115" s="486"/>
      <c r="FB115" s="486"/>
      <c r="FC115" s="486"/>
      <c r="FD115" s="486"/>
      <c r="FE115" s="486"/>
      <c r="FF115" s="486"/>
      <c r="FG115" s="117"/>
      <c r="FH115" s="117"/>
      <c r="FI115" s="486"/>
      <c r="FJ115" s="486"/>
      <c r="FK115" s="486"/>
      <c r="FL115" s="486"/>
      <c r="FM115" s="486"/>
      <c r="FN115" s="486"/>
      <c r="FO115" s="117"/>
      <c r="FP115" s="117"/>
      <c r="FQ115" s="494"/>
      <c r="FR115" s="494"/>
      <c r="FS115" s="494"/>
      <c r="FT115" s="494"/>
      <c r="FU115" s="494"/>
      <c r="FV115" s="494"/>
      <c r="FW115" s="494"/>
      <c r="FX115" s="494"/>
      <c r="FY115" s="494"/>
      <c r="FZ115" s="494"/>
      <c r="GA115" s="494"/>
      <c r="GB115" s="494"/>
      <c r="GC115" s="494"/>
      <c r="GD115" s="494"/>
      <c r="GE115" s="494"/>
      <c r="GF115" s="494"/>
      <c r="GG115" s="117"/>
      <c r="GH115" s="117"/>
      <c r="GI115" s="117"/>
      <c r="GJ115" s="117"/>
      <c r="GK115" s="161"/>
      <c r="GL115" s="161"/>
      <c r="GM115" s="161"/>
      <c r="GN115" s="161"/>
      <c r="GO115" s="161"/>
      <c r="GP115" s="161"/>
      <c r="GQ115" s="161"/>
      <c r="GR115" s="161"/>
      <c r="GS115" s="161"/>
      <c r="GT115" s="161"/>
      <c r="GU115" s="161"/>
      <c r="GV115" s="161"/>
      <c r="GW115" s="161"/>
      <c r="GX115" s="161"/>
      <c r="GY115" s="161"/>
      <c r="GZ115" s="161"/>
      <c r="HA115" s="117"/>
      <c r="HB115" s="117"/>
      <c r="HC115" s="161"/>
      <c r="HD115" s="161"/>
      <c r="HE115" s="161"/>
      <c r="HF115" s="161"/>
      <c r="HG115" s="161"/>
      <c r="HH115" s="161"/>
      <c r="HI115" s="117"/>
      <c r="HJ115" s="117"/>
      <c r="HK115" s="161"/>
      <c r="HL115" s="161"/>
      <c r="HM115" s="161"/>
      <c r="HN115" s="161"/>
      <c r="HO115" s="161"/>
      <c r="HP115" s="161"/>
      <c r="HQ115" s="117"/>
      <c r="HR115" s="117"/>
      <c r="HS115" s="117"/>
      <c r="HT115" s="117"/>
      <c r="HU115" s="117"/>
      <c r="HV115" s="117"/>
      <c r="HW115" s="117"/>
      <c r="HX115" s="117"/>
      <c r="HY115" s="491"/>
      <c r="HZ115" s="491"/>
      <c r="IA115" s="491"/>
      <c r="IB115" s="491"/>
      <c r="IC115" s="491"/>
      <c r="ID115" s="491"/>
      <c r="IE115" s="491"/>
      <c r="IF115" s="491"/>
      <c r="IG115" s="491"/>
      <c r="IH115" s="491"/>
      <c r="II115" s="491"/>
      <c r="IJ115" s="491"/>
      <c r="IK115" s="491"/>
      <c r="IL115" s="491"/>
      <c r="IM115" s="491"/>
      <c r="IN115" s="491"/>
      <c r="IO115" s="491"/>
      <c r="IP115" s="491"/>
      <c r="IQ115" s="491"/>
      <c r="IR115" s="491"/>
      <c r="IS115" s="491"/>
      <c r="IT115" s="491"/>
      <c r="IU115" s="491"/>
      <c r="IV115" s="491"/>
      <c r="IW115" s="491"/>
      <c r="IX115" s="491"/>
      <c r="IY115" s="491"/>
      <c r="IZ115" s="491"/>
      <c r="JA115" s="482"/>
      <c r="JB115" s="482"/>
      <c r="JC115" s="482"/>
      <c r="JD115" s="482"/>
      <c r="JE115" s="482"/>
      <c r="JF115" s="482"/>
      <c r="JG115" s="482"/>
      <c r="JH115" s="482"/>
      <c r="JI115" s="482"/>
      <c r="JJ115" s="482"/>
      <c r="JK115" s="482"/>
      <c r="JL115" s="482"/>
      <c r="JM115" s="482"/>
      <c r="JN115" s="482"/>
      <c r="JO115" s="482"/>
      <c r="JP115" s="482"/>
      <c r="JQ115" s="482"/>
      <c r="JR115" s="482"/>
      <c r="JS115" s="482"/>
      <c r="JT115" s="482"/>
      <c r="JU115" s="482"/>
      <c r="JV115" s="482"/>
      <c r="JW115" s="482"/>
      <c r="JX115" s="482"/>
      <c r="JY115" s="482"/>
      <c r="JZ115" s="482"/>
      <c r="KA115" s="117"/>
      <c r="KB115" s="117"/>
      <c r="KC115" s="117"/>
      <c r="KD115" s="117"/>
      <c r="KE115" s="161"/>
      <c r="KF115" s="161"/>
      <c r="KG115" s="161"/>
      <c r="KH115" s="161"/>
      <c r="KI115" s="117"/>
      <c r="KJ115" s="117"/>
      <c r="KK115" s="161"/>
      <c r="KL115" s="161"/>
      <c r="KM115" s="161"/>
      <c r="KN115" s="161"/>
      <c r="KO115" s="117"/>
      <c r="KP115" s="117"/>
      <c r="KQ115" s="161"/>
      <c r="KR115" s="161"/>
      <c r="KS115" s="161"/>
      <c r="KT115" s="161"/>
      <c r="KU115" s="161"/>
      <c r="KV115" s="161"/>
      <c r="KW115" s="161"/>
      <c r="KX115" s="161"/>
      <c r="KY115" s="161"/>
      <c r="KZ115" s="161"/>
      <c r="LA115" s="117"/>
      <c r="LB115" s="117"/>
      <c r="LC115" s="161"/>
      <c r="LD115" s="161"/>
      <c r="LE115" s="161"/>
      <c r="LF115" s="161"/>
      <c r="LG115" s="161"/>
      <c r="LH115" s="161"/>
      <c r="LI115" s="161"/>
      <c r="LJ115" s="161"/>
      <c r="LK115" s="161"/>
      <c r="LL115" s="161"/>
      <c r="LM115" s="161"/>
      <c r="LN115" s="161"/>
      <c r="LO115" s="161"/>
      <c r="LP115" s="161"/>
      <c r="LQ115" s="161"/>
      <c r="LR115" s="161"/>
      <c r="LS115" s="161"/>
      <c r="LT115" s="161"/>
      <c r="LW115" s="257"/>
      <c r="LX115" s="257"/>
      <c r="LY115" s="257"/>
      <c r="LZ115" s="257"/>
      <c r="MA115" s="257"/>
      <c r="MB115" s="257"/>
      <c r="MC115" s="257"/>
      <c r="MD115" s="257"/>
      <c r="ME115" s="257"/>
      <c r="MF115" s="257"/>
      <c r="MG115" s="257"/>
      <c r="MH115" s="257"/>
      <c r="MI115" s="257"/>
      <c r="MJ115" s="257"/>
      <c r="MK115" s="257"/>
      <c r="ML115" s="257"/>
      <c r="MM115" s="257"/>
      <c r="MN115" s="257"/>
      <c r="MO115" s="257"/>
      <c r="MP115" s="257"/>
      <c r="MQ115" s="257"/>
      <c r="MR115" s="257"/>
      <c r="MS115" s="257"/>
      <c r="MT115" s="257"/>
      <c r="MU115" s="496"/>
      <c r="MV115" s="496"/>
      <c r="MW115" s="496"/>
      <c r="MX115" s="496"/>
      <c r="MY115" s="496"/>
      <c r="MZ115" s="496"/>
      <c r="NA115" s="496"/>
      <c r="NB115" s="496"/>
      <c r="NC115" s="496"/>
      <c r="ND115" s="496"/>
      <c r="NE115" s="62"/>
      <c r="NF115" s="62"/>
      <c r="NG115" s="62"/>
      <c r="NH115" s="62"/>
      <c r="NI115" s="496"/>
      <c r="NJ115" s="496"/>
      <c r="NK115" s="540"/>
      <c r="NL115" s="540"/>
      <c r="NM115" s="540"/>
      <c r="NN115" s="540"/>
      <c r="NO115" s="540"/>
      <c r="NP115" s="540"/>
      <c r="NQ115" s="540"/>
      <c r="NR115" s="540"/>
      <c r="NS115" s="540"/>
      <c r="NT115" s="540"/>
      <c r="NU115" s="540"/>
      <c r="NV115" s="540"/>
      <c r="NW115" s="540"/>
      <c r="NX115" s="540"/>
      <c r="NY115" s="540"/>
      <c r="NZ115" s="540"/>
      <c r="OA115" s="540"/>
      <c r="OB115" s="540"/>
      <c r="OC115" s="540"/>
      <c r="OD115" s="540"/>
      <c r="OE115" s="540"/>
      <c r="OF115" s="540"/>
      <c r="OG115" s="707"/>
      <c r="OH115" s="707"/>
      <c r="OI115" s="705"/>
      <c r="OJ115" s="705"/>
      <c r="OK115" s="540"/>
      <c r="OL115" s="540"/>
      <c r="OM115" s="540"/>
      <c r="ON115" s="540"/>
      <c r="OO115" s="540"/>
      <c r="OP115" s="540"/>
      <c r="OQ115" s="540"/>
      <c r="OR115" s="540"/>
    </row>
    <row r="117" spans="2:408">
      <c r="AU117" s="505"/>
      <c r="AW117" s="505"/>
      <c r="AY117" s="505"/>
      <c r="BA117" s="505"/>
    </row>
  </sheetData>
  <mergeCells count="64">
    <mergeCell ref="NC5:NJ5"/>
    <mergeCell ref="ME5:MH5"/>
    <mergeCell ref="MI5:ML5"/>
    <mergeCell ref="MM5:MN5"/>
    <mergeCell ref="MO5:MP5"/>
    <mergeCell ref="MQ5:MT5"/>
    <mergeCell ref="MU5:NB5"/>
    <mergeCell ref="LM5:LT5"/>
    <mergeCell ref="HY5:IL5"/>
    <mergeCell ref="IM5:IZ5"/>
    <mergeCell ref="JA5:JN5"/>
    <mergeCell ref="JO5:JZ5"/>
    <mergeCell ref="KA5:KD5"/>
    <mergeCell ref="KE5:KH5"/>
    <mergeCell ref="KI5:KN5"/>
    <mergeCell ref="KO5:KT5"/>
    <mergeCell ref="KU5:KZ5"/>
    <mergeCell ref="LA5:LF5"/>
    <mergeCell ref="LG5:LL5"/>
    <mergeCell ref="EP5:ER5"/>
    <mergeCell ref="HU5:HX5"/>
    <mergeCell ref="FA5:FH5"/>
    <mergeCell ref="FI5:FP5"/>
    <mergeCell ref="FQ5:FX5"/>
    <mergeCell ref="FY5:FZ5"/>
    <mergeCell ref="GA5:GF5"/>
    <mergeCell ref="GG5:GJ5"/>
    <mergeCell ref="GK5:GR5"/>
    <mergeCell ref="GS5:GZ5"/>
    <mergeCell ref="HA5:HH5"/>
    <mergeCell ref="HI5:HP5"/>
    <mergeCell ref="HQ5:HT5"/>
    <mergeCell ref="AS5:AT5"/>
    <mergeCell ref="AU5:BB5"/>
    <mergeCell ref="BC5:BD5"/>
    <mergeCell ref="BK5:BN5"/>
    <mergeCell ref="BO5:BV5"/>
    <mergeCell ref="BX5:BY5"/>
    <mergeCell ref="BC4:BN4"/>
    <mergeCell ref="BW4:CC4"/>
    <mergeCell ref="HA4:HB4"/>
    <mergeCell ref="HI4:HJ4"/>
    <mergeCell ref="ES5:EZ5"/>
    <mergeCell ref="BZ5:CC5"/>
    <mergeCell ref="CD5:CE5"/>
    <mergeCell ref="CF5:CO5"/>
    <mergeCell ref="CP5:CS5"/>
    <mergeCell ref="CT5:DC5"/>
    <mergeCell ref="DD5:DI5"/>
    <mergeCell ref="DJ5:DO5"/>
    <mergeCell ref="DP5:DU5"/>
    <mergeCell ref="DV5:EE5"/>
    <mergeCell ref="EF5:EL5"/>
    <mergeCell ref="AI5:AR5"/>
    <mergeCell ref="B5:F5"/>
    <mergeCell ref="G5:K5"/>
    <mergeCell ref="L5:N5"/>
    <mergeCell ref="O5:X5"/>
    <mergeCell ref="Y5:AH5"/>
    <mergeCell ref="OK5:OR5"/>
    <mergeCell ref="OA5:OJ5"/>
    <mergeCell ref="NU5:NV5"/>
    <mergeCell ref="NW5:NZ5"/>
    <mergeCell ref="NK5:NT5"/>
  </mergeCells>
  <pageMargins left="0.25" right="0.25" top="0.75" bottom="0.75" header="0.3" footer="0.3"/>
  <pageSetup paperSize="9" orientation="landscape" horizontalDpi="4294967292" verticalDpi="4294967292" r:id="rId1"/>
  <ignoredErrors>
    <ignoredError sqref="OO17:OO18 OO7:OO8 OO14:OO16 OO9:OO10 OO11:OO13 OO19:OO20 OO21:OO23 OO34:OO35 OO36:OO37 OO25:OO27 OO29:OO30 OO32:OO33" formula="1"/>
  </ignoredErrors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8"/>
  <dimension ref="A1:AY114"/>
  <sheetViews>
    <sheetView workbookViewId="0">
      <selection activeCell="AT15" sqref="AS15:AT16"/>
    </sheetView>
  </sheetViews>
  <sheetFormatPr defaultColWidth="8.88671875" defaultRowHeight="14.4"/>
  <sheetData>
    <row r="1" spans="1:51">
      <c r="A1" t="s">
        <v>686</v>
      </c>
      <c r="G1" t="s">
        <v>687</v>
      </c>
      <c r="T1" t="s">
        <v>688</v>
      </c>
      <c r="W1" t="s">
        <v>687</v>
      </c>
      <c r="AF1" t="s">
        <v>689</v>
      </c>
      <c r="AI1" t="s">
        <v>687</v>
      </c>
      <c r="AX1" t="s">
        <v>690</v>
      </c>
    </row>
    <row r="2" spans="1:51">
      <c r="A2" t="s">
        <v>691</v>
      </c>
      <c r="B2" t="s">
        <v>692</v>
      </c>
      <c r="C2" t="s">
        <v>693</v>
      </c>
      <c r="D2" t="s">
        <v>694</v>
      </c>
      <c r="E2" t="s">
        <v>695</v>
      </c>
      <c r="F2" t="s">
        <v>109</v>
      </c>
      <c r="G2" t="s">
        <v>1</v>
      </c>
      <c r="H2" t="s">
        <v>28</v>
      </c>
      <c r="I2" t="s">
        <v>3</v>
      </c>
      <c r="J2" t="s">
        <v>696</v>
      </c>
      <c r="K2" t="s">
        <v>4</v>
      </c>
      <c r="L2" t="s">
        <v>697</v>
      </c>
      <c r="M2" t="s">
        <v>5</v>
      </c>
      <c r="N2" t="s">
        <v>698</v>
      </c>
      <c r="O2" t="s">
        <v>6</v>
      </c>
      <c r="P2" t="s">
        <v>699</v>
      </c>
      <c r="R2" t="s">
        <v>700</v>
      </c>
      <c r="T2" t="s">
        <v>701</v>
      </c>
      <c r="U2" t="s">
        <v>66</v>
      </c>
      <c r="W2" t="s">
        <v>7</v>
      </c>
      <c r="X2" t="s">
        <v>702</v>
      </c>
      <c r="Y2" t="s">
        <v>8</v>
      </c>
      <c r="Z2" t="s">
        <v>703</v>
      </c>
      <c r="AA2" t="s">
        <v>9</v>
      </c>
      <c r="AB2" t="s">
        <v>704</v>
      </c>
      <c r="AC2" t="s">
        <v>10</v>
      </c>
      <c r="AD2" t="s">
        <v>705</v>
      </c>
      <c r="AF2" t="s">
        <v>67</v>
      </c>
      <c r="AG2" t="s">
        <v>68</v>
      </c>
      <c r="AI2" t="s">
        <v>11</v>
      </c>
      <c r="AJ2" t="s">
        <v>706</v>
      </c>
      <c r="AK2" t="s">
        <v>12</v>
      </c>
      <c r="AL2" t="s">
        <v>707</v>
      </c>
      <c r="AM2" t="s">
        <v>13</v>
      </c>
      <c r="AN2" t="s">
        <v>708</v>
      </c>
      <c r="AO2" t="s">
        <v>14</v>
      </c>
      <c r="AP2" t="s">
        <v>709</v>
      </c>
      <c r="AQ2" t="s">
        <v>15</v>
      </c>
      <c r="AR2" t="s">
        <v>710</v>
      </c>
      <c r="AS2" t="s">
        <v>16</v>
      </c>
      <c r="AT2" t="s">
        <v>711</v>
      </c>
      <c r="AU2" t="s">
        <v>17</v>
      </c>
      <c r="AV2" t="s">
        <v>712</v>
      </c>
      <c r="AX2" t="s">
        <v>69</v>
      </c>
      <c r="AY2" t="s">
        <v>70</v>
      </c>
    </row>
    <row r="3" spans="1:51">
      <c r="B3">
        <v>11.6</v>
      </c>
      <c r="C3">
        <v>2.5000000000000001E-4</v>
      </c>
      <c r="D3">
        <v>1804</v>
      </c>
      <c r="E3" s="240">
        <v>41114</v>
      </c>
      <c r="F3" s="240">
        <v>41207</v>
      </c>
      <c r="G3">
        <v>57.99</v>
      </c>
      <c r="H3">
        <v>0.48</v>
      </c>
      <c r="I3">
        <v>0.03</v>
      </c>
      <c r="J3">
        <v>0.03</v>
      </c>
      <c r="K3">
        <v>7.0000000000000007E-2</v>
      </c>
      <c r="L3">
        <v>0.14000000000000001</v>
      </c>
      <c r="M3">
        <v>0.26</v>
      </c>
      <c r="N3">
        <v>0.05</v>
      </c>
      <c r="O3">
        <v>0.2</v>
      </c>
      <c r="P3">
        <v>0.06</v>
      </c>
      <c r="R3">
        <v>293.57</v>
      </c>
      <c r="T3" s="241">
        <v>2.74E-11</v>
      </c>
      <c r="U3" s="241">
        <v>3.17E-14</v>
      </c>
      <c r="W3">
        <v>8.35</v>
      </c>
      <c r="X3">
        <v>2.84</v>
      </c>
      <c r="Y3">
        <v>6.57</v>
      </c>
      <c r="Z3">
        <v>2.16</v>
      </c>
      <c r="AA3">
        <v>6.12</v>
      </c>
      <c r="AB3">
        <v>1.18</v>
      </c>
      <c r="AC3">
        <v>1.49</v>
      </c>
      <c r="AD3">
        <v>3.88</v>
      </c>
      <c r="AF3" s="241">
        <v>2.09E-15</v>
      </c>
      <c r="AG3" s="241">
        <v>2.3099999999999999E-17</v>
      </c>
      <c r="AI3">
        <v>1.54</v>
      </c>
      <c r="AJ3">
        <v>0.18</v>
      </c>
      <c r="AK3">
        <v>1.71</v>
      </c>
      <c r="AL3">
        <v>0.78</v>
      </c>
      <c r="AM3">
        <v>0.1</v>
      </c>
      <c r="AN3">
        <v>0.08</v>
      </c>
      <c r="AO3">
        <v>3.51</v>
      </c>
      <c r="AP3">
        <v>0.05</v>
      </c>
      <c r="AQ3">
        <v>1.83</v>
      </c>
      <c r="AR3">
        <v>0.82</v>
      </c>
      <c r="AS3">
        <v>1.72</v>
      </c>
      <c r="AT3">
        <v>0.84</v>
      </c>
      <c r="AU3">
        <v>0.28999999999999998</v>
      </c>
      <c r="AV3">
        <v>0.06</v>
      </c>
      <c r="AX3" s="241">
        <v>1.9700000000000001E-15</v>
      </c>
      <c r="AY3" s="241">
        <v>3.2900000000000002E-17</v>
      </c>
    </row>
    <row r="4" spans="1:51">
      <c r="B4">
        <v>13</v>
      </c>
      <c r="C4">
        <v>2.5000000000000001E-4</v>
      </c>
      <c r="D4">
        <v>1805</v>
      </c>
      <c r="E4" s="240">
        <v>41114</v>
      </c>
      <c r="F4" s="240">
        <v>41207</v>
      </c>
      <c r="G4">
        <v>108.65</v>
      </c>
      <c r="H4">
        <v>0.34</v>
      </c>
      <c r="I4">
        <v>0.63</v>
      </c>
      <c r="J4">
        <v>0.11</v>
      </c>
      <c r="K4">
        <v>0.54</v>
      </c>
      <c r="L4">
        <v>0.11</v>
      </c>
      <c r="M4">
        <v>0.46</v>
      </c>
      <c r="N4">
        <v>0.15</v>
      </c>
      <c r="O4">
        <v>0.2</v>
      </c>
      <c r="P4">
        <v>0.14000000000000001</v>
      </c>
      <c r="R4">
        <v>293.57</v>
      </c>
      <c r="T4" s="241">
        <v>2.74E-11</v>
      </c>
      <c r="U4" s="241">
        <v>3.17E-14</v>
      </c>
      <c r="W4">
        <v>27.51</v>
      </c>
      <c r="X4">
        <v>3.69</v>
      </c>
      <c r="Y4">
        <v>9.4600000000000009</v>
      </c>
      <c r="Z4">
        <v>0.09</v>
      </c>
      <c r="AA4">
        <v>8.18</v>
      </c>
      <c r="AB4">
        <v>0.78</v>
      </c>
      <c r="AC4">
        <v>1.83</v>
      </c>
      <c r="AD4">
        <v>0.19</v>
      </c>
      <c r="AF4" s="241">
        <v>2.09E-15</v>
      </c>
      <c r="AG4" s="241">
        <v>2.3099999999999999E-17</v>
      </c>
      <c r="AI4">
        <v>3.72</v>
      </c>
      <c r="AJ4">
        <v>0.44</v>
      </c>
      <c r="AK4">
        <v>5.24</v>
      </c>
      <c r="AL4">
        <v>1.24</v>
      </c>
      <c r="AM4">
        <v>0.33</v>
      </c>
      <c r="AN4">
        <v>0.08</v>
      </c>
      <c r="AO4">
        <v>11.16</v>
      </c>
      <c r="AP4">
        <v>0.82</v>
      </c>
      <c r="AQ4">
        <v>4.0199999999999996</v>
      </c>
      <c r="AR4">
        <v>0.47</v>
      </c>
      <c r="AS4">
        <v>0.9</v>
      </c>
      <c r="AT4">
        <v>0.19</v>
      </c>
      <c r="AU4">
        <v>3.75</v>
      </c>
      <c r="AV4">
        <v>0.79</v>
      </c>
      <c r="AX4" s="241">
        <v>1.9700000000000001E-15</v>
      </c>
      <c r="AY4" s="241">
        <v>3.2900000000000002E-17</v>
      </c>
    </row>
    <row r="5" spans="1:51">
      <c r="B5">
        <v>15</v>
      </c>
      <c r="C5">
        <v>2.5000000000000001E-4</v>
      </c>
      <c r="D5">
        <v>1806</v>
      </c>
      <c r="E5" s="240">
        <v>41114</v>
      </c>
      <c r="F5" s="240">
        <v>41207</v>
      </c>
      <c r="G5">
        <v>15.26</v>
      </c>
      <c r="H5">
        <v>0.59</v>
      </c>
      <c r="I5">
        <v>0.06</v>
      </c>
      <c r="J5">
        <v>0.03</v>
      </c>
      <c r="K5">
        <v>0.12</v>
      </c>
      <c r="L5">
        <v>0.11</v>
      </c>
      <c r="M5">
        <v>0.19</v>
      </c>
      <c r="N5">
        <v>0.11</v>
      </c>
      <c r="O5">
        <v>0.05</v>
      </c>
      <c r="P5">
        <v>0.13</v>
      </c>
      <c r="R5">
        <v>293.57</v>
      </c>
      <c r="T5" s="241">
        <v>2.74E-11</v>
      </c>
      <c r="U5" s="241">
        <v>3.17E-14</v>
      </c>
      <c r="W5">
        <v>11.18</v>
      </c>
      <c r="X5">
        <v>0.97</v>
      </c>
      <c r="Y5">
        <v>16.5</v>
      </c>
      <c r="Z5">
        <v>1.96</v>
      </c>
      <c r="AA5">
        <v>64.87</v>
      </c>
      <c r="AB5">
        <v>1.32</v>
      </c>
      <c r="AC5">
        <v>23.07</v>
      </c>
      <c r="AD5">
        <v>1.95</v>
      </c>
      <c r="AF5" s="241">
        <v>2.09E-15</v>
      </c>
      <c r="AG5" s="241">
        <v>2.3099999999999999E-17</v>
      </c>
      <c r="AI5">
        <v>1.97</v>
      </c>
      <c r="AJ5">
        <v>0.15</v>
      </c>
      <c r="AK5">
        <v>2</v>
      </c>
      <c r="AL5">
        <v>0.49</v>
      </c>
      <c r="AM5">
        <v>2.1</v>
      </c>
      <c r="AN5">
        <v>7.34</v>
      </c>
      <c r="AO5">
        <v>0.98</v>
      </c>
      <c r="AP5">
        <v>2.08</v>
      </c>
      <c r="AQ5">
        <v>1.91</v>
      </c>
      <c r="AR5">
        <v>0.61</v>
      </c>
      <c r="AS5">
        <v>2.4500000000000002</v>
      </c>
      <c r="AT5">
        <v>1.1100000000000001</v>
      </c>
      <c r="AU5">
        <v>1.94</v>
      </c>
      <c r="AV5">
        <v>0.71</v>
      </c>
      <c r="AX5" s="241">
        <v>1.9700000000000001E-15</v>
      </c>
      <c r="AY5" s="241">
        <v>3.2900000000000002E-17</v>
      </c>
    </row>
    <row r="6" spans="1:51">
      <c r="B6">
        <v>19</v>
      </c>
      <c r="C6">
        <v>2.5000000000000001E-4</v>
      </c>
      <c r="D6">
        <v>1809</v>
      </c>
      <c r="E6" s="240">
        <v>41114</v>
      </c>
      <c r="F6" s="240">
        <v>41207</v>
      </c>
      <c r="G6">
        <v>311.52</v>
      </c>
      <c r="H6">
        <v>2.16</v>
      </c>
      <c r="I6">
        <v>0.3</v>
      </c>
      <c r="J6">
        <v>0.1</v>
      </c>
      <c r="K6">
        <v>0.66</v>
      </c>
      <c r="L6">
        <v>0.16</v>
      </c>
      <c r="M6">
        <v>0.43</v>
      </c>
      <c r="N6">
        <v>0.14000000000000001</v>
      </c>
      <c r="O6">
        <v>0.46</v>
      </c>
      <c r="P6">
        <v>0.14000000000000001</v>
      </c>
      <c r="R6">
        <v>293.57</v>
      </c>
      <c r="T6" s="241">
        <v>2.74E-11</v>
      </c>
      <c r="U6" s="241">
        <v>3.17E-14</v>
      </c>
      <c r="W6">
        <v>123.13</v>
      </c>
      <c r="X6">
        <v>6.02</v>
      </c>
      <c r="Y6">
        <v>50.77</v>
      </c>
      <c r="Z6">
        <v>2.0099999999999998</v>
      </c>
      <c r="AA6">
        <v>65.94</v>
      </c>
      <c r="AB6">
        <v>1.98</v>
      </c>
      <c r="AC6">
        <v>14.86</v>
      </c>
      <c r="AD6">
        <v>0.26</v>
      </c>
      <c r="AF6" s="241">
        <v>2.09E-15</v>
      </c>
      <c r="AG6" s="241">
        <v>2.3099999999999999E-17</v>
      </c>
      <c r="AI6">
        <v>10.87</v>
      </c>
      <c r="AJ6">
        <v>0.46</v>
      </c>
      <c r="AK6">
        <v>24.17</v>
      </c>
      <c r="AL6">
        <v>1.27</v>
      </c>
      <c r="AM6">
        <v>1.27</v>
      </c>
      <c r="AN6">
        <v>0.34</v>
      </c>
      <c r="AO6">
        <v>11.37</v>
      </c>
      <c r="AP6">
        <v>3.81</v>
      </c>
      <c r="AQ6">
        <v>11.42</v>
      </c>
      <c r="AR6">
        <v>0.93</v>
      </c>
      <c r="AS6">
        <v>7.04</v>
      </c>
      <c r="AT6">
        <v>1.1000000000000001</v>
      </c>
      <c r="AU6">
        <v>6.54</v>
      </c>
      <c r="AV6">
        <v>0.59</v>
      </c>
      <c r="AX6" s="241">
        <v>1.9700000000000001E-15</v>
      </c>
      <c r="AY6" s="241">
        <v>3.2900000000000002E-17</v>
      </c>
    </row>
    <row r="7" spans="1:51">
      <c r="A7" t="s">
        <v>713</v>
      </c>
      <c r="C7">
        <v>2.5000000000000001E-4</v>
      </c>
      <c r="E7" s="240">
        <v>41114</v>
      </c>
      <c r="F7" s="240">
        <v>41207</v>
      </c>
      <c r="G7">
        <v>493.41</v>
      </c>
      <c r="H7">
        <v>2.31</v>
      </c>
      <c r="I7">
        <v>1.01</v>
      </c>
      <c r="J7">
        <v>0.16</v>
      </c>
      <c r="K7">
        <v>1.39</v>
      </c>
      <c r="L7">
        <v>0.26</v>
      </c>
      <c r="M7">
        <v>1.33</v>
      </c>
      <c r="N7">
        <v>0.24</v>
      </c>
      <c r="O7">
        <v>0.92</v>
      </c>
      <c r="P7">
        <v>0.24</v>
      </c>
      <c r="R7">
        <v>293.57</v>
      </c>
      <c r="T7" s="241">
        <v>2.74E-11</v>
      </c>
      <c r="U7" s="241">
        <v>3.17E-14</v>
      </c>
      <c r="W7">
        <v>170.17</v>
      </c>
      <c r="X7">
        <v>7.67</v>
      </c>
      <c r="Y7">
        <v>83.29</v>
      </c>
      <c r="Z7">
        <v>3.55</v>
      </c>
      <c r="AA7">
        <v>145.12</v>
      </c>
      <c r="AB7">
        <v>2.77</v>
      </c>
      <c r="AC7">
        <v>41.25</v>
      </c>
      <c r="AD7">
        <v>4.3499999999999996</v>
      </c>
      <c r="AF7" s="241">
        <v>2.09E-15</v>
      </c>
      <c r="AG7" s="241">
        <v>2.3099999999999999E-17</v>
      </c>
      <c r="AI7">
        <v>18.09</v>
      </c>
      <c r="AJ7">
        <v>0.68</v>
      </c>
      <c r="AK7">
        <v>33.11</v>
      </c>
      <c r="AL7">
        <v>2</v>
      </c>
      <c r="AM7">
        <v>3.79</v>
      </c>
      <c r="AN7">
        <v>7.35</v>
      </c>
      <c r="AO7">
        <v>27.02</v>
      </c>
      <c r="AP7">
        <v>4.42</v>
      </c>
      <c r="AQ7">
        <v>19.18</v>
      </c>
      <c r="AR7">
        <v>1.46</v>
      </c>
      <c r="AS7">
        <v>12.11</v>
      </c>
      <c r="AT7">
        <v>1.79</v>
      </c>
      <c r="AU7">
        <v>12.51</v>
      </c>
      <c r="AV7">
        <v>1.22</v>
      </c>
      <c r="AX7" s="241">
        <v>1.9700000000000001E-15</v>
      </c>
      <c r="AY7" s="241">
        <v>3.2900000000000002E-17</v>
      </c>
    </row>
    <row r="9" spans="1:51">
      <c r="A9" t="s">
        <v>713</v>
      </c>
      <c r="B9">
        <v>19</v>
      </c>
      <c r="C9">
        <v>2.0000000000000001E-4</v>
      </c>
      <c r="D9">
        <v>1810</v>
      </c>
      <c r="E9" s="240">
        <v>41114</v>
      </c>
      <c r="F9" s="240">
        <v>41208</v>
      </c>
      <c r="G9">
        <v>579.04999999999995</v>
      </c>
      <c r="H9">
        <v>3.64</v>
      </c>
      <c r="I9">
        <v>0.48</v>
      </c>
      <c r="J9">
        <v>0.08</v>
      </c>
      <c r="K9">
        <v>2.11</v>
      </c>
      <c r="L9">
        <v>0.05</v>
      </c>
      <c r="M9">
        <v>0.44</v>
      </c>
      <c r="N9">
        <v>7.0000000000000007E-2</v>
      </c>
      <c r="O9">
        <v>0.76</v>
      </c>
      <c r="P9">
        <v>0.06</v>
      </c>
      <c r="R9">
        <v>293.57</v>
      </c>
      <c r="T9" s="241">
        <v>2.74E-11</v>
      </c>
      <c r="U9" s="241">
        <v>3.17E-14</v>
      </c>
      <c r="W9">
        <v>268.24</v>
      </c>
      <c r="X9">
        <v>6.33</v>
      </c>
      <c r="Y9">
        <v>86.23</v>
      </c>
      <c r="Z9">
        <v>1.53</v>
      </c>
      <c r="AA9">
        <v>35.08</v>
      </c>
      <c r="AB9">
        <v>0.36</v>
      </c>
      <c r="AC9">
        <v>11.97</v>
      </c>
      <c r="AD9">
        <v>0.34</v>
      </c>
      <c r="AF9" s="241">
        <v>2.09E-15</v>
      </c>
      <c r="AG9" s="241">
        <v>2.3099999999999999E-17</v>
      </c>
      <c r="AI9">
        <v>7.52</v>
      </c>
      <c r="AJ9">
        <v>5.63</v>
      </c>
      <c r="AK9">
        <v>42.38</v>
      </c>
      <c r="AL9">
        <v>2.81</v>
      </c>
      <c r="AM9">
        <v>4.0999999999999996</v>
      </c>
      <c r="AN9">
        <v>1.25</v>
      </c>
      <c r="AO9">
        <v>25.07</v>
      </c>
      <c r="AP9">
        <v>13.26</v>
      </c>
      <c r="AQ9">
        <v>25.9</v>
      </c>
      <c r="AR9">
        <v>2.04</v>
      </c>
      <c r="AS9">
        <v>15.15</v>
      </c>
      <c r="AT9">
        <v>1.1599999999999999</v>
      </c>
      <c r="AU9">
        <v>11.83</v>
      </c>
      <c r="AV9">
        <v>1.02</v>
      </c>
      <c r="AX9" s="241">
        <v>1.9700000000000001E-15</v>
      </c>
      <c r="AY9" s="241">
        <v>3.2900000000000002E-17</v>
      </c>
    </row>
    <row r="11" spans="1:51">
      <c r="B11">
        <v>13</v>
      </c>
      <c r="C11">
        <v>3.1700000000000001E-3</v>
      </c>
      <c r="D11">
        <v>1811</v>
      </c>
      <c r="E11" s="240">
        <v>41114</v>
      </c>
      <c r="F11" s="240">
        <v>41208</v>
      </c>
      <c r="G11">
        <v>814.72</v>
      </c>
      <c r="H11">
        <v>4.34</v>
      </c>
      <c r="I11">
        <v>0.92</v>
      </c>
      <c r="J11">
        <v>0.12</v>
      </c>
      <c r="K11">
        <v>1.85</v>
      </c>
      <c r="L11">
        <v>0.14000000000000001</v>
      </c>
      <c r="M11">
        <v>0.76</v>
      </c>
      <c r="N11">
        <v>0.04</v>
      </c>
      <c r="O11">
        <v>0.61</v>
      </c>
      <c r="P11">
        <v>7.0000000000000007E-2</v>
      </c>
      <c r="R11">
        <v>293.57</v>
      </c>
      <c r="T11" s="241">
        <v>2.74E-11</v>
      </c>
      <c r="U11" s="241">
        <v>3.17E-14</v>
      </c>
      <c r="W11">
        <v>3877.17</v>
      </c>
      <c r="X11">
        <v>17.350000000000001</v>
      </c>
      <c r="Y11">
        <v>1220.9100000000001</v>
      </c>
      <c r="Z11">
        <v>3.04</v>
      </c>
      <c r="AA11">
        <v>83.07</v>
      </c>
      <c r="AB11">
        <v>1.92</v>
      </c>
      <c r="AC11">
        <v>25.9</v>
      </c>
      <c r="AD11">
        <v>1.31</v>
      </c>
      <c r="AF11" s="241">
        <v>2.09E-15</v>
      </c>
      <c r="AG11" s="241">
        <v>2.3099999999999999E-17</v>
      </c>
      <c r="AI11">
        <v>1012.43</v>
      </c>
      <c r="AJ11">
        <v>9.65</v>
      </c>
      <c r="AK11">
        <v>326.69</v>
      </c>
      <c r="AL11">
        <v>3.42</v>
      </c>
      <c r="AM11">
        <v>16.66</v>
      </c>
      <c r="AN11">
        <v>0.73</v>
      </c>
      <c r="AO11">
        <v>204.03</v>
      </c>
      <c r="AP11">
        <v>10.16</v>
      </c>
      <c r="AQ11">
        <v>102.24</v>
      </c>
      <c r="AR11">
        <v>1.74</v>
      </c>
      <c r="AS11">
        <v>45.54</v>
      </c>
      <c r="AT11">
        <v>1.69</v>
      </c>
      <c r="AU11">
        <v>38.5</v>
      </c>
      <c r="AV11">
        <v>2.2200000000000002</v>
      </c>
      <c r="AX11" s="241">
        <v>1.9700000000000001E-15</v>
      </c>
      <c r="AY11" s="241">
        <v>3.2900000000000002E-17</v>
      </c>
    </row>
    <row r="12" spans="1:51">
      <c r="B12">
        <v>13.5</v>
      </c>
      <c r="C12">
        <v>3.1700000000000001E-3</v>
      </c>
      <c r="D12">
        <v>1814</v>
      </c>
      <c r="E12" s="240">
        <v>41114</v>
      </c>
      <c r="F12" s="240">
        <v>41209</v>
      </c>
      <c r="G12">
        <v>314.5</v>
      </c>
      <c r="H12">
        <v>1.87</v>
      </c>
      <c r="I12">
        <v>0.57999999999999996</v>
      </c>
      <c r="J12">
        <v>0.09</v>
      </c>
      <c r="K12">
        <v>0.14000000000000001</v>
      </c>
      <c r="L12">
        <v>0.1</v>
      </c>
      <c r="M12">
        <v>-0.31</v>
      </c>
      <c r="N12">
        <v>7.0000000000000007E-2</v>
      </c>
      <c r="O12">
        <v>0.05</v>
      </c>
      <c r="P12">
        <v>7.0000000000000007E-2</v>
      </c>
      <c r="R12">
        <v>293.57</v>
      </c>
      <c r="T12" s="241">
        <v>2.74E-11</v>
      </c>
      <c r="U12" s="241">
        <v>3.17E-14</v>
      </c>
      <c r="W12">
        <v>364.72</v>
      </c>
      <c r="X12">
        <v>7.29</v>
      </c>
      <c r="Y12">
        <v>115.04</v>
      </c>
      <c r="Z12">
        <v>1.36</v>
      </c>
      <c r="AA12">
        <v>15.04</v>
      </c>
      <c r="AB12">
        <v>1.94</v>
      </c>
      <c r="AC12">
        <v>4.51</v>
      </c>
      <c r="AD12">
        <v>0.7</v>
      </c>
      <c r="AF12" s="241">
        <v>2.09E-15</v>
      </c>
      <c r="AG12" s="241">
        <v>2.3099999999999999E-17</v>
      </c>
      <c r="AI12">
        <v>52.2</v>
      </c>
      <c r="AJ12">
        <v>1.33</v>
      </c>
      <c r="AK12">
        <v>39.01</v>
      </c>
      <c r="AL12">
        <v>2.21</v>
      </c>
      <c r="AM12">
        <v>1.18</v>
      </c>
      <c r="AN12">
        <v>0.47</v>
      </c>
      <c r="AO12">
        <v>16.27</v>
      </c>
      <c r="AP12">
        <v>6.24</v>
      </c>
      <c r="AQ12">
        <v>10.54</v>
      </c>
      <c r="AR12">
        <v>0.65</v>
      </c>
      <c r="AS12">
        <v>4.87</v>
      </c>
      <c r="AT12">
        <v>0.55000000000000004</v>
      </c>
      <c r="AU12">
        <v>5.95</v>
      </c>
      <c r="AV12">
        <v>0.76</v>
      </c>
      <c r="AX12" s="241">
        <v>1.9700000000000001E-15</v>
      </c>
      <c r="AY12" s="241">
        <v>3.2900000000000002E-17</v>
      </c>
    </row>
    <row r="13" spans="1:51">
      <c r="B13">
        <v>15.5</v>
      </c>
      <c r="C13">
        <v>3.1700000000000001E-3</v>
      </c>
      <c r="D13">
        <v>1815</v>
      </c>
      <c r="E13" s="240">
        <v>41114</v>
      </c>
      <c r="F13" s="240">
        <v>41209</v>
      </c>
      <c r="G13">
        <v>413.81</v>
      </c>
      <c r="H13">
        <v>2.52</v>
      </c>
      <c r="I13">
        <v>0.37</v>
      </c>
      <c r="J13">
        <v>0.14000000000000001</v>
      </c>
      <c r="K13">
        <v>0.37</v>
      </c>
      <c r="L13">
        <v>0.06</v>
      </c>
      <c r="M13">
        <v>7.0000000000000007E-2</v>
      </c>
      <c r="N13">
        <v>0.14000000000000001</v>
      </c>
      <c r="O13">
        <v>0.21</v>
      </c>
      <c r="P13">
        <v>0.11</v>
      </c>
      <c r="R13">
        <v>293.57</v>
      </c>
      <c r="T13" s="241">
        <v>2.74E-11</v>
      </c>
      <c r="U13" s="241">
        <v>3.17E-14</v>
      </c>
      <c r="W13">
        <v>596.33000000000004</v>
      </c>
      <c r="X13">
        <v>9.7100000000000009</v>
      </c>
      <c r="Y13">
        <v>185.83</v>
      </c>
      <c r="Z13">
        <v>2</v>
      </c>
      <c r="AA13">
        <v>18</v>
      </c>
      <c r="AB13">
        <v>1.62</v>
      </c>
      <c r="AC13">
        <v>5.98</v>
      </c>
      <c r="AD13">
        <v>0.36</v>
      </c>
      <c r="AF13" s="241">
        <v>2.09E-15</v>
      </c>
      <c r="AG13" s="241">
        <v>2.3099999999999999E-17</v>
      </c>
      <c r="AI13">
        <v>79.5</v>
      </c>
      <c r="AJ13">
        <v>1.04</v>
      </c>
      <c r="AK13">
        <v>80.02</v>
      </c>
      <c r="AL13">
        <v>2.25</v>
      </c>
      <c r="AM13">
        <v>1.18</v>
      </c>
      <c r="AN13">
        <v>0.43</v>
      </c>
      <c r="AO13">
        <v>15.64</v>
      </c>
      <c r="AP13">
        <v>7.3</v>
      </c>
      <c r="AQ13">
        <v>15.42</v>
      </c>
      <c r="AR13">
        <v>0.87</v>
      </c>
      <c r="AS13">
        <v>7.51</v>
      </c>
      <c r="AT13">
        <v>0.73</v>
      </c>
      <c r="AU13">
        <v>7.61</v>
      </c>
      <c r="AV13">
        <v>0.64</v>
      </c>
      <c r="AX13" s="241">
        <v>1.9700000000000001E-15</v>
      </c>
      <c r="AY13" s="241">
        <v>3.2900000000000002E-17</v>
      </c>
    </row>
    <row r="14" spans="1:51">
      <c r="B14">
        <v>19</v>
      </c>
      <c r="C14">
        <v>3.1700000000000001E-3</v>
      </c>
      <c r="D14">
        <v>1816</v>
      </c>
      <c r="E14" s="240">
        <v>41114</v>
      </c>
      <c r="F14" s="240">
        <v>41209</v>
      </c>
      <c r="G14">
        <v>742.95</v>
      </c>
      <c r="H14">
        <v>4.7699999999999996</v>
      </c>
      <c r="I14">
        <v>0.77</v>
      </c>
      <c r="J14">
        <v>7.0000000000000007E-2</v>
      </c>
      <c r="K14">
        <v>1.26</v>
      </c>
      <c r="L14">
        <v>0.05</v>
      </c>
      <c r="M14">
        <v>0.24</v>
      </c>
      <c r="N14">
        <v>0.05</v>
      </c>
      <c r="O14">
        <v>0.51</v>
      </c>
      <c r="P14">
        <v>0.05</v>
      </c>
      <c r="R14">
        <v>293.57</v>
      </c>
      <c r="T14" s="241">
        <v>2.74E-11</v>
      </c>
      <c r="U14" s="241">
        <v>3.17E-14</v>
      </c>
      <c r="W14">
        <v>1093.7</v>
      </c>
      <c r="X14">
        <v>4.6500000000000004</v>
      </c>
      <c r="Y14">
        <v>337.03</v>
      </c>
      <c r="Z14">
        <v>1.1299999999999999</v>
      </c>
      <c r="AA14">
        <v>47.52</v>
      </c>
      <c r="AB14">
        <v>2.39</v>
      </c>
      <c r="AC14">
        <v>13.61</v>
      </c>
      <c r="AD14">
        <v>1.06</v>
      </c>
      <c r="AF14" s="241">
        <v>2.09E-15</v>
      </c>
      <c r="AG14" s="241">
        <v>2.3099999999999999E-17</v>
      </c>
      <c r="AI14">
        <v>116.25</v>
      </c>
      <c r="AJ14">
        <v>1.17</v>
      </c>
      <c r="AK14">
        <v>202.42</v>
      </c>
      <c r="AL14">
        <v>4.67</v>
      </c>
      <c r="AM14">
        <v>5.82</v>
      </c>
      <c r="AN14">
        <v>0.42</v>
      </c>
      <c r="AO14">
        <v>32.17</v>
      </c>
      <c r="AP14">
        <v>7.13</v>
      </c>
      <c r="AQ14">
        <v>39.19</v>
      </c>
      <c r="AR14">
        <v>0.44</v>
      </c>
      <c r="AS14">
        <v>19.25</v>
      </c>
      <c r="AT14">
        <v>1.25</v>
      </c>
      <c r="AU14">
        <v>16.37</v>
      </c>
      <c r="AV14">
        <v>0.64</v>
      </c>
      <c r="AX14" s="241">
        <v>1.9700000000000001E-15</v>
      </c>
      <c r="AY14" s="241">
        <v>3.2900000000000002E-17</v>
      </c>
    </row>
    <row r="15" spans="1:51">
      <c r="A15" t="s">
        <v>714</v>
      </c>
      <c r="C15">
        <v>3.1700000000000001E-3</v>
      </c>
      <c r="E15" s="240">
        <v>41114</v>
      </c>
      <c r="F15" s="240">
        <v>41209</v>
      </c>
      <c r="G15">
        <v>2285.98</v>
      </c>
      <c r="H15">
        <v>7.17</v>
      </c>
      <c r="I15">
        <v>2.63</v>
      </c>
      <c r="J15">
        <v>0.21</v>
      </c>
      <c r="K15">
        <v>3.61</v>
      </c>
      <c r="L15">
        <v>0.18</v>
      </c>
      <c r="M15">
        <v>1.07</v>
      </c>
      <c r="N15">
        <v>0.17</v>
      </c>
      <c r="O15">
        <v>1.37</v>
      </c>
      <c r="P15">
        <v>0.15</v>
      </c>
      <c r="R15">
        <v>293.57</v>
      </c>
      <c r="T15" s="241">
        <v>2.74E-11</v>
      </c>
      <c r="U15" s="241">
        <v>3.17E-14</v>
      </c>
      <c r="W15">
        <v>5931.92</v>
      </c>
      <c r="X15">
        <v>21.68</v>
      </c>
      <c r="Y15">
        <v>1858.8</v>
      </c>
      <c r="Z15">
        <v>4.04</v>
      </c>
      <c r="AA15">
        <v>163.62</v>
      </c>
      <c r="AB15">
        <v>3.97</v>
      </c>
      <c r="AC15">
        <v>50</v>
      </c>
      <c r="AD15">
        <v>1.87</v>
      </c>
      <c r="AF15" s="241">
        <v>2.09E-15</v>
      </c>
      <c r="AG15" s="241">
        <v>2.3099999999999999E-17</v>
      </c>
      <c r="AI15">
        <v>1260.3900000000001</v>
      </c>
      <c r="AJ15">
        <v>9.86</v>
      </c>
      <c r="AK15">
        <v>648.13</v>
      </c>
      <c r="AL15">
        <v>6.59</v>
      </c>
      <c r="AM15">
        <v>24.83</v>
      </c>
      <c r="AN15">
        <v>1.06</v>
      </c>
      <c r="AO15">
        <v>268.11</v>
      </c>
      <c r="AP15">
        <v>15.69</v>
      </c>
      <c r="AQ15">
        <v>167.4</v>
      </c>
      <c r="AR15">
        <v>2.1</v>
      </c>
      <c r="AS15">
        <v>77.16</v>
      </c>
      <c r="AT15">
        <v>2.29</v>
      </c>
      <c r="AU15">
        <v>68.430000000000007</v>
      </c>
      <c r="AV15">
        <v>2.5099999999999998</v>
      </c>
      <c r="AX15" s="241">
        <v>1.9700000000000001E-15</v>
      </c>
      <c r="AY15" s="241">
        <v>3.2900000000000002E-17</v>
      </c>
    </row>
    <row r="17" spans="1:51">
      <c r="B17">
        <v>13.5</v>
      </c>
      <c r="C17">
        <v>2.65E-3</v>
      </c>
      <c r="D17">
        <v>1819</v>
      </c>
      <c r="E17" s="240">
        <v>41114</v>
      </c>
      <c r="F17" s="240">
        <v>41210</v>
      </c>
      <c r="G17">
        <v>1369.89</v>
      </c>
      <c r="H17">
        <v>5.05</v>
      </c>
      <c r="I17">
        <v>1.08</v>
      </c>
      <c r="J17">
        <v>0.12</v>
      </c>
      <c r="K17">
        <v>2.38</v>
      </c>
      <c r="L17">
        <v>0.1</v>
      </c>
      <c r="M17">
        <v>0.88</v>
      </c>
      <c r="N17">
        <v>0.09</v>
      </c>
      <c r="O17">
        <v>3.08</v>
      </c>
      <c r="P17">
        <v>0.14000000000000001</v>
      </c>
      <c r="R17">
        <v>293.57</v>
      </c>
      <c r="T17" s="241">
        <v>2.74E-11</v>
      </c>
      <c r="U17" s="241">
        <v>3.17E-14</v>
      </c>
      <c r="W17">
        <v>5647.85</v>
      </c>
      <c r="X17">
        <v>52.43</v>
      </c>
      <c r="Y17">
        <v>1951.09</v>
      </c>
      <c r="Z17">
        <v>22.78</v>
      </c>
      <c r="AA17">
        <v>746.81</v>
      </c>
      <c r="AB17">
        <v>3.26</v>
      </c>
      <c r="AC17">
        <v>227.71</v>
      </c>
      <c r="AD17">
        <v>3.67</v>
      </c>
      <c r="AF17" s="241">
        <v>2.09E-15</v>
      </c>
      <c r="AG17" s="241">
        <v>2.3099999999999999E-17</v>
      </c>
      <c r="AI17">
        <v>1002.4</v>
      </c>
      <c r="AJ17">
        <v>11.23</v>
      </c>
      <c r="AK17">
        <v>421.51</v>
      </c>
      <c r="AL17">
        <v>7.37</v>
      </c>
      <c r="AM17">
        <v>24.1</v>
      </c>
      <c r="AN17">
        <v>0.96</v>
      </c>
      <c r="AO17">
        <v>299.33</v>
      </c>
      <c r="AP17">
        <v>14.87</v>
      </c>
      <c r="AQ17">
        <v>155.38</v>
      </c>
      <c r="AR17">
        <v>1.93</v>
      </c>
      <c r="AS17">
        <v>70.989999999999995</v>
      </c>
      <c r="AT17">
        <v>0.79</v>
      </c>
      <c r="AU17">
        <v>64.290000000000006</v>
      </c>
      <c r="AV17">
        <v>1.07</v>
      </c>
      <c r="AX17" s="241">
        <v>1.9700000000000001E-15</v>
      </c>
      <c r="AY17" s="241">
        <v>3.2900000000000002E-17</v>
      </c>
    </row>
    <row r="18" spans="1:51">
      <c r="B18">
        <v>15.5</v>
      </c>
      <c r="C18">
        <v>2.65E-3</v>
      </c>
      <c r="D18">
        <v>1824</v>
      </c>
      <c r="E18" s="240">
        <v>41114</v>
      </c>
      <c r="F18" s="240">
        <v>41212</v>
      </c>
      <c r="G18">
        <v>434.22</v>
      </c>
      <c r="H18">
        <v>2.67</v>
      </c>
      <c r="I18">
        <v>0.43</v>
      </c>
      <c r="J18">
        <v>0.13</v>
      </c>
      <c r="K18">
        <v>1.63</v>
      </c>
      <c r="L18">
        <v>0.09</v>
      </c>
      <c r="M18">
        <v>0.24</v>
      </c>
      <c r="N18">
        <v>0.05</v>
      </c>
      <c r="O18">
        <v>2.4</v>
      </c>
      <c r="P18">
        <v>0.09</v>
      </c>
      <c r="R18">
        <v>293.57</v>
      </c>
      <c r="T18" s="241">
        <v>2.74E-11</v>
      </c>
      <c r="U18" s="241">
        <v>3.17E-14</v>
      </c>
      <c r="W18">
        <v>558.61</v>
      </c>
      <c r="X18">
        <v>5.37</v>
      </c>
      <c r="Y18">
        <v>199.02</v>
      </c>
      <c r="Z18">
        <v>0.82</v>
      </c>
      <c r="AA18">
        <v>118.62</v>
      </c>
      <c r="AB18">
        <v>2.19</v>
      </c>
      <c r="AC18">
        <v>39.85</v>
      </c>
      <c r="AD18">
        <v>0.5</v>
      </c>
      <c r="AF18" s="241">
        <v>2.09E-15</v>
      </c>
      <c r="AG18" s="241">
        <v>2.3099999999999999E-17</v>
      </c>
      <c r="AI18">
        <v>70.84</v>
      </c>
      <c r="AJ18">
        <v>2.2599999999999998</v>
      </c>
      <c r="AK18">
        <v>150.28</v>
      </c>
      <c r="AL18">
        <v>2.46</v>
      </c>
      <c r="AM18">
        <v>12.49</v>
      </c>
      <c r="AN18">
        <v>0.46</v>
      </c>
      <c r="AO18">
        <v>66.33</v>
      </c>
      <c r="AP18">
        <v>3.31</v>
      </c>
      <c r="AQ18">
        <v>85.4</v>
      </c>
      <c r="AR18">
        <v>3.76</v>
      </c>
      <c r="AS18">
        <v>30.52</v>
      </c>
      <c r="AT18">
        <v>0.93</v>
      </c>
      <c r="AU18">
        <v>26.36</v>
      </c>
      <c r="AV18">
        <v>0.23</v>
      </c>
      <c r="AX18" s="241">
        <v>1.9700000000000001E-15</v>
      </c>
      <c r="AY18" s="241">
        <v>3.2900000000000002E-17</v>
      </c>
    </row>
    <row r="19" spans="1:51">
      <c r="B19">
        <v>19</v>
      </c>
      <c r="C19">
        <v>2.65E-3</v>
      </c>
      <c r="D19">
        <v>1825</v>
      </c>
      <c r="E19" s="240">
        <v>41114</v>
      </c>
      <c r="F19" s="240">
        <v>41212</v>
      </c>
      <c r="G19">
        <v>548.73</v>
      </c>
      <c r="H19">
        <v>3.21</v>
      </c>
      <c r="I19">
        <v>0.56000000000000005</v>
      </c>
      <c r="J19">
        <v>0.09</v>
      </c>
      <c r="K19">
        <v>1.3</v>
      </c>
      <c r="L19">
        <v>0.14000000000000001</v>
      </c>
      <c r="M19">
        <v>0.28000000000000003</v>
      </c>
      <c r="N19">
        <v>0.12</v>
      </c>
      <c r="O19">
        <v>3.45</v>
      </c>
      <c r="P19">
        <v>0.11</v>
      </c>
      <c r="R19">
        <v>293.57</v>
      </c>
      <c r="T19" s="241">
        <v>2.74E-11</v>
      </c>
      <c r="U19" s="241">
        <v>3.17E-14</v>
      </c>
      <c r="W19">
        <v>896.05</v>
      </c>
      <c r="X19">
        <v>7.05</v>
      </c>
      <c r="Y19">
        <v>309.61</v>
      </c>
      <c r="Z19">
        <v>2.5</v>
      </c>
      <c r="AA19">
        <v>184.2</v>
      </c>
      <c r="AB19">
        <v>1.82</v>
      </c>
      <c r="AC19">
        <v>57.74</v>
      </c>
      <c r="AD19">
        <v>1.32</v>
      </c>
      <c r="AF19" s="241">
        <v>2.09E-15</v>
      </c>
      <c r="AG19" s="241">
        <v>2.3099999999999999E-17</v>
      </c>
      <c r="AI19">
        <v>109.67</v>
      </c>
      <c r="AJ19">
        <v>2.4500000000000002</v>
      </c>
      <c r="AK19">
        <v>310.79000000000002</v>
      </c>
      <c r="AL19">
        <v>8.07</v>
      </c>
      <c r="AM19">
        <v>24.28</v>
      </c>
      <c r="AN19">
        <v>0.85</v>
      </c>
      <c r="AO19">
        <v>155.21</v>
      </c>
      <c r="AP19">
        <v>1.46</v>
      </c>
      <c r="AQ19">
        <v>153.66999999999999</v>
      </c>
      <c r="AR19">
        <v>3.64</v>
      </c>
      <c r="AS19">
        <v>57.64</v>
      </c>
      <c r="AT19">
        <v>1.45</v>
      </c>
      <c r="AU19">
        <v>47.49</v>
      </c>
      <c r="AV19">
        <v>0.74</v>
      </c>
      <c r="AX19" s="241">
        <v>1.9700000000000001E-15</v>
      </c>
      <c r="AY19" s="241">
        <v>3.2900000000000002E-17</v>
      </c>
    </row>
    <row r="20" spans="1:51">
      <c r="A20" t="s">
        <v>714</v>
      </c>
      <c r="C20">
        <v>2.65E-3</v>
      </c>
      <c r="E20" s="240">
        <v>41114</v>
      </c>
      <c r="F20" s="240">
        <v>41212</v>
      </c>
      <c r="G20">
        <v>2352.84</v>
      </c>
      <c r="H20">
        <v>6.55</v>
      </c>
      <c r="I20">
        <v>2.0699999999999998</v>
      </c>
      <c r="J20">
        <v>0.2</v>
      </c>
      <c r="K20">
        <v>5.31</v>
      </c>
      <c r="L20">
        <v>0.19</v>
      </c>
      <c r="M20">
        <v>1.4</v>
      </c>
      <c r="N20">
        <v>0.15</v>
      </c>
      <c r="O20">
        <v>8.94</v>
      </c>
      <c r="P20">
        <v>0.2</v>
      </c>
      <c r="R20">
        <v>293.57</v>
      </c>
      <c r="T20" s="241">
        <v>2.74E-11</v>
      </c>
      <c r="U20" s="241">
        <v>3.17E-14</v>
      </c>
      <c r="W20">
        <v>7102.51</v>
      </c>
      <c r="X20">
        <v>53.17</v>
      </c>
      <c r="Y20">
        <v>2459.7199999999998</v>
      </c>
      <c r="Z20">
        <v>22.94</v>
      </c>
      <c r="AA20">
        <v>1049.6300000000001</v>
      </c>
      <c r="AB20">
        <v>4.33</v>
      </c>
      <c r="AC20">
        <v>325.31</v>
      </c>
      <c r="AD20">
        <v>3.93</v>
      </c>
      <c r="AF20" s="241">
        <v>2.09E-15</v>
      </c>
      <c r="AG20" s="241">
        <v>2.3099999999999999E-17</v>
      </c>
      <c r="AI20">
        <v>1182.9100000000001</v>
      </c>
      <c r="AJ20">
        <v>11.71</v>
      </c>
      <c r="AK20">
        <v>882.58</v>
      </c>
      <c r="AL20">
        <v>11.21</v>
      </c>
      <c r="AM20">
        <v>60.87</v>
      </c>
      <c r="AN20">
        <v>1.36</v>
      </c>
      <c r="AO20">
        <v>520.87</v>
      </c>
      <c r="AP20">
        <v>15.3</v>
      </c>
      <c r="AQ20">
        <v>394.45</v>
      </c>
      <c r="AR20">
        <v>5.58</v>
      </c>
      <c r="AS20">
        <v>159.16</v>
      </c>
      <c r="AT20">
        <v>1.9</v>
      </c>
      <c r="AU20">
        <v>138.13999999999999</v>
      </c>
      <c r="AV20">
        <v>1.32</v>
      </c>
      <c r="AX20" s="241">
        <v>1.9700000000000001E-15</v>
      </c>
      <c r="AY20" s="241">
        <v>3.2900000000000002E-17</v>
      </c>
    </row>
    <row r="22" spans="1:51">
      <c r="B22">
        <v>13.5</v>
      </c>
      <c r="C22">
        <v>2.3999999999999998E-3</v>
      </c>
      <c r="D22">
        <v>1827</v>
      </c>
      <c r="E22" s="240">
        <v>41114</v>
      </c>
      <c r="F22" s="240">
        <v>41212</v>
      </c>
      <c r="G22">
        <v>179.8</v>
      </c>
      <c r="H22">
        <v>4.26</v>
      </c>
      <c r="I22">
        <v>1.1200000000000001</v>
      </c>
      <c r="J22">
        <v>0.09</v>
      </c>
      <c r="K22">
        <v>3.94</v>
      </c>
      <c r="L22">
        <v>0.08</v>
      </c>
      <c r="M22">
        <v>1.25</v>
      </c>
      <c r="N22">
        <v>0.11</v>
      </c>
      <c r="O22">
        <v>1.8</v>
      </c>
      <c r="P22">
        <v>7.0000000000000007E-2</v>
      </c>
      <c r="R22">
        <v>293.57</v>
      </c>
      <c r="T22" s="241">
        <v>2.74E-11</v>
      </c>
      <c r="U22" s="241">
        <v>3.17E-14</v>
      </c>
      <c r="W22">
        <v>6831.12</v>
      </c>
      <c r="X22">
        <v>124.25</v>
      </c>
      <c r="Y22">
        <v>3194.77</v>
      </c>
      <c r="Z22">
        <v>14.2</v>
      </c>
      <c r="AA22">
        <v>5778.04</v>
      </c>
      <c r="AB22">
        <v>21.46</v>
      </c>
      <c r="AC22">
        <v>1791.13</v>
      </c>
      <c r="AD22">
        <v>7.19</v>
      </c>
      <c r="AF22" s="241">
        <v>2.09E-15</v>
      </c>
      <c r="AG22" s="241">
        <v>2.3099999999999999E-17</v>
      </c>
      <c r="AI22">
        <v>803.32</v>
      </c>
      <c r="AJ22">
        <v>3.7</v>
      </c>
      <c r="AK22">
        <v>6441.35</v>
      </c>
      <c r="AL22">
        <v>6.22</v>
      </c>
      <c r="AM22">
        <v>55</v>
      </c>
      <c r="AN22">
        <v>1.77</v>
      </c>
      <c r="AO22">
        <v>358.37</v>
      </c>
      <c r="AP22">
        <v>4.63</v>
      </c>
      <c r="AQ22">
        <v>361.6</v>
      </c>
      <c r="AR22">
        <v>4.38</v>
      </c>
      <c r="AS22">
        <v>158.57</v>
      </c>
      <c r="AT22">
        <v>2.82</v>
      </c>
      <c r="AU22">
        <v>121.08</v>
      </c>
      <c r="AV22">
        <v>1.41</v>
      </c>
      <c r="AX22" s="241">
        <v>1.9700000000000001E-15</v>
      </c>
      <c r="AY22" s="241">
        <v>3.2900000000000002E-17</v>
      </c>
    </row>
    <row r="23" spans="1:51">
      <c r="B23">
        <v>15</v>
      </c>
      <c r="C23">
        <v>2.3999999999999998E-3</v>
      </c>
      <c r="D23">
        <v>1828</v>
      </c>
      <c r="E23" s="240">
        <v>41114</v>
      </c>
      <c r="F23" s="240">
        <v>41212</v>
      </c>
      <c r="G23">
        <v>19.84</v>
      </c>
      <c r="H23">
        <v>0.2</v>
      </c>
      <c r="I23">
        <v>0.19</v>
      </c>
      <c r="J23">
        <v>0.11</v>
      </c>
      <c r="K23">
        <v>0.28999999999999998</v>
      </c>
      <c r="L23">
        <v>0.01</v>
      </c>
      <c r="M23">
        <v>0.23</v>
      </c>
      <c r="N23">
        <v>0.06</v>
      </c>
      <c r="O23">
        <v>0.16</v>
      </c>
      <c r="P23">
        <v>0.12</v>
      </c>
      <c r="R23">
        <v>293.57</v>
      </c>
      <c r="T23" s="241">
        <v>2.74E-11</v>
      </c>
      <c r="U23" s="241">
        <v>3.17E-14</v>
      </c>
      <c r="W23">
        <v>311</v>
      </c>
      <c r="X23">
        <v>2.5499999999999998</v>
      </c>
      <c r="Y23">
        <v>100.73</v>
      </c>
      <c r="Z23">
        <v>1.1399999999999999</v>
      </c>
      <c r="AA23">
        <v>20.76</v>
      </c>
      <c r="AB23">
        <v>0.61</v>
      </c>
      <c r="AC23">
        <v>7.87</v>
      </c>
      <c r="AD23">
        <v>0.41</v>
      </c>
      <c r="AF23" s="241">
        <v>2.09E-15</v>
      </c>
      <c r="AG23" s="241">
        <v>2.3099999999999999E-17</v>
      </c>
      <c r="AI23">
        <v>37.93</v>
      </c>
      <c r="AJ23">
        <v>1.22</v>
      </c>
      <c r="AK23">
        <v>58.27</v>
      </c>
      <c r="AL23">
        <v>1.96</v>
      </c>
      <c r="AM23">
        <v>3.81</v>
      </c>
      <c r="AN23">
        <v>0.5</v>
      </c>
      <c r="AQ23">
        <v>19.3</v>
      </c>
      <c r="AR23">
        <v>1.23</v>
      </c>
      <c r="AS23">
        <v>8.41</v>
      </c>
      <c r="AT23">
        <v>0.27</v>
      </c>
      <c r="AU23">
        <v>5.39</v>
      </c>
      <c r="AV23">
        <v>0.34</v>
      </c>
      <c r="AX23" s="241">
        <v>1.9700000000000001E-15</v>
      </c>
      <c r="AY23" s="241">
        <v>3.2900000000000002E-17</v>
      </c>
    </row>
    <row r="24" spans="1:51">
      <c r="B24">
        <v>19</v>
      </c>
      <c r="C24">
        <v>2.3999999999999998E-3</v>
      </c>
      <c r="D24">
        <v>1829</v>
      </c>
      <c r="E24" s="240">
        <v>41114</v>
      </c>
      <c r="F24" s="240">
        <v>41212</v>
      </c>
      <c r="G24">
        <v>90.09</v>
      </c>
      <c r="H24">
        <v>0.09</v>
      </c>
      <c r="I24">
        <v>0.54</v>
      </c>
      <c r="J24">
        <v>0.03</v>
      </c>
      <c r="K24">
        <v>1.6</v>
      </c>
      <c r="L24">
        <v>0.13</v>
      </c>
      <c r="M24">
        <v>0.35</v>
      </c>
      <c r="N24">
        <v>0.1</v>
      </c>
      <c r="O24">
        <v>0.89</v>
      </c>
      <c r="P24">
        <v>0.12</v>
      </c>
      <c r="R24">
        <v>293.57</v>
      </c>
      <c r="T24" s="241">
        <v>2.74E-11</v>
      </c>
      <c r="U24" s="241">
        <v>3.17E-14</v>
      </c>
      <c r="W24">
        <v>3063.92</v>
      </c>
      <c r="X24">
        <v>9.11</v>
      </c>
      <c r="Y24">
        <v>952.11</v>
      </c>
      <c r="Z24">
        <v>5.81</v>
      </c>
      <c r="AA24">
        <v>99.89</v>
      </c>
      <c r="AB24">
        <v>1.79</v>
      </c>
      <c r="AC24">
        <v>31.73</v>
      </c>
      <c r="AD24">
        <v>1.73</v>
      </c>
      <c r="AF24" s="241">
        <v>2.09E-15</v>
      </c>
      <c r="AG24" s="241">
        <v>2.3099999999999999E-17</v>
      </c>
      <c r="AI24">
        <v>274.22000000000003</v>
      </c>
      <c r="AJ24">
        <v>2.42</v>
      </c>
      <c r="AK24">
        <v>427.95</v>
      </c>
      <c r="AL24">
        <v>6.14</v>
      </c>
      <c r="AM24">
        <v>19.600000000000001</v>
      </c>
      <c r="AN24">
        <v>0.6</v>
      </c>
      <c r="AO24">
        <v>105.24</v>
      </c>
      <c r="AP24">
        <v>1.43</v>
      </c>
      <c r="AQ24">
        <v>118.3</v>
      </c>
      <c r="AR24">
        <v>3.05</v>
      </c>
      <c r="AS24">
        <v>45.46</v>
      </c>
      <c r="AT24">
        <v>1.27</v>
      </c>
      <c r="AU24">
        <v>41.01</v>
      </c>
      <c r="AV24">
        <v>1.1000000000000001</v>
      </c>
      <c r="AX24" s="241">
        <v>1.9700000000000001E-15</v>
      </c>
      <c r="AY24" s="241">
        <v>3.2900000000000002E-17</v>
      </c>
    </row>
    <row r="25" spans="1:51">
      <c r="A25" t="s">
        <v>715</v>
      </c>
      <c r="C25">
        <v>2.3999999999999998E-3</v>
      </c>
      <c r="E25" s="240">
        <v>41114</v>
      </c>
      <c r="F25" s="240">
        <v>41212</v>
      </c>
      <c r="G25">
        <v>289.73</v>
      </c>
      <c r="H25">
        <v>4.26</v>
      </c>
      <c r="I25">
        <v>1.85</v>
      </c>
      <c r="J25">
        <v>0.14000000000000001</v>
      </c>
      <c r="K25">
        <v>5.82</v>
      </c>
      <c r="L25">
        <v>0.15</v>
      </c>
      <c r="M25">
        <v>1.83</v>
      </c>
      <c r="N25">
        <v>0.16</v>
      </c>
      <c r="O25">
        <v>2.85</v>
      </c>
      <c r="P25">
        <v>0.18</v>
      </c>
      <c r="R25">
        <v>293.57</v>
      </c>
      <c r="T25" s="241">
        <v>2.74E-11</v>
      </c>
      <c r="U25" s="241">
        <v>3.17E-14</v>
      </c>
      <c r="W25">
        <v>10206.049999999999</v>
      </c>
      <c r="X25">
        <v>124.61</v>
      </c>
      <c r="Y25">
        <v>4247.6099999999997</v>
      </c>
      <c r="Z25">
        <v>15.38</v>
      </c>
      <c r="AA25">
        <v>5898.69</v>
      </c>
      <c r="AB25">
        <v>21.54</v>
      </c>
      <c r="AC25">
        <v>1830.73</v>
      </c>
      <c r="AD25">
        <v>7.41</v>
      </c>
      <c r="AF25" s="241">
        <v>2.09E-15</v>
      </c>
      <c r="AG25" s="241">
        <v>2.3099999999999999E-17</v>
      </c>
      <c r="AI25">
        <v>1115.47</v>
      </c>
      <c r="AJ25">
        <v>4.58</v>
      </c>
      <c r="AK25">
        <v>6927.58</v>
      </c>
      <c r="AL25">
        <v>8.9600000000000009</v>
      </c>
      <c r="AM25">
        <v>78.41</v>
      </c>
      <c r="AN25">
        <v>1.94</v>
      </c>
      <c r="AO25">
        <v>463.61</v>
      </c>
      <c r="AP25">
        <v>4.8499999999999996</v>
      </c>
      <c r="AQ25">
        <v>499.2</v>
      </c>
      <c r="AR25">
        <v>5.48</v>
      </c>
      <c r="AS25">
        <v>212.43</v>
      </c>
      <c r="AT25">
        <v>3.1</v>
      </c>
      <c r="AU25">
        <v>167.47</v>
      </c>
      <c r="AV25">
        <v>1.82</v>
      </c>
      <c r="AX25" s="241">
        <v>1.9700000000000001E-15</v>
      </c>
      <c r="AY25" s="241">
        <v>3.2900000000000002E-17</v>
      </c>
    </row>
    <row r="27" spans="1:51">
      <c r="A27" t="s">
        <v>716</v>
      </c>
    </row>
    <row r="28" spans="1:51">
      <c r="B28">
        <v>13.5</v>
      </c>
      <c r="C28">
        <v>1.1999999999999999E-3</v>
      </c>
      <c r="D28">
        <v>2329</v>
      </c>
      <c r="E28" s="240">
        <v>41114</v>
      </c>
      <c r="F28" s="240">
        <v>41300</v>
      </c>
      <c r="G28">
        <v>39987.379999999997</v>
      </c>
      <c r="H28">
        <v>114.24</v>
      </c>
      <c r="I28">
        <v>24.54</v>
      </c>
      <c r="J28">
        <v>0.26</v>
      </c>
      <c r="K28">
        <v>59.88</v>
      </c>
      <c r="L28">
        <v>0.3</v>
      </c>
      <c r="M28">
        <v>2.36</v>
      </c>
      <c r="N28">
        <v>0.08</v>
      </c>
      <c r="O28">
        <v>28.83</v>
      </c>
      <c r="P28">
        <v>0.19</v>
      </c>
      <c r="R28">
        <v>293.57</v>
      </c>
      <c r="T28" s="241">
        <v>2.41E-12</v>
      </c>
      <c r="U28" s="241">
        <v>3.1300000000000003E-14</v>
      </c>
      <c r="W28">
        <v>7572.41</v>
      </c>
      <c r="X28">
        <v>33.81</v>
      </c>
      <c r="Y28">
        <v>2430.3000000000002</v>
      </c>
      <c r="Z28">
        <v>6.51</v>
      </c>
      <c r="AA28">
        <v>298.12</v>
      </c>
      <c r="AB28">
        <v>14.37</v>
      </c>
      <c r="AC28">
        <v>99.85</v>
      </c>
      <c r="AD28">
        <v>2.02</v>
      </c>
      <c r="AF28" s="241">
        <v>2.09E-15</v>
      </c>
      <c r="AG28" s="241">
        <v>2.3099999999999999E-17</v>
      </c>
      <c r="AI28">
        <v>412.43</v>
      </c>
      <c r="AJ28">
        <v>3.12</v>
      </c>
      <c r="AK28">
        <v>789.09</v>
      </c>
      <c r="AL28">
        <v>10.47</v>
      </c>
      <c r="AM28">
        <v>83.16</v>
      </c>
      <c r="AN28">
        <v>1.97</v>
      </c>
      <c r="AO28">
        <v>600.36</v>
      </c>
      <c r="AP28">
        <v>25.34</v>
      </c>
      <c r="AQ28">
        <v>546.9</v>
      </c>
      <c r="AR28">
        <v>10.130000000000001</v>
      </c>
      <c r="AS28">
        <v>209.91</v>
      </c>
      <c r="AT28">
        <v>2.59</v>
      </c>
      <c r="AU28">
        <v>194.62</v>
      </c>
      <c r="AV28">
        <v>2.86</v>
      </c>
      <c r="AX28" s="241">
        <v>1.9700000000000001E-15</v>
      </c>
      <c r="AY28" s="241">
        <v>3.2900000000000002E-17</v>
      </c>
    </row>
    <row r="29" spans="1:51">
      <c r="B29">
        <v>15.5</v>
      </c>
      <c r="C29">
        <v>1.1999999999999999E-3</v>
      </c>
      <c r="D29">
        <v>2330</v>
      </c>
      <c r="E29" s="240">
        <v>41114</v>
      </c>
      <c r="F29" s="240">
        <v>41300</v>
      </c>
      <c r="G29">
        <v>957.59</v>
      </c>
      <c r="H29">
        <v>3.64</v>
      </c>
      <c r="I29">
        <v>2.1</v>
      </c>
      <c r="J29">
        <v>0.48</v>
      </c>
      <c r="K29">
        <v>11.22</v>
      </c>
      <c r="L29">
        <v>0.13</v>
      </c>
      <c r="M29">
        <v>0.96</v>
      </c>
      <c r="N29">
        <v>0.15</v>
      </c>
      <c r="O29">
        <v>13.29</v>
      </c>
      <c r="P29">
        <v>0.31</v>
      </c>
      <c r="R29">
        <v>293.57</v>
      </c>
      <c r="T29" s="241">
        <v>2.41E-12</v>
      </c>
      <c r="U29" s="241">
        <v>3.1300000000000003E-14</v>
      </c>
      <c r="W29">
        <v>560.71</v>
      </c>
      <c r="X29">
        <v>8.07</v>
      </c>
      <c r="Y29">
        <v>184.65</v>
      </c>
      <c r="Z29">
        <v>3.73</v>
      </c>
      <c r="AA29">
        <v>82.41</v>
      </c>
      <c r="AB29">
        <v>0.76</v>
      </c>
      <c r="AC29">
        <v>21.95</v>
      </c>
      <c r="AD29">
        <v>1.1100000000000001</v>
      </c>
      <c r="AF29" s="241">
        <v>2.09E-15</v>
      </c>
      <c r="AG29" s="241">
        <v>2.3099999999999999E-17</v>
      </c>
      <c r="AI29">
        <v>44.69</v>
      </c>
      <c r="AJ29">
        <v>1.29</v>
      </c>
      <c r="AK29">
        <v>144.66999999999999</v>
      </c>
      <c r="AL29">
        <v>5.0599999999999996</v>
      </c>
      <c r="AM29">
        <v>15.4</v>
      </c>
      <c r="AN29">
        <v>1.1599999999999999</v>
      </c>
      <c r="AO29">
        <v>109.78</v>
      </c>
      <c r="AP29">
        <v>1.55</v>
      </c>
      <c r="AQ29">
        <v>115.02</v>
      </c>
      <c r="AR29">
        <v>0.95</v>
      </c>
      <c r="AS29">
        <v>36.85</v>
      </c>
      <c r="AT29">
        <v>2.88</v>
      </c>
      <c r="AU29">
        <v>34.72</v>
      </c>
      <c r="AV29">
        <v>3.24</v>
      </c>
      <c r="AX29" s="241">
        <v>1.9700000000000001E-15</v>
      </c>
      <c r="AY29" s="241">
        <v>3.2900000000000002E-17</v>
      </c>
    </row>
    <row r="30" spans="1:51">
      <c r="B30">
        <v>19</v>
      </c>
      <c r="C30">
        <v>1.1999999999999999E-3</v>
      </c>
      <c r="D30">
        <v>2332</v>
      </c>
      <c r="E30" s="240">
        <v>41114</v>
      </c>
      <c r="F30" s="240">
        <v>41301</v>
      </c>
      <c r="G30">
        <v>535.09</v>
      </c>
      <c r="H30">
        <v>0.95</v>
      </c>
      <c r="I30">
        <v>0.56999999999999995</v>
      </c>
      <c r="J30">
        <v>0.06</v>
      </c>
      <c r="K30">
        <v>5.52</v>
      </c>
      <c r="L30">
        <v>0.1</v>
      </c>
      <c r="M30">
        <v>0.7</v>
      </c>
      <c r="N30">
        <v>0.08</v>
      </c>
      <c r="O30">
        <v>8.2799999999999994</v>
      </c>
      <c r="P30">
        <v>0.35</v>
      </c>
      <c r="R30">
        <v>293.57</v>
      </c>
      <c r="T30" s="241">
        <v>2.41E-12</v>
      </c>
      <c r="U30" s="241">
        <v>3.1300000000000003E-14</v>
      </c>
      <c r="W30">
        <v>237.44</v>
      </c>
      <c r="X30">
        <v>5.34</v>
      </c>
      <c r="Y30">
        <v>81.96</v>
      </c>
      <c r="Z30">
        <v>1.23</v>
      </c>
      <c r="AA30">
        <v>62.63</v>
      </c>
      <c r="AB30">
        <v>1.64</v>
      </c>
      <c r="AC30">
        <v>18.89</v>
      </c>
      <c r="AD30">
        <v>1.31</v>
      </c>
      <c r="AF30" s="241">
        <v>2.09E-15</v>
      </c>
      <c r="AG30" s="241">
        <v>2.3099999999999999E-17</v>
      </c>
      <c r="AI30">
        <v>25.45</v>
      </c>
      <c r="AJ30">
        <v>2.83</v>
      </c>
      <c r="AK30">
        <v>105.84</v>
      </c>
      <c r="AL30">
        <v>3.79</v>
      </c>
      <c r="AM30">
        <v>12.22</v>
      </c>
      <c r="AN30">
        <v>1.17</v>
      </c>
      <c r="AO30">
        <v>69.56</v>
      </c>
      <c r="AP30">
        <v>2.23</v>
      </c>
      <c r="AQ30">
        <v>79.13</v>
      </c>
      <c r="AR30">
        <v>2.41</v>
      </c>
      <c r="AS30">
        <v>27.49</v>
      </c>
      <c r="AT30">
        <v>1.65</v>
      </c>
      <c r="AU30">
        <v>24.37</v>
      </c>
      <c r="AV30">
        <v>0.92</v>
      </c>
      <c r="AX30" s="241">
        <v>1.9700000000000001E-15</v>
      </c>
      <c r="AY30" s="241">
        <v>3.2900000000000002E-17</v>
      </c>
    </row>
    <row r="31" spans="1:51">
      <c r="B31">
        <v>19</v>
      </c>
      <c r="C31">
        <v>1.1999999999999999E-3</v>
      </c>
      <c r="D31">
        <v>2333</v>
      </c>
      <c r="E31" s="240">
        <v>41114</v>
      </c>
      <c r="F31" s="240">
        <v>41301</v>
      </c>
      <c r="G31">
        <v>174.04</v>
      </c>
      <c r="H31">
        <v>3.11</v>
      </c>
      <c r="I31">
        <v>0.6</v>
      </c>
      <c r="J31">
        <v>7.0000000000000007E-2</v>
      </c>
      <c r="K31">
        <v>1.26</v>
      </c>
      <c r="L31">
        <v>0.06</v>
      </c>
      <c r="M31">
        <v>0.16</v>
      </c>
      <c r="N31">
        <v>0.06</v>
      </c>
      <c r="O31">
        <v>1.64</v>
      </c>
      <c r="P31">
        <v>0.16</v>
      </c>
      <c r="R31">
        <v>293.57</v>
      </c>
      <c r="T31" s="241">
        <v>2.41E-12</v>
      </c>
      <c r="U31" s="241">
        <v>3.1300000000000003E-14</v>
      </c>
      <c r="W31">
        <v>52.52</v>
      </c>
      <c r="X31">
        <v>2.17</v>
      </c>
      <c r="Y31">
        <v>20.74</v>
      </c>
      <c r="Z31">
        <v>0.94</v>
      </c>
      <c r="AA31">
        <v>18.21</v>
      </c>
      <c r="AB31">
        <v>1.56</v>
      </c>
      <c r="AC31">
        <v>6.37</v>
      </c>
      <c r="AD31">
        <v>1.41</v>
      </c>
      <c r="AF31" s="241">
        <v>2.09E-15</v>
      </c>
      <c r="AG31" s="241">
        <v>2.3099999999999999E-17</v>
      </c>
      <c r="AI31">
        <v>2.4</v>
      </c>
      <c r="AJ31">
        <v>1.69</v>
      </c>
      <c r="AK31">
        <v>5.38</v>
      </c>
      <c r="AL31">
        <v>0.98</v>
      </c>
      <c r="AM31">
        <v>0.36</v>
      </c>
      <c r="AN31">
        <v>0.55000000000000004</v>
      </c>
      <c r="AO31">
        <v>9.01</v>
      </c>
      <c r="AP31">
        <v>5.18</v>
      </c>
      <c r="AQ31">
        <v>6.54</v>
      </c>
      <c r="AR31">
        <v>2.46</v>
      </c>
      <c r="AS31">
        <v>3</v>
      </c>
      <c r="AT31">
        <v>3.22</v>
      </c>
      <c r="AU31">
        <v>2.0699999999999998</v>
      </c>
      <c r="AV31">
        <v>1.66</v>
      </c>
      <c r="AX31" s="241">
        <v>1.9700000000000001E-15</v>
      </c>
      <c r="AY31" s="241">
        <v>3.2900000000000002E-17</v>
      </c>
    </row>
    <row r="32" spans="1:51">
      <c r="A32" t="s">
        <v>717</v>
      </c>
      <c r="C32">
        <v>1.1999999999999999E-3</v>
      </c>
      <c r="E32" s="240">
        <v>41114</v>
      </c>
      <c r="F32" s="240">
        <v>41301</v>
      </c>
      <c r="G32">
        <v>41654.1</v>
      </c>
      <c r="H32">
        <v>114.35</v>
      </c>
      <c r="I32">
        <v>27.81</v>
      </c>
      <c r="J32">
        <v>0.55000000000000004</v>
      </c>
      <c r="K32">
        <v>77.88</v>
      </c>
      <c r="L32">
        <v>0.34</v>
      </c>
      <c r="M32">
        <v>4.18</v>
      </c>
      <c r="N32">
        <v>0.2</v>
      </c>
      <c r="O32">
        <v>52.04</v>
      </c>
      <c r="P32">
        <v>0.53</v>
      </c>
      <c r="R32">
        <v>293.57</v>
      </c>
      <c r="T32" s="241">
        <v>2.41E-12</v>
      </c>
      <c r="U32" s="241">
        <v>3.1300000000000003E-14</v>
      </c>
      <c r="W32">
        <v>8423.08</v>
      </c>
      <c r="X32">
        <v>35.229999999999997</v>
      </c>
      <c r="Y32">
        <v>2717.65</v>
      </c>
      <c r="Z32">
        <v>7.66</v>
      </c>
      <c r="AA32">
        <v>461.37</v>
      </c>
      <c r="AB32">
        <v>14.56</v>
      </c>
      <c r="AC32">
        <v>147.05000000000001</v>
      </c>
      <c r="AD32">
        <v>3</v>
      </c>
      <c r="AF32" s="241">
        <v>2.09E-15</v>
      </c>
      <c r="AG32" s="241">
        <v>2.3099999999999999E-17</v>
      </c>
      <c r="AI32">
        <v>484.97</v>
      </c>
      <c r="AJ32">
        <v>4.71</v>
      </c>
      <c r="AK32">
        <v>1044.97</v>
      </c>
      <c r="AL32">
        <v>12.26</v>
      </c>
      <c r="AM32">
        <v>111.13</v>
      </c>
      <c r="AN32">
        <v>2.62</v>
      </c>
      <c r="AO32">
        <v>788.7</v>
      </c>
      <c r="AP32">
        <v>26</v>
      </c>
      <c r="AQ32">
        <v>747.59</v>
      </c>
      <c r="AR32">
        <v>10.74</v>
      </c>
      <c r="AS32">
        <v>277.25</v>
      </c>
      <c r="AT32">
        <v>5.29</v>
      </c>
      <c r="AU32">
        <v>255.79</v>
      </c>
      <c r="AV32">
        <v>4.72</v>
      </c>
      <c r="AX32" s="241">
        <v>1.9700000000000001E-15</v>
      </c>
      <c r="AY32" s="241">
        <v>3.2900000000000002E-17</v>
      </c>
    </row>
    <row r="34" spans="1:51">
      <c r="B34">
        <v>13.5</v>
      </c>
      <c r="C34">
        <v>2.3E-3</v>
      </c>
      <c r="D34">
        <v>2334</v>
      </c>
      <c r="E34" s="240">
        <v>41114</v>
      </c>
      <c r="F34" s="240">
        <v>41301</v>
      </c>
      <c r="G34">
        <v>16406.810000000001</v>
      </c>
      <c r="H34">
        <v>16.07</v>
      </c>
      <c r="I34">
        <v>12.01</v>
      </c>
      <c r="J34">
        <v>0.46</v>
      </c>
      <c r="K34">
        <v>29.13</v>
      </c>
      <c r="L34">
        <v>0.55000000000000004</v>
      </c>
      <c r="M34">
        <v>1.32</v>
      </c>
      <c r="N34">
        <v>0.13</v>
      </c>
      <c r="O34">
        <v>8.35</v>
      </c>
      <c r="P34">
        <v>0.17</v>
      </c>
      <c r="R34">
        <v>293.57</v>
      </c>
      <c r="T34" s="241">
        <v>2.41E-12</v>
      </c>
      <c r="U34" s="241">
        <v>3.1300000000000003E-14</v>
      </c>
      <c r="W34">
        <v>4523.5200000000004</v>
      </c>
      <c r="X34">
        <v>19.649999999999999</v>
      </c>
      <c r="Y34">
        <v>1397.28</v>
      </c>
      <c r="Z34">
        <v>7.41</v>
      </c>
      <c r="AA34">
        <v>114.57</v>
      </c>
      <c r="AB34">
        <v>3.37</v>
      </c>
      <c r="AC34">
        <v>38.380000000000003</v>
      </c>
      <c r="AD34">
        <v>1.45</v>
      </c>
      <c r="AF34" s="241">
        <v>2.09E-15</v>
      </c>
      <c r="AG34" s="241">
        <v>2.3099999999999999E-17</v>
      </c>
      <c r="AI34">
        <v>878.61</v>
      </c>
      <c r="AJ34">
        <v>7.53</v>
      </c>
      <c r="AK34">
        <v>488.53</v>
      </c>
      <c r="AL34">
        <v>5.26</v>
      </c>
      <c r="AM34">
        <v>22.34</v>
      </c>
      <c r="AN34">
        <v>1.98</v>
      </c>
      <c r="AO34">
        <v>230.58</v>
      </c>
      <c r="AP34">
        <v>2.4300000000000002</v>
      </c>
      <c r="AQ34">
        <v>135.26</v>
      </c>
      <c r="AR34">
        <v>3.69</v>
      </c>
      <c r="AS34">
        <v>61.21</v>
      </c>
      <c r="AT34">
        <v>1.43</v>
      </c>
      <c r="AU34">
        <v>61.06</v>
      </c>
      <c r="AV34">
        <v>2.1</v>
      </c>
      <c r="AX34" s="241">
        <v>1.9700000000000001E-15</v>
      </c>
      <c r="AY34" s="241">
        <v>3.2900000000000002E-17</v>
      </c>
    </row>
    <row r="35" spans="1:51">
      <c r="B35">
        <v>19</v>
      </c>
      <c r="C35">
        <v>2.3E-3</v>
      </c>
      <c r="D35">
        <v>2336</v>
      </c>
      <c r="E35" s="240">
        <v>41114</v>
      </c>
      <c r="F35" s="240">
        <v>41302</v>
      </c>
      <c r="G35">
        <v>23703.27</v>
      </c>
      <c r="H35">
        <v>108.77</v>
      </c>
      <c r="I35">
        <v>15.09</v>
      </c>
      <c r="J35">
        <v>0.22</v>
      </c>
      <c r="K35">
        <v>34.619999999999997</v>
      </c>
      <c r="L35">
        <v>0.11</v>
      </c>
      <c r="M35">
        <v>1.17</v>
      </c>
      <c r="N35">
        <v>0.18</v>
      </c>
      <c r="O35">
        <v>12.68</v>
      </c>
      <c r="P35">
        <v>0.23</v>
      </c>
      <c r="R35">
        <v>293.57</v>
      </c>
      <c r="T35" s="241">
        <v>2.41E-12</v>
      </c>
      <c r="U35" s="241">
        <v>3.1300000000000003E-14</v>
      </c>
      <c r="W35">
        <v>3073.57</v>
      </c>
      <c r="X35">
        <v>23.53</v>
      </c>
      <c r="Y35">
        <v>954</v>
      </c>
      <c r="Z35">
        <v>9.8699999999999992</v>
      </c>
      <c r="AA35">
        <v>124.82</v>
      </c>
      <c r="AB35">
        <v>1.9</v>
      </c>
      <c r="AC35">
        <v>44.17</v>
      </c>
      <c r="AD35">
        <v>2.72</v>
      </c>
      <c r="AF35" s="241">
        <v>2.09E-15</v>
      </c>
      <c r="AG35" s="241">
        <v>2.3099999999999999E-17</v>
      </c>
      <c r="AI35">
        <v>305.73</v>
      </c>
      <c r="AJ35">
        <v>4.0599999999999996</v>
      </c>
      <c r="AK35">
        <v>580.88</v>
      </c>
      <c r="AL35">
        <v>2.42</v>
      </c>
      <c r="AM35">
        <v>16.28</v>
      </c>
      <c r="AN35">
        <v>1.58</v>
      </c>
      <c r="AO35">
        <v>93.87</v>
      </c>
      <c r="AP35">
        <v>16.670000000000002</v>
      </c>
      <c r="AQ35">
        <v>117.35</v>
      </c>
      <c r="AR35">
        <v>1.0900000000000001</v>
      </c>
      <c r="AS35">
        <v>55.97</v>
      </c>
      <c r="AT35">
        <v>1.03</v>
      </c>
      <c r="AU35">
        <v>45.34</v>
      </c>
      <c r="AV35">
        <v>1.46</v>
      </c>
      <c r="AX35" s="241">
        <v>1.9700000000000001E-15</v>
      </c>
      <c r="AY35" s="241">
        <v>3.2900000000000002E-17</v>
      </c>
    </row>
    <row r="36" spans="1:51">
      <c r="A36" t="s">
        <v>714</v>
      </c>
      <c r="C36">
        <v>2.3E-3</v>
      </c>
      <c r="E36" s="240">
        <v>41114</v>
      </c>
      <c r="F36" s="240">
        <v>41302</v>
      </c>
      <c r="G36">
        <v>40110.080000000002</v>
      </c>
      <c r="H36">
        <v>109.95</v>
      </c>
      <c r="I36">
        <v>27.1</v>
      </c>
      <c r="J36">
        <v>0.51</v>
      </c>
      <c r="K36">
        <v>63.74</v>
      </c>
      <c r="L36">
        <v>0.56000000000000005</v>
      </c>
      <c r="M36">
        <v>2.48</v>
      </c>
      <c r="N36">
        <v>0.22</v>
      </c>
      <c r="O36">
        <v>21.03</v>
      </c>
      <c r="P36">
        <v>0.28000000000000003</v>
      </c>
      <c r="R36">
        <v>293.57</v>
      </c>
      <c r="T36" s="241">
        <v>2.41E-12</v>
      </c>
      <c r="U36" s="241">
        <v>3.1300000000000003E-14</v>
      </c>
      <c r="W36">
        <v>7597.09</v>
      </c>
      <c r="X36">
        <v>30.66</v>
      </c>
      <c r="Y36">
        <v>2351.2800000000002</v>
      </c>
      <c r="Z36">
        <v>12.34</v>
      </c>
      <c r="AA36">
        <v>239.39</v>
      </c>
      <c r="AB36">
        <v>3.87</v>
      </c>
      <c r="AC36">
        <v>82.55</v>
      </c>
      <c r="AD36">
        <v>3.08</v>
      </c>
      <c r="AF36" s="241">
        <v>2.09E-15</v>
      </c>
      <c r="AG36" s="241">
        <v>2.3099999999999999E-17</v>
      </c>
      <c r="AI36">
        <v>1184.3499999999999</v>
      </c>
      <c r="AJ36">
        <v>8.5500000000000007</v>
      </c>
      <c r="AK36">
        <v>1069.4100000000001</v>
      </c>
      <c r="AL36">
        <v>5.79</v>
      </c>
      <c r="AM36">
        <v>38.619999999999997</v>
      </c>
      <c r="AN36">
        <v>2.5299999999999998</v>
      </c>
      <c r="AO36">
        <v>324.44</v>
      </c>
      <c r="AP36">
        <v>16.850000000000001</v>
      </c>
      <c r="AQ36">
        <v>252.61</v>
      </c>
      <c r="AR36">
        <v>3.84</v>
      </c>
      <c r="AS36">
        <v>117.18</v>
      </c>
      <c r="AT36">
        <v>1.76</v>
      </c>
      <c r="AU36">
        <v>106.39</v>
      </c>
      <c r="AV36">
        <v>2.5499999999999998</v>
      </c>
      <c r="AX36" s="241">
        <v>1.9700000000000001E-15</v>
      </c>
      <c r="AY36" s="241">
        <v>3.2900000000000002E-17</v>
      </c>
    </row>
    <row r="38" spans="1:51">
      <c r="B38">
        <v>13.5</v>
      </c>
      <c r="C38">
        <v>2E-3</v>
      </c>
      <c r="D38">
        <v>2338</v>
      </c>
      <c r="E38" s="240">
        <v>41114</v>
      </c>
      <c r="F38" s="240">
        <v>41302</v>
      </c>
      <c r="G38">
        <v>112033.3</v>
      </c>
      <c r="H38">
        <v>149.49</v>
      </c>
      <c r="I38">
        <v>1032.28</v>
      </c>
      <c r="J38">
        <v>0.47</v>
      </c>
      <c r="K38">
        <v>777.88</v>
      </c>
      <c r="L38">
        <v>0.34</v>
      </c>
      <c r="M38">
        <v>52.2</v>
      </c>
      <c r="N38">
        <v>0.23</v>
      </c>
      <c r="O38">
        <v>233.32</v>
      </c>
      <c r="P38">
        <v>0.36</v>
      </c>
      <c r="R38">
        <v>293.57</v>
      </c>
      <c r="T38" s="241">
        <v>2.41E-12</v>
      </c>
      <c r="U38" s="241">
        <v>3.1300000000000003E-14</v>
      </c>
      <c r="W38">
        <v>40358.959999999999</v>
      </c>
      <c r="X38">
        <v>98.05</v>
      </c>
      <c r="Y38">
        <v>13271.53</v>
      </c>
      <c r="Z38">
        <v>52.72</v>
      </c>
      <c r="AA38">
        <v>4803.6000000000004</v>
      </c>
      <c r="AB38">
        <v>14.66</v>
      </c>
      <c r="AC38">
        <v>1678.16</v>
      </c>
      <c r="AD38">
        <v>7.96</v>
      </c>
      <c r="AF38" s="241">
        <v>2.09E-15</v>
      </c>
      <c r="AG38" s="241">
        <v>2.3099999999999999E-17</v>
      </c>
      <c r="AI38">
        <v>5647.21</v>
      </c>
      <c r="AJ38">
        <v>31.99</v>
      </c>
      <c r="AK38">
        <v>1639.59</v>
      </c>
      <c r="AL38">
        <v>6.91</v>
      </c>
      <c r="AM38">
        <v>161.83000000000001</v>
      </c>
      <c r="AN38">
        <v>2.7</v>
      </c>
      <c r="AO38">
        <v>15042.53</v>
      </c>
      <c r="AP38">
        <v>42.88</v>
      </c>
      <c r="AQ38">
        <v>2223.54</v>
      </c>
      <c r="AR38">
        <v>18.53</v>
      </c>
      <c r="AS38">
        <v>2170.73</v>
      </c>
      <c r="AT38">
        <v>7.72</v>
      </c>
      <c r="AU38">
        <v>2509.86</v>
      </c>
      <c r="AV38">
        <v>16.760000000000002</v>
      </c>
      <c r="AX38" s="241">
        <v>1.9700000000000001E-15</v>
      </c>
      <c r="AY38" s="241">
        <v>3.2900000000000002E-17</v>
      </c>
    </row>
    <row r="39" spans="1:51">
      <c r="B39">
        <v>19</v>
      </c>
      <c r="C39">
        <v>2E-3</v>
      </c>
      <c r="D39">
        <v>2339</v>
      </c>
      <c r="E39" s="240">
        <v>41114</v>
      </c>
      <c r="F39" s="240">
        <v>41302</v>
      </c>
      <c r="G39">
        <v>3373.37</v>
      </c>
      <c r="H39">
        <v>5.43</v>
      </c>
      <c r="I39">
        <v>3.37</v>
      </c>
      <c r="J39">
        <v>0.32</v>
      </c>
      <c r="K39">
        <v>13.09</v>
      </c>
      <c r="L39">
        <v>0.4</v>
      </c>
      <c r="M39">
        <v>0.69</v>
      </c>
      <c r="N39">
        <v>0.16</v>
      </c>
      <c r="O39">
        <v>7.58</v>
      </c>
      <c r="P39">
        <v>0.12</v>
      </c>
      <c r="R39">
        <v>293.57</v>
      </c>
      <c r="T39" s="241">
        <v>2.41E-12</v>
      </c>
      <c r="U39" s="241">
        <v>3.1300000000000003E-14</v>
      </c>
      <c r="W39">
        <v>777.95</v>
      </c>
      <c r="X39">
        <v>55.56</v>
      </c>
      <c r="Y39">
        <v>246.75</v>
      </c>
      <c r="Z39">
        <v>2.16</v>
      </c>
      <c r="AA39">
        <v>50.08</v>
      </c>
      <c r="AB39">
        <v>2.17</v>
      </c>
      <c r="AC39">
        <v>15.84</v>
      </c>
      <c r="AD39">
        <v>2.14</v>
      </c>
      <c r="AF39" s="241">
        <v>2.09E-15</v>
      </c>
      <c r="AG39" s="241">
        <v>2.3099999999999999E-17</v>
      </c>
      <c r="AI39">
        <v>51.23</v>
      </c>
      <c r="AJ39">
        <v>1.28</v>
      </c>
      <c r="AK39">
        <v>114.7</v>
      </c>
      <c r="AL39">
        <v>5.9</v>
      </c>
      <c r="AM39">
        <v>3.42</v>
      </c>
      <c r="AN39">
        <v>1.01</v>
      </c>
      <c r="AO39">
        <v>86.18</v>
      </c>
      <c r="AP39">
        <v>9.32</v>
      </c>
      <c r="AQ39">
        <v>82.13</v>
      </c>
      <c r="AR39">
        <v>1.74</v>
      </c>
      <c r="AS39">
        <v>34.24</v>
      </c>
      <c r="AT39">
        <v>2.5</v>
      </c>
      <c r="AU39">
        <v>29.71</v>
      </c>
      <c r="AV39">
        <v>2.29</v>
      </c>
      <c r="AX39" s="241">
        <v>1.9700000000000001E-15</v>
      </c>
      <c r="AY39" s="241">
        <v>3.2900000000000002E-17</v>
      </c>
    </row>
    <row r="40" spans="1:51">
      <c r="A40" t="s">
        <v>718</v>
      </c>
      <c r="C40">
        <v>2E-3</v>
      </c>
      <c r="E40" s="240">
        <v>41114</v>
      </c>
      <c r="F40" s="240">
        <v>41302</v>
      </c>
      <c r="G40">
        <v>115406.67</v>
      </c>
      <c r="H40">
        <v>149.59</v>
      </c>
      <c r="I40">
        <v>1035.6500000000001</v>
      </c>
      <c r="J40">
        <v>0.56999999999999995</v>
      </c>
      <c r="K40">
        <v>790.97</v>
      </c>
      <c r="L40">
        <v>0.53</v>
      </c>
      <c r="M40">
        <v>52.89</v>
      </c>
      <c r="N40">
        <v>0.28000000000000003</v>
      </c>
      <c r="O40">
        <v>240.9</v>
      </c>
      <c r="P40">
        <v>0.38</v>
      </c>
      <c r="R40">
        <v>293.57</v>
      </c>
      <c r="T40" s="241">
        <v>2.41E-12</v>
      </c>
      <c r="U40" s="241">
        <v>3.1300000000000003E-14</v>
      </c>
      <c r="W40">
        <v>41136.910000000003</v>
      </c>
      <c r="X40">
        <v>112.69</v>
      </c>
      <c r="Y40">
        <v>13518.28</v>
      </c>
      <c r="Z40">
        <v>52.76</v>
      </c>
      <c r="AA40">
        <v>4853.68</v>
      </c>
      <c r="AB40">
        <v>14.82</v>
      </c>
      <c r="AC40">
        <v>1693.99</v>
      </c>
      <c r="AD40">
        <v>8.24</v>
      </c>
      <c r="AF40" s="241">
        <v>2.09E-15</v>
      </c>
      <c r="AG40" s="241">
        <v>2.3099999999999999E-17</v>
      </c>
      <c r="AI40">
        <v>5698.44</v>
      </c>
      <c r="AJ40">
        <v>32.020000000000003</v>
      </c>
      <c r="AK40">
        <v>1754.29</v>
      </c>
      <c r="AL40">
        <v>9.09</v>
      </c>
      <c r="AM40">
        <v>165.25</v>
      </c>
      <c r="AN40">
        <v>2.89</v>
      </c>
      <c r="AO40">
        <v>15128.71</v>
      </c>
      <c r="AP40">
        <v>43.88</v>
      </c>
      <c r="AQ40">
        <v>2305.67</v>
      </c>
      <c r="AR40">
        <v>18.61</v>
      </c>
      <c r="AS40">
        <v>2204.96</v>
      </c>
      <c r="AT40">
        <v>8.11</v>
      </c>
      <c r="AU40">
        <v>2539.58</v>
      </c>
      <c r="AV40">
        <v>16.91</v>
      </c>
      <c r="AX40" s="241">
        <v>1.9700000000000001E-15</v>
      </c>
      <c r="AY40" s="241">
        <v>3.2900000000000002E-17</v>
      </c>
    </row>
    <row r="42" spans="1:51">
      <c r="B42">
        <v>13.5</v>
      </c>
      <c r="C42">
        <v>3.3E-3</v>
      </c>
      <c r="D42">
        <v>2341</v>
      </c>
      <c r="E42" s="240">
        <v>41114</v>
      </c>
      <c r="F42" s="240">
        <v>41302</v>
      </c>
      <c r="G42">
        <v>146614.5</v>
      </c>
      <c r="H42">
        <v>94.2</v>
      </c>
      <c r="I42">
        <v>1372.62</v>
      </c>
      <c r="J42">
        <v>0.47</v>
      </c>
      <c r="K42">
        <v>993.59</v>
      </c>
      <c r="L42">
        <v>0.61</v>
      </c>
      <c r="M42">
        <v>55.81</v>
      </c>
      <c r="N42">
        <v>0.2</v>
      </c>
      <c r="O42">
        <v>300.14</v>
      </c>
      <c r="P42">
        <v>0.11</v>
      </c>
      <c r="R42">
        <v>293.57</v>
      </c>
      <c r="T42" s="241">
        <v>2.41E-12</v>
      </c>
      <c r="U42" s="241">
        <v>3.1300000000000003E-14</v>
      </c>
      <c r="W42">
        <v>49484.67</v>
      </c>
      <c r="X42">
        <v>301.95999999999998</v>
      </c>
      <c r="Y42">
        <v>16618.43</v>
      </c>
      <c r="Z42">
        <v>60.72</v>
      </c>
      <c r="AA42">
        <v>6749.08</v>
      </c>
      <c r="AB42">
        <v>16.38</v>
      </c>
      <c r="AC42">
        <v>2323.0500000000002</v>
      </c>
      <c r="AD42">
        <v>21.06</v>
      </c>
      <c r="AF42" s="241">
        <v>2.09E-15</v>
      </c>
      <c r="AG42" s="241">
        <v>2.3099999999999999E-17</v>
      </c>
      <c r="AI42">
        <v>8745.31</v>
      </c>
      <c r="AJ42">
        <v>23.77</v>
      </c>
      <c r="AK42">
        <v>2114.6999999999998</v>
      </c>
      <c r="AL42">
        <v>13.02</v>
      </c>
      <c r="AM42">
        <v>277.77</v>
      </c>
      <c r="AN42">
        <v>2.64</v>
      </c>
      <c r="AO42">
        <v>22410.58</v>
      </c>
      <c r="AP42">
        <v>119.25</v>
      </c>
      <c r="AQ42">
        <v>3291.38</v>
      </c>
      <c r="AR42">
        <v>22</v>
      </c>
      <c r="AS42">
        <v>3084.86</v>
      </c>
      <c r="AT42">
        <v>22.04</v>
      </c>
      <c r="AU42">
        <v>3510.22</v>
      </c>
      <c r="AV42">
        <v>34.590000000000003</v>
      </c>
      <c r="AX42" s="241">
        <v>1.9700000000000001E-15</v>
      </c>
      <c r="AY42" s="241">
        <v>3.2900000000000002E-17</v>
      </c>
    </row>
    <row r="43" spans="1:51">
      <c r="B43">
        <v>19</v>
      </c>
      <c r="C43">
        <v>3.3E-3</v>
      </c>
      <c r="D43">
        <v>2342</v>
      </c>
      <c r="E43" s="240">
        <v>41114</v>
      </c>
      <c r="F43" s="240">
        <v>41302</v>
      </c>
      <c r="G43">
        <v>4090.76</v>
      </c>
      <c r="H43">
        <v>66.760000000000005</v>
      </c>
      <c r="I43">
        <v>17.21</v>
      </c>
      <c r="J43">
        <v>0.84</v>
      </c>
      <c r="K43">
        <v>18.850000000000001</v>
      </c>
      <c r="L43">
        <v>0.48</v>
      </c>
      <c r="M43">
        <v>1.25</v>
      </c>
      <c r="N43">
        <v>0.22</v>
      </c>
      <c r="O43">
        <v>8.15</v>
      </c>
      <c r="P43">
        <v>0.21</v>
      </c>
      <c r="R43">
        <v>293.57</v>
      </c>
      <c r="T43" s="241">
        <v>2.41E-12</v>
      </c>
      <c r="U43" s="241">
        <v>3.1300000000000003E-14</v>
      </c>
      <c r="W43">
        <v>1283.6600000000001</v>
      </c>
      <c r="X43">
        <v>46.34</v>
      </c>
      <c r="Y43">
        <v>412.49</v>
      </c>
      <c r="Z43">
        <v>2.0699999999999998</v>
      </c>
      <c r="AA43">
        <v>135.94</v>
      </c>
      <c r="AB43">
        <v>3.22</v>
      </c>
      <c r="AC43">
        <v>44.17</v>
      </c>
      <c r="AD43">
        <v>2.15</v>
      </c>
      <c r="AF43" s="241">
        <v>2.09E-15</v>
      </c>
      <c r="AG43" s="241">
        <v>2.3099999999999999E-17</v>
      </c>
      <c r="AI43">
        <v>150.76</v>
      </c>
      <c r="AJ43">
        <v>9.06</v>
      </c>
      <c r="AK43">
        <v>150.6</v>
      </c>
      <c r="AL43">
        <v>3.36</v>
      </c>
      <c r="AM43">
        <v>22.84</v>
      </c>
      <c r="AN43">
        <v>3.68</v>
      </c>
      <c r="AO43">
        <v>393.07</v>
      </c>
      <c r="AP43">
        <v>5.44</v>
      </c>
      <c r="AQ43">
        <v>130.05000000000001</v>
      </c>
      <c r="AR43">
        <v>2.72</v>
      </c>
      <c r="AS43">
        <v>74.88</v>
      </c>
      <c r="AT43">
        <v>1.54</v>
      </c>
      <c r="AU43">
        <v>92.69</v>
      </c>
      <c r="AV43">
        <v>5.94</v>
      </c>
      <c r="AX43" s="241">
        <v>1.9700000000000001E-15</v>
      </c>
      <c r="AY43" s="241">
        <v>3.2900000000000002E-17</v>
      </c>
    </row>
    <row r="44" spans="1:51">
      <c r="A44" t="s">
        <v>718</v>
      </c>
      <c r="C44">
        <v>3.3E-3</v>
      </c>
      <c r="E44" s="240">
        <v>41114</v>
      </c>
      <c r="F44" s="240">
        <v>41302</v>
      </c>
      <c r="G44">
        <v>150705.26</v>
      </c>
      <c r="H44">
        <v>115.46</v>
      </c>
      <c r="I44">
        <v>1389.83</v>
      </c>
      <c r="J44">
        <v>0.96</v>
      </c>
      <c r="K44">
        <v>1012.44</v>
      </c>
      <c r="L44">
        <v>0.77</v>
      </c>
      <c r="M44">
        <v>57.06</v>
      </c>
      <c r="N44">
        <v>0.28999999999999998</v>
      </c>
      <c r="O44">
        <v>308.29000000000002</v>
      </c>
      <c r="P44">
        <v>0.23</v>
      </c>
      <c r="R44">
        <v>293.57</v>
      </c>
      <c r="T44" s="241">
        <v>2.41E-12</v>
      </c>
      <c r="U44" s="241">
        <v>3.1300000000000003E-14</v>
      </c>
      <c r="W44">
        <v>50768.33</v>
      </c>
      <c r="X44">
        <v>305.5</v>
      </c>
      <c r="Y44">
        <v>17030.919999999998</v>
      </c>
      <c r="Z44">
        <v>60.76</v>
      </c>
      <c r="AA44">
        <v>6885.02</v>
      </c>
      <c r="AB44">
        <v>16.690000000000001</v>
      </c>
      <c r="AC44">
        <v>2367.2199999999998</v>
      </c>
      <c r="AD44">
        <v>21.17</v>
      </c>
      <c r="AF44" s="241">
        <v>2.09E-15</v>
      </c>
      <c r="AG44" s="241">
        <v>2.3099999999999999E-17</v>
      </c>
      <c r="AI44">
        <v>8896.06</v>
      </c>
      <c r="AJ44">
        <v>25.44</v>
      </c>
      <c r="AK44">
        <v>2265.3000000000002</v>
      </c>
      <c r="AL44">
        <v>13.44</v>
      </c>
      <c r="AM44">
        <v>300.61</v>
      </c>
      <c r="AN44">
        <v>4.53</v>
      </c>
      <c r="AO44">
        <v>22803.65</v>
      </c>
      <c r="AP44">
        <v>119.37</v>
      </c>
      <c r="AQ44">
        <v>3421.44</v>
      </c>
      <c r="AR44">
        <v>22.16</v>
      </c>
      <c r="AS44">
        <v>3159.74</v>
      </c>
      <c r="AT44">
        <v>22.1</v>
      </c>
      <c r="AU44">
        <v>3602.91</v>
      </c>
      <c r="AV44">
        <v>35.1</v>
      </c>
      <c r="AX44" s="241">
        <v>1.9700000000000001E-15</v>
      </c>
      <c r="AY44" s="241">
        <v>3.2900000000000002E-17</v>
      </c>
    </row>
    <row r="46" spans="1:51">
      <c r="B46">
        <v>13.5</v>
      </c>
      <c r="C46">
        <v>2E-3</v>
      </c>
      <c r="D46">
        <v>2421</v>
      </c>
      <c r="E46" s="240">
        <v>41114</v>
      </c>
      <c r="F46" s="240">
        <v>41318</v>
      </c>
      <c r="G46">
        <v>9730.24</v>
      </c>
      <c r="H46">
        <v>5.95</v>
      </c>
      <c r="I46">
        <v>13.01</v>
      </c>
      <c r="J46">
        <v>2.0699999999999998</v>
      </c>
      <c r="K46">
        <v>8.0399999999999991</v>
      </c>
      <c r="L46">
        <v>0.85</v>
      </c>
      <c r="M46">
        <v>0.9</v>
      </c>
      <c r="N46">
        <v>0.18</v>
      </c>
      <c r="O46">
        <v>6.3</v>
      </c>
      <c r="P46">
        <v>0.06</v>
      </c>
      <c r="R46">
        <v>293.57</v>
      </c>
      <c r="T46" s="241">
        <v>2.41E-12</v>
      </c>
      <c r="U46" s="241">
        <v>3.1300000000000003E-14</v>
      </c>
      <c r="W46">
        <v>318.64999999999998</v>
      </c>
      <c r="X46">
        <v>20.420000000000002</v>
      </c>
      <c r="Y46">
        <v>108.79</v>
      </c>
      <c r="Z46">
        <v>2.59</v>
      </c>
      <c r="AA46">
        <v>77.349999999999994</v>
      </c>
      <c r="AB46">
        <v>3.55</v>
      </c>
      <c r="AC46">
        <v>43.7</v>
      </c>
      <c r="AD46">
        <v>1.82</v>
      </c>
      <c r="AF46" s="241">
        <v>2.09E-15</v>
      </c>
      <c r="AG46" s="241">
        <v>2.3099999999999999E-17</v>
      </c>
      <c r="AI46">
        <v>56.62</v>
      </c>
      <c r="AJ46">
        <v>3.04</v>
      </c>
      <c r="AK46">
        <v>18.34</v>
      </c>
      <c r="AL46">
        <v>1.96</v>
      </c>
      <c r="AM46">
        <v>2.67</v>
      </c>
      <c r="AN46">
        <v>1.3</v>
      </c>
      <c r="AO46">
        <v>212.12</v>
      </c>
      <c r="AP46">
        <v>9.73</v>
      </c>
      <c r="AQ46">
        <v>125.76</v>
      </c>
      <c r="AR46">
        <v>1.4</v>
      </c>
      <c r="AS46">
        <v>127.42</v>
      </c>
      <c r="AT46">
        <v>3.5</v>
      </c>
      <c r="AU46">
        <v>159.54</v>
      </c>
      <c r="AV46">
        <v>7.85</v>
      </c>
      <c r="AX46" s="241">
        <v>1.9700000000000001E-15</v>
      </c>
      <c r="AY46" s="241">
        <v>3.2900000000000002E-17</v>
      </c>
    </row>
    <row r="47" spans="1:51">
      <c r="B47">
        <v>19</v>
      </c>
      <c r="C47">
        <v>2E-3</v>
      </c>
      <c r="D47">
        <v>2422</v>
      </c>
      <c r="E47" s="240">
        <v>41114</v>
      </c>
      <c r="F47" s="240">
        <v>41318</v>
      </c>
      <c r="G47">
        <v>2986.32</v>
      </c>
      <c r="H47">
        <v>11.8</v>
      </c>
      <c r="I47">
        <v>4.4800000000000004</v>
      </c>
      <c r="J47">
        <v>0.28999999999999998</v>
      </c>
      <c r="K47">
        <v>3.91</v>
      </c>
      <c r="L47">
        <v>0.25</v>
      </c>
      <c r="M47">
        <v>0.99</v>
      </c>
      <c r="N47">
        <v>0.13</v>
      </c>
      <c r="O47">
        <v>7.28</v>
      </c>
      <c r="P47">
        <v>0.57999999999999996</v>
      </c>
      <c r="R47">
        <v>293.57</v>
      </c>
      <c r="T47" s="241">
        <v>2.41E-12</v>
      </c>
      <c r="U47" s="241">
        <v>3.1300000000000003E-14</v>
      </c>
      <c r="W47">
        <v>63.19</v>
      </c>
      <c r="X47">
        <v>2.6</v>
      </c>
      <c r="Y47">
        <v>30.02</v>
      </c>
      <c r="Z47">
        <v>2.06</v>
      </c>
      <c r="AA47">
        <v>32.659999999999997</v>
      </c>
      <c r="AB47">
        <v>2.11</v>
      </c>
      <c r="AC47">
        <v>12.98</v>
      </c>
      <c r="AD47">
        <v>0.57999999999999996</v>
      </c>
      <c r="AF47" s="241">
        <v>2.09E-15</v>
      </c>
      <c r="AG47" s="241">
        <v>2.3099999999999999E-17</v>
      </c>
      <c r="AI47">
        <v>8.56</v>
      </c>
      <c r="AJ47">
        <v>0.94</v>
      </c>
      <c r="AK47">
        <v>20.8</v>
      </c>
      <c r="AL47">
        <v>1.3</v>
      </c>
      <c r="AM47">
        <v>1.41</v>
      </c>
      <c r="AN47">
        <v>0.7</v>
      </c>
      <c r="AO47">
        <v>39.200000000000003</v>
      </c>
      <c r="AP47">
        <v>1.92</v>
      </c>
      <c r="AQ47">
        <v>21.05</v>
      </c>
      <c r="AR47">
        <v>0.59</v>
      </c>
      <c r="AS47">
        <v>22.03</v>
      </c>
      <c r="AT47">
        <v>0.83</v>
      </c>
      <c r="AU47">
        <v>25.01</v>
      </c>
      <c r="AV47">
        <v>1.1100000000000001</v>
      </c>
      <c r="AX47" s="241">
        <v>1.9700000000000001E-15</v>
      </c>
      <c r="AY47" s="241">
        <v>3.2900000000000002E-17</v>
      </c>
    </row>
    <row r="48" spans="1:51">
      <c r="A48" t="s">
        <v>719</v>
      </c>
      <c r="C48">
        <v>2E-3</v>
      </c>
      <c r="E48" s="240">
        <v>41114</v>
      </c>
      <c r="F48" s="240">
        <v>41318</v>
      </c>
      <c r="G48">
        <v>12716.56</v>
      </c>
      <c r="H48">
        <v>13.22</v>
      </c>
      <c r="I48">
        <v>17.489999999999998</v>
      </c>
      <c r="J48">
        <v>2.09</v>
      </c>
      <c r="K48">
        <v>11.96</v>
      </c>
      <c r="L48">
        <v>0.88</v>
      </c>
      <c r="M48">
        <v>1.9</v>
      </c>
      <c r="N48">
        <v>0.22</v>
      </c>
      <c r="O48">
        <v>13.58</v>
      </c>
      <c r="P48">
        <v>0.57999999999999996</v>
      </c>
      <c r="R48">
        <v>293.57</v>
      </c>
      <c r="T48" s="241">
        <v>2.41E-12</v>
      </c>
      <c r="U48" s="241">
        <v>3.1300000000000003E-14</v>
      </c>
      <c r="W48">
        <v>381.85</v>
      </c>
      <c r="X48">
        <v>20.58</v>
      </c>
      <c r="Y48">
        <v>138.81</v>
      </c>
      <c r="Z48">
        <v>3.31</v>
      </c>
      <c r="AA48">
        <v>110.01</v>
      </c>
      <c r="AB48">
        <v>4.13</v>
      </c>
      <c r="AC48">
        <v>56.67</v>
      </c>
      <c r="AD48">
        <v>1.91</v>
      </c>
      <c r="AF48" s="241">
        <v>2.09E-15</v>
      </c>
      <c r="AG48" s="241">
        <v>2.3099999999999999E-17</v>
      </c>
      <c r="AI48">
        <v>65.180000000000007</v>
      </c>
      <c r="AJ48">
        <v>3.18</v>
      </c>
      <c r="AK48">
        <v>39.14</v>
      </c>
      <c r="AL48">
        <v>2.35</v>
      </c>
      <c r="AM48">
        <v>4.08</v>
      </c>
      <c r="AN48">
        <v>1.47</v>
      </c>
      <c r="AO48">
        <v>251.31</v>
      </c>
      <c r="AP48">
        <v>9.92</v>
      </c>
      <c r="AQ48">
        <v>146.81</v>
      </c>
      <c r="AR48">
        <v>1.52</v>
      </c>
      <c r="AS48">
        <v>149.44</v>
      </c>
      <c r="AT48">
        <v>3.6</v>
      </c>
      <c r="AU48">
        <v>184.55</v>
      </c>
      <c r="AV48">
        <v>7.93</v>
      </c>
      <c r="AX48" s="241">
        <v>1.9700000000000001E-15</v>
      </c>
      <c r="AY48" s="241">
        <v>3.2900000000000002E-17</v>
      </c>
    </row>
    <row r="50" spans="1:51">
      <c r="B50">
        <v>13.5</v>
      </c>
      <c r="C50">
        <v>1.1000000000000001E-3</v>
      </c>
      <c r="D50">
        <v>2423</v>
      </c>
      <c r="E50" s="240">
        <v>41114</v>
      </c>
      <c r="F50" s="240">
        <v>41318</v>
      </c>
      <c r="G50">
        <v>10922.99</v>
      </c>
      <c r="H50">
        <v>16.170000000000002</v>
      </c>
      <c r="I50">
        <v>10.94</v>
      </c>
      <c r="J50">
        <v>0.69</v>
      </c>
      <c r="K50">
        <v>23.54</v>
      </c>
      <c r="L50">
        <v>0.43</v>
      </c>
      <c r="M50">
        <v>0.49</v>
      </c>
      <c r="N50">
        <v>0.21</v>
      </c>
      <c r="O50">
        <v>72.78</v>
      </c>
      <c r="P50">
        <v>0.15</v>
      </c>
      <c r="R50">
        <v>293.57</v>
      </c>
      <c r="T50" s="241">
        <v>2.41E-12</v>
      </c>
      <c r="U50" s="241">
        <v>3.1300000000000003E-14</v>
      </c>
      <c r="W50">
        <v>1122.07</v>
      </c>
      <c r="X50">
        <v>14.61</v>
      </c>
      <c r="Y50">
        <v>658.27</v>
      </c>
      <c r="Z50">
        <v>2.23</v>
      </c>
      <c r="AA50">
        <v>1670.17</v>
      </c>
      <c r="AB50">
        <v>14.34</v>
      </c>
      <c r="AC50">
        <v>505.79</v>
      </c>
      <c r="AD50">
        <v>3.14</v>
      </c>
      <c r="AF50" s="241">
        <v>2.09E-15</v>
      </c>
      <c r="AG50" s="241">
        <v>2.3099999999999999E-17</v>
      </c>
      <c r="AI50">
        <v>115.3</v>
      </c>
      <c r="AJ50">
        <v>0.99</v>
      </c>
      <c r="AK50">
        <v>183.01</v>
      </c>
      <c r="AL50">
        <v>2.6</v>
      </c>
      <c r="AM50">
        <v>22.89</v>
      </c>
      <c r="AN50">
        <v>0.94</v>
      </c>
      <c r="AO50">
        <v>179.51</v>
      </c>
      <c r="AP50">
        <v>31.72</v>
      </c>
      <c r="AQ50">
        <v>181.06</v>
      </c>
      <c r="AR50">
        <v>5.36</v>
      </c>
      <c r="AS50">
        <v>92.41</v>
      </c>
      <c r="AT50">
        <v>11.57</v>
      </c>
      <c r="AU50">
        <v>70.010000000000005</v>
      </c>
      <c r="AV50">
        <v>9.43</v>
      </c>
      <c r="AX50" s="241">
        <v>1.9700000000000001E-15</v>
      </c>
      <c r="AY50" s="241">
        <v>3.2900000000000002E-17</v>
      </c>
    </row>
    <row r="51" spans="1:51">
      <c r="B51">
        <v>19</v>
      </c>
      <c r="C51">
        <v>1.1000000000000001E-3</v>
      </c>
      <c r="D51">
        <v>2424</v>
      </c>
      <c r="E51" s="240">
        <v>41114</v>
      </c>
      <c r="F51" s="240">
        <v>41318</v>
      </c>
      <c r="G51">
        <v>1146.07</v>
      </c>
      <c r="H51">
        <v>1.6</v>
      </c>
      <c r="I51">
        <v>2.97</v>
      </c>
      <c r="J51">
        <v>0.3</v>
      </c>
      <c r="K51">
        <v>28.05</v>
      </c>
      <c r="L51">
        <v>0.31</v>
      </c>
      <c r="M51">
        <v>1.1100000000000001</v>
      </c>
      <c r="N51">
        <v>0.06</v>
      </c>
      <c r="O51">
        <v>138.26</v>
      </c>
      <c r="P51">
        <v>0.54</v>
      </c>
      <c r="R51">
        <v>293.57</v>
      </c>
      <c r="T51" s="241">
        <v>2.41E-12</v>
      </c>
      <c r="U51" s="241">
        <v>3.1300000000000003E-14</v>
      </c>
      <c r="W51">
        <v>344.09</v>
      </c>
      <c r="X51">
        <v>2.02</v>
      </c>
      <c r="Y51">
        <v>222.8</v>
      </c>
      <c r="Z51">
        <v>1.75</v>
      </c>
      <c r="AA51">
        <v>616.22</v>
      </c>
      <c r="AB51">
        <v>5.35</v>
      </c>
      <c r="AC51">
        <v>188.13</v>
      </c>
      <c r="AD51">
        <v>1.7</v>
      </c>
      <c r="AF51" s="241">
        <v>2.09E-15</v>
      </c>
      <c r="AG51" s="241">
        <v>2.3099999999999999E-17</v>
      </c>
      <c r="AI51">
        <v>104.81</v>
      </c>
      <c r="AJ51">
        <v>6.43</v>
      </c>
      <c r="AK51">
        <v>621.44000000000005</v>
      </c>
      <c r="AL51">
        <v>8.27</v>
      </c>
      <c r="AM51">
        <v>84.64</v>
      </c>
      <c r="AN51">
        <v>2.36</v>
      </c>
      <c r="AO51">
        <v>500.51</v>
      </c>
      <c r="AP51">
        <v>6.08</v>
      </c>
      <c r="AQ51">
        <v>574.34</v>
      </c>
      <c r="AR51">
        <v>7.07</v>
      </c>
      <c r="AS51">
        <v>235.07</v>
      </c>
      <c r="AT51">
        <v>7.23</v>
      </c>
      <c r="AU51">
        <v>180.99</v>
      </c>
      <c r="AV51">
        <v>3.42</v>
      </c>
      <c r="AX51" s="241">
        <v>1.9700000000000001E-15</v>
      </c>
      <c r="AY51" s="241">
        <v>3.2900000000000002E-17</v>
      </c>
    </row>
    <row r="52" spans="1:51">
      <c r="A52" t="s">
        <v>720</v>
      </c>
      <c r="C52">
        <v>1.1000000000000001E-3</v>
      </c>
      <c r="E52" s="240">
        <v>41114</v>
      </c>
      <c r="F52" s="240">
        <v>41318</v>
      </c>
      <c r="G52">
        <v>12069.06</v>
      </c>
      <c r="H52">
        <v>16.25</v>
      </c>
      <c r="I52">
        <v>13.92</v>
      </c>
      <c r="J52">
        <v>0.76</v>
      </c>
      <c r="K52">
        <v>51.59</v>
      </c>
      <c r="L52">
        <v>0.53</v>
      </c>
      <c r="M52">
        <v>1.6</v>
      </c>
      <c r="N52">
        <v>0.22</v>
      </c>
      <c r="O52">
        <v>211.03</v>
      </c>
      <c r="P52">
        <v>0.56000000000000005</v>
      </c>
      <c r="R52">
        <v>293.57</v>
      </c>
      <c r="T52" s="241">
        <v>2.41E-12</v>
      </c>
      <c r="U52" s="241">
        <v>3.1300000000000003E-14</v>
      </c>
      <c r="W52">
        <v>1466.17</v>
      </c>
      <c r="X52">
        <v>14.75</v>
      </c>
      <c r="Y52">
        <v>881.07</v>
      </c>
      <c r="Z52">
        <v>2.83</v>
      </c>
      <c r="AA52">
        <v>2286.38</v>
      </c>
      <c r="AB52">
        <v>15.3</v>
      </c>
      <c r="AC52">
        <v>693.91</v>
      </c>
      <c r="AD52">
        <v>3.58</v>
      </c>
      <c r="AF52" s="241">
        <v>2.09E-15</v>
      </c>
      <c r="AG52" s="241">
        <v>2.3099999999999999E-17</v>
      </c>
      <c r="AI52">
        <v>220.11</v>
      </c>
      <c r="AJ52">
        <v>6.5</v>
      </c>
      <c r="AK52">
        <v>804.45</v>
      </c>
      <c r="AL52">
        <v>8.67</v>
      </c>
      <c r="AM52">
        <v>107.53</v>
      </c>
      <c r="AN52">
        <v>2.54</v>
      </c>
      <c r="AO52">
        <v>680.03</v>
      </c>
      <c r="AP52">
        <v>32.299999999999997</v>
      </c>
      <c r="AQ52">
        <v>755.4</v>
      </c>
      <c r="AR52">
        <v>8.8699999999999992</v>
      </c>
      <c r="AS52">
        <v>327.48</v>
      </c>
      <c r="AT52">
        <v>13.64</v>
      </c>
      <c r="AU52">
        <v>251</v>
      </c>
      <c r="AV52">
        <v>10.029999999999999</v>
      </c>
      <c r="AX52" s="241">
        <v>1.9700000000000001E-15</v>
      </c>
      <c r="AY52" s="241">
        <v>3.2900000000000002E-17</v>
      </c>
    </row>
    <row r="54" spans="1:51">
      <c r="B54">
        <v>13.5</v>
      </c>
      <c r="C54">
        <v>4.0000000000000002E-4</v>
      </c>
      <c r="D54">
        <v>2426</v>
      </c>
      <c r="E54" s="240">
        <v>41114</v>
      </c>
      <c r="F54" s="240">
        <v>41319</v>
      </c>
      <c r="G54">
        <v>13238.67</v>
      </c>
      <c r="H54">
        <v>42.18</v>
      </c>
      <c r="I54">
        <v>7.05</v>
      </c>
      <c r="J54">
        <v>0.17</v>
      </c>
      <c r="K54">
        <v>32.86</v>
      </c>
      <c r="L54">
        <v>0.1</v>
      </c>
      <c r="M54">
        <v>0.69</v>
      </c>
      <c r="N54">
        <v>0.15</v>
      </c>
      <c r="O54">
        <v>64.89</v>
      </c>
      <c r="P54">
        <v>0.19</v>
      </c>
      <c r="R54">
        <v>293.57</v>
      </c>
      <c r="T54" s="241">
        <v>2.41E-12</v>
      </c>
      <c r="U54" s="241">
        <v>3.1300000000000003E-14</v>
      </c>
      <c r="W54">
        <v>166.78</v>
      </c>
      <c r="X54">
        <v>5.54</v>
      </c>
      <c r="Y54">
        <v>155.19999999999999</v>
      </c>
      <c r="Z54">
        <v>3.06</v>
      </c>
      <c r="AA54">
        <v>543.24</v>
      </c>
      <c r="AB54">
        <v>5.13</v>
      </c>
      <c r="AC54">
        <v>173.59</v>
      </c>
      <c r="AD54">
        <v>2.09</v>
      </c>
      <c r="AF54" s="241">
        <v>2.09E-15</v>
      </c>
      <c r="AG54" s="241">
        <v>2.3099999999999999E-17</v>
      </c>
      <c r="AI54">
        <v>86.89</v>
      </c>
      <c r="AJ54">
        <v>3.22</v>
      </c>
      <c r="AK54">
        <v>191.82</v>
      </c>
      <c r="AL54">
        <v>3.94</v>
      </c>
      <c r="AM54">
        <v>7.1</v>
      </c>
      <c r="AN54">
        <v>3.73</v>
      </c>
      <c r="AO54">
        <v>180.35</v>
      </c>
      <c r="AP54">
        <v>3.42</v>
      </c>
      <c r="AQ54">
        <v>206.57</v>
      </c>
      <c r="AR54">
        <v>3.52</v>
      </c>
      <c r="AS54">
        <v>101.96</v>
      </c>
      <c r="AT54">
        <v>3</v>
      </c>
      <c r="AU54">
        <v>116.84</v>
      </c>
      <c r="AV54">
        <v>4.9400000000000004</v>
      </c>
      <c r="AX54" s="241">
        <v>1.9700000000000001E-15</v>
      </c>
      <c r="AY54" s="241">
        <v>3.2900000000000002E-17</v>
      </c>
    </row>
    <row r="55" spans="1:51">
      <c r="B55">
        <v>19</v>
      </c>
      <c r="C55">
        <v>4.0000000000000002E-4</v>
      </c>
      <c r="D55">
        <v>2427</v>
      </c>
      <c r="E55" s="240">
        <v>41114</v>
      </c>
      <c r="F55" s="240">
        <v>41319</v>
      </c>
      <c r="G55">
        <v>6951.74</v>
      </c>
      <c r="H55">
        <v>11.32</v>
      </c>
      <c r="I55">
        <v>6.16</v>
      </c>
      <c r="J55">
        <v>0.28999999999999998</v>
      </c>
      <c r="K55">
        <v>38.96</v>
      </c>
      <c r="L55">
        <v>0.17</v>
      </c>
      <c r="M55">
        <v>0.9</v>
      </c>
      <c r="N55">
        <v>0.11</v>
      </c>
      <c r="O55">
        <v>88.42</v>
      </c>
      <c r="P55">
        <v>0.2</v>
      </c>
      <c r="R55">
        <v>293.57</v>
      </c>
      <c r="T55" s="241">
        <v>2.41E-12</v>
      </c>
      <c r="U55" s="241">
        <v>3.1300000000000003E-14</v>
      </c>
      <c r="W55">
        <v>185.54</v>
      </c>
      <c r="X55">
        <v>7.6</v>
      </c>
      <c r="Y55">
        <v>142.65</v>
      </c>
      <c r="Z55">
        <v>2.0099999999999998</v>
      </c>
      <c r="AA55">
        <v>412.04</v>
      </c>
      <c r="AB55">
        <v>3.71</v>
      </c>
      <c r="AC55">
        <v>137.08000000000001</v>
      </c>
      <c r="AD55">
        <v>1.98</v>
      </c>
      <c r="AF55" s="241">
        <v>2.09E-15</v>
      </c>
      <c r="AG55" s="241">
        <v>2.3099999999999999E-17</v>
      </c>
      <c r="AI55">
        <v>52.12</v>
      </c>
      <c r="AJ55">
        <v>1.1100000000000001</v>
      </c>
      <c r="AK55">
        <v>409.72</v>
      </c>
      <c r="AL55">
        <v>8.7899999999999991</v>
      </c>
      <c r="AM55">
        <v>61.97</v>
      </c>
      <c r="AN55">
        <v>2.65</v>
      </c>
      <c r="AO55">
        <v>355.24</v>
      </c>
      <c r="AP55">
        <v>3.17</v>
      </c>
      <c r="AQ55">
        <v>368.58</v>
      </c>
      <c r="AR55">
        <v>5.68</v>
      </c>
      <c r="AS55">
        <v>180</v>
      </c>
      <c r="AT55">
        <v>4.67</v>
      </c>
      <c r="AU55">
        <v>157.85</v>
      </c>
      <c r="AV55">
        <v>3.59</v>
      </c>
      <c r="AX55" s="241">
        <v>1.9700000000000001E-15</v>
      </c>
      <c r="AY55" s="241">
        <v>3.2900000000000002E-17</v>
      </c>
    </row>
    <row r="56" spans="1:51">
      <c r="A56" t="s">
        <v>721</v>
      </c>
      <c r="C56">
        <v>4.0000000000000002E-4</v>
      </c>
      <c r="E56" s="240">
        <v>41114</v>
      </c>
      <c r="F56" s="240">
        <v>41319</v>
      </c>
      <c r="G56">
        <v>20190.41</v>
      </c>
      <c r="H56">
        <v>43.67</v>
      </c>
      <c r="I56">
        <v>13.21</v>
      </c>
      <c r="J56">
        <v>0.34</v>
      </c>
      <c r="K56">
        <v>71.819999999999993</v>
      </c>
      <c r="L56">
        <v>0.2</v>
      </c>
      <c r="M56">
        <v>1.59</v>
      </c>
      <c r="N56">
        <v>0.19</v>
      </c>
      <c r="O56">
        <v>153.30000000000001</v>
      </c>
      <c r="P56">
        <v>0.27</v>
      </c>
      <c r="R56">
        <v>293.57</v>
      </c>
      <c r="T56" s="241">
        <v>2.41E-12</v>
      </c>
      <c r="U56" s="241">
        <v>3.1300000000000003E-14</v>
      </c>
      <c r="W56">
        <v>352.31</v>
      </c>
      <c r="X56">
        <v>9.41</v>
      </c>
      <c r="Y56">
        <v>297.85000000000002</v>
      </c>
      <c r="Z56">
        <v>3.66</v>
      </c>
      <c r="AA56">
        <v>955.28</v>
      </c>
      <c r="AB56">
        <v>6.33</v>
      </c>
      <c r="AC56">
        <v>310.67</v>
      </c>
      <c r="AD56">
        <v>2.87</v>
      </c>
      <c r="AF56" s="241">
        <v>2.09E-15</v>
      </c>
      <c r="AG56" s="241">
        <v>2.3099999999999999E-17</v>
      </c>
      <c r="AI56">
        <v>139.01</v>
      </c>
      <c r="AJ56">
        <v>3.4</v>
      </c>
      <c r="AK56">
        <v>601.53</v>
      </c>
      <c r="AL56">
        <v>9.6300000000000008</v>
      </c>
      <c r="AM56">
        <v>69.069999999999993</v>
      </c>
      <c r="AN56">
        <v>4.57</v>
      </c>
      <c r="AO56">
        <v>535.59</v>
      </c>
      <c r="AP56">
        <v>4.66</v>
      </c>
      <c r="AQ56">
        <v>575.15</v>
      </c>
      <c r="AR56">
        <v>6.69</v>
      </c>
      <c r="AS56">
        <v>281.95999999999998</v>
      </c>
      <c r="AT56">
        <v>5.55</v>
      </c>
      <c r="AU56">
        <v>274.69</v>
      </c>
      <c r="AV56">
        <v>6.11</v>
      </c>
      <c r="AX56" s="241">
        <v>1.9700000000000001E-15</v>
      </c>
      <c r="AY56" s="241">
        <v>3.2900000000000002E-17</v>
      </c>
    </row>
    <row r="58" spans="1:51">
      <c r="B58">
        <v>13.5</v>
      </c>
      <c r="C58">
        <v>5.0000000000000001E-4</v>
      </c>
      <c r="D58">
        <v>2428</v>
      </c>
      <c r="E58" s="240">
        <v>41114</v>
      </c>
      <c r="F58" s="240">
        <v>41319</v>
      </c>
      <c r="G58">
        <v>1388.07</v>
      </c>
      <c r="H58">
        <v>13.12</v>
      </c>
      <c r="I58">
        <v>8.0299999999999994</v>
      </c>
      <c r="J58">
        <v>0.19</v>
      </c>
      <c r="K58">
        <v>18.62</v>
      </c>
      <c r="L58">
        <v>0.2</v>
      </c>
      <c r="M58">
        <v>0.67</v>
      </c>
      <c r="N58">
        <v>0.1</v>
      </c>
      <c r="O58">
        <v>14.83</v>
      </c>
      <c r="P58">
        <v>0.18</v>
      </c>
      <c r="R58">
        <v>293.57</v>
      </c>
      <c r="T58" s="241">
        <v>2.41E-12</v>
      </c>
      <c r="U58" s="241">
        <v>3.1300000000000003E-14</v>
      </c>
      <c r="W58">
        <v>990.71</v>
      </c>
      <c r="X58">
        <v>5.12</v>
      </c>
      <c r="Y58">
        <v>329.49</v>
      </c>
      <c r="Z58">
        <v>4.33</v>
      </c>
      <c r="AA58">
        <v>117.82</v>
      </c>
      <c r="AB58">
        <v>0.49</v>
      </c>
      <c r="AC58">
        <v>41.61</v>
      </c>
      <c r="AD58">
        <v>2.69</v>
      </c>
      <c r="AF58" s="241">
        <v>2.09E-15</v>
      </c>
      <c r="AG58" s="241">
        <v>2.3099999999999999E-17</v>
      </c>
      <c r="AI58">
        <v>460.39</v>
      </c>
      <c r="AJ58">
        <v>3.27</v>
      </c>
      <c r="AK58">
        <v>163.80000000000001</v>
      </c>
      <c r="AL58">
        <v>17.170000000000002</v>
      </c>
      <c r="AM58">
        <v>18.46</v>
      </c>
      <c r="AN58">
        <v>3.82</v>
      </c>
      <c r="AO58">
        <v>170.85</v>
      </c>
      <c r="AP58">
        <v>4.32</v>
      </c>
      <c r="AQ58">
        <v>138.80000000000001</v>
      </c>
      <c r="AR58">
        <v>2.37</v>
      </c>
      <c r="AS58">
        <v>70.459999999999994</v>
      </c>
      <c r="AT58">
        <v>6.12</v>
      </c>
      <c r="AU58">
        <v>76.69</v>
      </c>
      <c r="AV58">
        <v>3.96</v>
      </c>
      <c r="AX58" s="241">
        <v>1.9700000000000001E-15</v>
      </c>
      <c r="AY58" s="241">
        <v>3.2900000000000002E-17</v>
      </c>
    </row>
    <row r="59" spans="1:51">
      <c r="B59">
        <v>19</v>
      </c>
      <c r="C59">
        <v>5.0000000000000001E-4</v>
      </c>
      <c r="D59">
        <v>2429</v>
      </c>
      <c r="E59" s="240">
        <v>41114</v>
      </c>
      <c r="F59" s="240">
        <v>41319</v>
      </c>
      <c r="G59">
        <v>641.04999999999995</v>
      </c>
      <c r="H59">
        <v>0.73</v>
      </c>
      <c r="I59">
        <v>4.3899999999999997</v>
      </c>
      <c r="J59">
        <v>0.12</v>
      </c>
      <c r="K59">
        <v>19.22</v>
      </c>
      <c r="L59">
        <v>0.31</v>
      </c>
      <c r="M59">
        <v>1.01</v>
      </c>
      <c r="N59">
        <v>0.13</v>
      </c>
      <c r="O59">
        <v>19.43</v>
      </c>
      <c r="P59">
        <v>0.47</v>
      </c>
      <c r="R59">
        <v>293.57</v>
      </c>
      <c r="T59" s="241">
        <v>2.41E-12</v>
      </c>
      <c r="U59" s="241">
        <v>3.1300000000000003E-14</v>
      </c>
      <c r="W59">
        <v>1545.19</v>
      </c>
      <c r="X59">
        <v>11.54</v>
      </c>
      <c r="Y59">
        <v>500.55</v>
      </c>
      <c r="Z59">
        <v>5.01</v>
      </c>
      <c r="AA59">
        <v>135.36000000000001</v>
      </c>
      <c r="AB59">
        <v>1.36</v>
      </c>
      <c r="AC59">
        <v>40.44</v>
      </c>
      <c r="AD59">
        <v>0.7</v>
      </c>
      <c r="AF59" s="241">
        <v>2.09E-15</v>
      </c>
      <c r="AG59" s="241">
        <v>2.3099999999999999E-17</v>
      </c>
      <c r="AI59">
        <v>117.4</v>
      </c>
      <c r="AJ59">
        <v>3.27</v>
      </c>
      <c r="AK59">
        <v>305.41000000000003</v>
      </c>
      <c r="AL59">
        <v>3.53</v>
      </c>
      <c r="AM59">
        <v>33.29</v>
      </c>
      <c r="AN59">
        <v>0.72</v>
      </c>
      <c r="AO59">
        <v>171.98</v>
      </c>
      <c r="AP59">
        <v>2.36</v>
      </c>
      <c r="AQ59">
        <v>207.57</v>
      </c>
      <c r="AR59">
        <v>1.32</v>
      </c>
      <c r="AS59">
        <v>77.39</v>
      </c>
      <c r="AT59">
        <v>3.16</v>
      </c>
      <c r="AU59">
        <v>66.989999999999995</v>
      </c>
      <c r="AV59">
        <v>2.23</v>
      </c>
      <c r="AX59" s="241">
        <v>1.9700000000000001E-15</v>
      </c>
      <c r="AY59" s="241">
        <v>3.2900000000000002E-17</v>
      </c>
    </row>
    <row r="60" spans="1:51">
      <c r="A60" t="s">
        <v>722</v>
      </c>
      <c r="C60">
        <v>5.0000000000000001E-4</v>
      </c>
      <c r="E60" s="240">
        <v>41114</v>
      </c>
      <c r="F60" s="240">
        <v>41319</v>
      </c>
      <c r="G60">
        <v>2029.11</v>
      </c>
      <c r="H60">
        <v>13.14</v>
      </c>
      <c r="I60">
        <v>12.41</v>
      </c>
      <c r="J60">
        <v>0.23</v>
      </c>
      <c r="K60">
        <v>37.83</v>
      </c>
      <c r="L60">
        <v>0.37</v>
      </c>
      <c r="M60">
        <v>1.69</v>
      </c>
      <c r="N60">
        <v>0.16</v>
      </c>
      <c r="O60">
        <v>34.26</v>
      </c>
      <c r="P60">
        <v>0.51</v>
      </c>
      <c r="R60">
        <v>293.57</v>
      </c>
      <c r="T60" s="241">
        <v>2.41E-12</v>
      </c>
      <c r="U60" s="241">
        <v>3.1300000000000003E-14</v>
      </c>
      <c r="W60">
        <v>2535.9</v>
      </c>
      <c r="X60">
        <v>12.62</v>
      </c>
      <c r="Y60">
        <v>830.04</v>
      </c>
      <c r="Z60">
        <v>6.62</v>
      </c>
      <c r="AA60">
        <v>253.18</v>
      </c>
      <c r="AB60">
        <v>1.45</v>
      </c>
      <c r="AC60">
        <v>82.05</v>
      </c>
      <c r="AD60">
        <v>2.78</v>
      </c>
      <c r="AF60" s="241">
        <v>2.09E-15</v>
      </c>
      <c r="AG60" s="241">
        <v>2.3099999999999999E-17</v>
      </c>
      <c r="AI60">
        <v>577.79</v>
      </c>
      <c r="AJ60">
        <v>4.62</v>
      </c>
      <c r="AK60">
        <v>469.21</v>
      </c>
      <c r="AL60">
        <v>17.53</v>
      </c>
      <c r="AM60">
        <v>51.75</v>
      </c>
      <c r="AN60">
        <v>3.89</v>
      </c>
      <c r="AO60">
        <v>342.83</v>
      </c>
      <c r="AP60">
        <v>4.92</v>
      </c>
      <c r="AQ60">
        <v>346.37</v>
      </c>
      <c r="AR60">
        <v>2.72</v>
      </c>
      <c r="AS60">
        <v>147.85</v>
      </c>
      <c r="AT60">
        <v>6.88</v>
      </c>
      <c r="AU60">
        <v>143.68</v>
      </c>
      <c r="AV60">
        <v>4.55</v>
      </c>
      <c r="AX60" s="241">
        <v>1.9700000000000001E-15</v>
      </c>
      <c r="AY60" s="241">
        <v>3.2900000000000002E-17</v>
      </c>
    </row>
    <row r="62" spans="1:51">
      <c r="B62">
        <v>13.5</v>
      </c>
      <c r="C62">
        <v>1.9E-3</v>
      </c>
      <c r="D62">
        <v>2431</v>
      </c>
      <c r="E62" s="240">
        <v>41114</v>
      </c>
      <c r="F62" s="240">
        <v>41319</v>
      </c>
      <c r="G62">
        <v>781.53</v>
      </c>
      <c r="H62">
        <v>61.28</v>
      </c>
      <c r="I62">
        <v>6.81</v>
      </c>
      <c r="J62">
        <v>0.11</v>
      </c>
      <c r="K62">
        <v>17.149999999999999</v>
      </c>
      <c r="L62">
        <v>0.33</v>
      </c>
      <c r="M62">
        <v>0.38</v>
      </c>
      <c r="N62">
        <v>0.06</v>
      </c>
      <c r="O62">
        <v>5.82</v>
      </c>
      <c r="P62">
        <v>0.19</v>
      </c>
      <c r="R62">
        <v>293.57</v>
      </c>
      <c r="T62" s="241">
        <v>2.41E-12</v>
      </c>
      <c r="U62" s="241">
        <v>3.1300000000000003E-14</v>
      </c>
      <c r="W62">
        <v>1434.76</v>
      </c>
      <c r="X62">
        <v>6.87</v>
      </c>
      <c r="Y62">
        <v>440.23</v>
      </c>
      <c r="Z62">
        <v>0.88</v>
      </c>
      <c r="AA62">
        <v>70.33</v>
      </c>
      <c r="AB62">
        <v>1.3</v>
      </c>
      <c r="AC62">
        <v>23.94</v>
      </c>
      <c r="AD62">
        <v>1.7</v>
      </c>
      <c r="AF62" s="241">
        <v>2.09E-15</v>
      </c>
      <c r="AG62" s="241">
        <v>2.3099999999999999E-17</v>
      </c>
      <c r="AI62">
        <v>163.61000000000001</v>
      </c>
      <c r="AJ62">
        <v>2.52</v>
      </c>
      <c r="AK62">
        <v>141.83000000000001</v>
      </c>
      <c r="AL62">
        <v>2.21</v>
      </c>
      <c r="AM62">
        <v>18.88</v>
      </c>
      <c r="AN62">
        <v>3.02</v>
      </c>
      <c r="AO62">
        <v>111.69</v>
      </c>
      <c r="AP62">
        <v>3.69</v>
      </c>
      <c r="AQ62">
        <v>95.22</v>
      </c>
      <c r="AR62">
        <v>1.84</v>
      </c>
      <c r="AS62">
        <v>44.25</v>
      </c>
      <c r="AT62">
        <v>2.9</v>
      </c>
      <c r="AU62">
        <v>46.47</v>
      </c>
      <c r="AV62">
        <v>1.52</v>
      </c>
      <c r="AX62" s="241">
        <v>1.9700000000000001E-15</v>
      </c>
      <c r="AY62" s="241">
        <v>3.2900000000000002E-17</v>
      </c>
    </row>
    <row r="63" spans="1:51">
      <c r="B63">
        <v>19</v>
      </c>
      <c r="C63">
        <v>1.9E-3</v>
      </c>
      <c r="D63">
        <v>2432</v>
      </c>
      <c r="E63" s="240">
        <v>41114</v>
      </c>
      <c r="F63" s="240">
        <v>41319</v>
      </c>
      <c r="G63">
        <v>899.56</v>
      </c>
      <c r="H63">
        <v>0.76</v>
      </c>
      <c r="I63">
        <v>5.9</v>
      </c>
      <c r="J63">
        <v>0.04</v>
      </c>
      <c r="K63">
        <v>17.59</v>
      </c>
      <c r="L63">
        <v>0.38</v>
      </c>
      <c r="M63">
        <v>1.37</v>
      </c>
      <c r="N63">
        <v>0.08</v>
      </c>
      <c r="O63">
        <v>10.199999999999999</v>
      </c>
      <c r="P63">
        <v>0.13</v>
      </c>
      <c r="R63">
        <v>293.57</v>
      </c>
      <c r="T63" s="241">
        <v>2.41E-12</v>
      </c>
      <c r="U63" s="241">
        <v>3.1300000000000003E-14</v>
      </c>
      <c r="W63">
        <v>2589.39</v>
      </c>
      <c r="X63">
        <v>27.87</v>
      </c>
      <c r="Y63">
        <v>801.67</v>
      </c>
      <c r="Z63">
        <v>8.02</v>
      </c>
      <c r="AA63">
        <v>79.650000000000006</v>
      </c>
      <c r="AB63">
        <v>1.99</v>
      </c>
      <c r="AC63">
        <v>26.36</v>
      </c>
      <c r="AD63">
        <v>1.9</v>
      </c>
      <c r="AF63" s="241">
        <v>2.09E-15</v>
      </c>
      <c r="AG63" s="241">
        <v>2.3099999999999999E-17</v>
      </c>
      <c r="AI63">
        <v>170.84</v>
      </c>
      <c r="AJ63">
        <v>1.37</v>
      </c>
      <c r="AK63">
        <v>328.49</v>
      </c>
      <c r="AL63">
        <v>3.55</v>
      </c>
      <c r="AM63">
        <v>27.64</v>
      </c>
      <c r="AN63">
        <v>3.38</v>
      </c>
      <c r="AO63">
        <v>110.14</v>
      </c>
      <c r="AP63">
        <v>5.75</v>
      </c>
      <c r="AQ63">
        <v>119.92</v>
      </c>
      <c r="AR63">
        <v>2.77</v>
      </c>
      <c r="AS63">
        <v>48.01</v>
      </c>
      <c r="AT63">
        <v>1.01</v>
      </c>
      <c r="AU63">
        <v>48.01</v>
      </c>
      <c r="AV63">
        <v>2.69</v>
      </c>
      <c r="AX63" s="241">
        <v>1.9700000000000001E-15</v>
      </c>
      <c r="AY63" s="241">
        <v>3.2900000000000002E-17</v>
      </c>
    </row>
    <row r="64" spans="1:51">
      <c r="A64" t="s">
        <v>722</v>
      </c>
      <c r="C64">
        <v>1.9E-3</v>
      </c>
      <c r="E64" s="240">
        <v>41114</v>
      </c>
      <c r="F64" s="240">
        <v>41319</v>
      </c>
      <c r="G64">
        <v>1681.09</v>
      </c>
      <c r="H64">
        <v>61.29</v>
      </c>
      <c r="I64">
        <v>12.72</v>
      </c>
      <c r="J64">
        <v>0.11</v>
      </c>
      <c r="K64">
        <v>34.74</v>
      </c>
      <c r="L64">
        <v>0.5</v>
      </c>
      <c r="M64">
        <v>1.75</v>
      </c>
      <c r="N64">
        <v>0.1</v>
      </c>
      <c r="O64">
        <v>16.03</v>
      </c>
      <c r="P64">
        <v>0.23</v>
      </c>
      <c r="R64">
        <v>293.57</v>
      </c>
      <c r="T64" s="241">
        <v>2.41E-12</v>
      </c>
      <c r="U64" s="241">
        <v>3.1300000000000003E-14</v>
      </c>
      <c r="W64">
        <v>4024.15</v>
      </c>
      <c r="X64">
        <v>28.7</v>
      </c>
      <c r="Y64">
        <v>1241.9000000000001</v>
      </c>
      <c r="Z64">
        <v>8.06</v>
      </c>
      <c r="AA64">
        <v>149.97999999999999</v>
      </c>
      <c r="AB64">
        <v>2.38</v>
      </c>
      <c r="AC64">
        <v>50.31</v>
      </c>
      <c r="AD64">
        <v>2.5499999999999998</v>
      </c>
      <c r="AF64" s="241">
        <v>2.09E-15</v>
      </c>
      <c r="AG64" s="241">
        <v>2.3099999999999999E-17</v>
      </c>
      <c r="AI64">
        <v>334.45</v>
      </c>
      <c r="AJ64">
        <v>2.87</v>
      </c>
      <c r="AK64">
        <v>470.32</v>
      </c>
      <c r="AL64">
        <v>4.18</v>
      </c>
      <c r="AM64">
        <v>46.52</v>
      </c>
      <c r="AN64">
        <v>4.54</v>
      </c>
      <c r="AO64">
        <v>221.82</v>
      </c>
      <c r="AP64">
        <v>6.83</v>
      </c>
      <c r="AQ64">
        <v>215.15</v>
      </c>
      <c r="AR64">
        <v>3.33</v>
      </c>
      <c r="AS64">
        <v>92.27</v>
      </c>
      <c r="AT64">
        <v>3.06</v>
      </c>
      <c r="AU64">
        <v>94.48</v>
      </c>
      <c r="AV64">
        <v>3.08</v>
      </c>
      <c r="AX64" s="241">
        <v>1.9700000000000001E-15</v>
      </c>
      <c r="AY64" s="241">
        <v>3.2900000000000002E-17</v>
      </c>
    </row>
    <row r="66" spans="1:51">
      <c r="B66">
        <v>13.5</v>
      </c>
      <c r="C66">
        <v>5.5999999999999999E-3</v>
      </c>
      <c r="D66">
        <v>2434</v>
      </c>
      <c r="E66" s="240">
        <v>41114</v>
      </c>
      <c r="F66" s="240">
        <v>41320</v>
      </c>
      <c r="G66">
        <v>102349.3</v>
      </c>
      <c r="H66">
        <v>898.86</v>
      </c>
      <c r="I66">
        <v>508.32</v>
      </c>
      <c r="J66">
        <v>1.79</v>
      </c>
      <c r="K66">
        <v>307.86</v>
      </c>
      <c r="L66">
        <v>1.1100000000000001</v>
      </c>
      <c r="M66">
        <v>10.65</v>
      </c>
      <c r="N66">
        <v>0.25</v>
      </c>
      <c r="O66">
        <v>167.22</v>
      </c>
      <c r="P66">
        <v>0.59</v>
      </c>
      <c r="R66">
        <v>293.57</v>
      </c>
      <c r="T66" s="241">
        <v>2.41E-12</v>
      </c>
      <c r="U66" s="241">
        <v>3.1300000000000003E-14</v>
      </c>
      <c r="W66">
        <v>17050.12</v>
      </c>
      <c r="X66">
        <v>2849.91</v>
      </c>
      <c r="Y66">
        <v>3426.25</v>
      </c>
      <c r="Z66">
        <v>18.16</v>
      </c>
      <c r="AA66">
        <v>4600.8500000000004</v>
      </c>
      <c r="AB66">
        <v>27.33</v>
      </c>
      <c r="AC66">
        <v>2072.2600000000002</v>
      </c>
      <c r="AD66">
        <v>6.3</v>
      </c>
      <c r="AF66" s="241">
        <v>2.09E-15</v>
      </c>
      <c r="AG66" s="241">
        <v>2.3099999999999999E-17</v>
      </c>
      <c r="AI66">
        <v>2826.5</v>
      </c>
      <c r="AJ66">
        <v>40.19</v>
      </c>
      <c r="AK66">
        <v>532.34</v>
      </c>
      <c r="AL66">
        <v>6.22</v>
      </c>
      <c r="AM66">
        <v>70.650000000000006</v>
      </c>
      <c r="AN66">
        <v>1.79</v>
      </c>
      <c r="AO66">
        <v>8292.7000000000007</v>
      </c>
      <c r="AP66">
        <v>40.18</v>
      </c>
      <c r="AQ66">
        <v>3022.87</v>
      </c>
      <c r="AR66">
        <v>7.54</v>
      </c>
      <c r="AS66">
        <v>4738.8599999999997</v>
      </c>
      <c r="AT66">
        <v>17.84</v>
      </c>
      <c r="AU66">
        <v>5968.63</v>
      </c>
      <c r="AV66">
        <v>21.67</v>
      </c>
      <c r="AX66" s="241">
        <v>1.9700000000000001E-15</v>
      </c>
      <c r="AY66" s="241">
        <v>3.2900000000000002E-17</v>
      </c>
    </row>
    <row r="67" spans="1:51">
      <c r="B67">
        <v>15.5</v>
      </c>
      <c r="C67">
        <v>5.5999999999999999E-3</v>
      </c>
      <c r="D67">
        <v>2435</v>
      </c>
      <c r="E67" s="240">
        <v>41114</v>
      </c>
      <c r="F67" s="240">
        <v>41320</v>
      </c>
      <c r="G67">
        <v>5829.78</v>
      </c>
      <c r="H67">
        <v>26.9</v>
      </c>
      <c r="I67">
        <v>5.27</v>
      </c>
      <c r="J67">
        <v>0.22</v>
      </c>
      <c r="K67">
        <v>1.57</v>
      </c>
      <c r="L67">
        <v>0.08</v>
      </c>
      <c r="M67">
        <v>0.89</v>
      </c>
      <c r="N67">
        <v>0.16</v>
      </c>
      <c r="O67">
        <v>1.58</v>
      </c>
      <c r="P67">
        <v>0.42</v>
      </c>
      <c r="R67">
        <v>293.57</v>
      </c>
      <c r="T67" s="241">
        <v>2.41E-12</v>
      </c>
      <c r="U67" s="241">
        <v>3.1300000000000003E-14</v>
      </c>
      <c r="W67">
        <v>34.93</v>
      </c>
      <c r="X67">
        <v>5.81</v>
      </c>
      <c r="Y67">
        <v>50.92</v>
      </c>
      <c r="Z67">
        <v>12.83</v>
      </c>
      <c r="AA67">
        <v>222.79</v>
      </c>
      <c r="AB67">
        <v>3.12</v>
      </c>
      <c r="AC67">
        <v>75.86</v>
      </c>
      <c r="AD67">
        <v>3</v>
      </c>
      <c r="AF67" s="241">
        <v>2.09E-15</v>
      </c>
      <c r="AG67" s="241">
        <v>2.3099999999999999E-17</v>
      </c>
      <c r="AI67">
        <v>7.71</v>
      </c>
      <c r="AJ67">
        <v>0.32</v>
      </c>
      <c r="AK67">
        <v>0.77</v>
      </c>
      <c r="AL67">
        <v>0.1</v>
      </c>
      <c r="AM67">
        <v>-0.82</v>
      </c>
      <c r="AN67">
        <v>0.14000000000000001</v>
      </c>
      <c r="AO67">
        <v>21.99</v>
      </c>
      <c r="AP67">
        <v>0.33</v>
      </c>
      <c r="AQ67">
        <v>4.21</v>
      </c>
      <c r="AR67">
        <v>0.14000000000000001</v>
      </c>
      <c r="AS67">
        <v>6.15</v>
      </c>
      <c r="AT67">
        <v>0.47</v>
      </c>
      <c r="AU67">
        <v>7.84</v>
      </c>
      <c r="AV67">
        <v>0.14000000000000001</v>
      </c>
      <c r="AX67" s="241">
        <v>1.9700000000000001E-15</v>
      </c>
      <c r="AY67" s="241">
        <v>3.2900000000000002E-17</v>
      </c>
    </row>
    <row r="68" spans="1:51">
      <c r="B68">
        <v>19</v>
      </c>
      <c r="C68">
        <v>5.5999999999999999E-3</v>
      </c>
      <c r="D68">
        <v>2437</v>
      </c>
      <c r="E68" s="240">
        <v>41114</v>
      </c>
      <c r="F68" s="240">
        <v>41320</v>
      </c>
      <c r="G68">
        <v>10553.01</v>
      </c>
      <c r="H68">
        <v>37.29</v>
      </c>
      <c r="I68">
        <v>6.33</v>
      </c>
      <c r="J68">
        <v>0.23</v>
      </c>
      <c r="K68">
        <v>0.75</v>
      </c>
      <c r="L68">
        <v>0.1</v>
      </c>
      <c r="M68">
        <v>2.52</v>
      </c>
      <c r="N68">
        <v>0.32</v>
      </c>
      <c r="O68">
        <v>0.78</v>
      </c>
      <c r="P68">
        <v>0.2</v>
      </c>
      <c r="R68">
        <v>293.57</v>
      </c>
      <c r="T68" s="241">
        <v>2.41E-12</v>
      </c>
      <c r="U68" s="241">
        <v>3.1300000000000003E-14</v>
      </c>
      <c r="W68">
        <v>6.16</v>
      </c>
      <c r="X68">
        <v>3.87</v>
      </c>
      <c r="Y68">
        <v>2.4900000000000002</v>
      </c>
      <c r="Z68">
        <v>0.08</v>
      </c>
      <c r="AA68">
        <v>2</v>
      </c>
      <c r="AB68">
        <v>0.05</v>
      </c>
      <c r="AC68">
        <v>112.55</v>
      </c>
      <c r="AD68">
        <v>2.56</v>
      </c>
      <c r="AF68" s="241">
        <v>2.09E-15</v>
      </c>
      <c r="AG68" s="241">
        <v>2.3099999999999999E-17</v>
      </c>
      <c r="AI68">
        <v>3.81</v>
      </c>
      <c r="AJ68">
        <v>0.05</v>
      </c>
      <c r="AK68">
        <v>0.23</v>
      </c>
      <c r="AL68">
        <v>0.17</v>
      </c>
      <c r="AM68">
        <v>0.12</v>
      </c>
      <c r="AN68">
        <v>0.11</v>
      </c>
      <c r="AO68">
        <v>11.71</v>
      </c>
      <c r="AP68">
        <v>0.21</v>
      </c>
      <c r="AQ68">
        <v>1.6</v>
      </c>
      <c r="AR68">
        <v>0.85</v>
      </c>
      <c r="AS68">
        <v>3.98</v>
      </c>
      <c r="AT68">
        <v>0.11</v>
      </c>
      <c r="AU68">
        <v>4.9800000000000004</v>
      </c>
      <c r="AV68">
        <v>0.06</v>
      </c>
      <c r="AX68" s="241">
        <v>1.9700000000000001E-15</v>
      </c>
      <c r="AY68" s="241">
        <v>3.2900000000000002E-17</v>
      </c>
    </row>
    <row r="69" spans="1:51">
      <c r="A69" t="s">
        <v>723</v>
      </c>
      <c r="C69">
        <v>5.5999999999999999E-3</v>
      </c>
      <c r="E69" s="240">
        <v>41114</v>
      </c>
      <c r="F69" s="240">
        <v>41320</v>
      </c>
      <c r="G69">
        <v>118732.09</v>
      </c>
      <c r="H69">
        <v>900.03</v>
      </c>
      <c r="I69">
        <v>519.91999999999996</v>
      </c>
      <c r="J69">
        <v>1.82</v>
      </c>
      <c r="K69">
        <v>310.18</v>
      </c>
      <c r="L69">
        <v>1.1100000000000001</v>
      </c>
      <c r="M69">
        <v>14.07</v>
      </c>
      <c r="N69">
        <v>0.44</v>
      </c>
      <c r="O69">
        <v>169.57</v>
      </c>
      <c r="P69">
        <v>0.75</v>
      </c>
      <c r="R69">
        <v>293.57</v>
      </c>
      <c r="T69" s="241">
        <v>2.41E-12</v>
      </c>
      <c r="U69" s="241">
        <v>3.1300000000000003E-14</v>
      </c>
      <c r="W69">
        <v>17091.21</v>
      </c>
      <c r="X69">
        <v>2849.91</v>
      </c>
      <c r="Y69">
        <v>3479.67</v>
      </c>
      <c r="Z69">
        <v>22.24</v>
      </c>
      <c r="AA69">
        <v>4825.6400000000003</v>
      </c>
      <c r="AB69">
        <v>27.51</v>
      </c>
      <c r="AC69">
        <v>2260.67</v>
      </c>
      <c r="AD69">
        <v>7.43</v>
      </c>
      <c r="AF69" s="241">
        <v>2.09E-15</v>
      </c>
      <c r="AG69" s="241">
        <v>2.3099999999999999E-17</v>
      </c>
      <c r="AI69">
        <v>2838.01</v>
      </c>
      <c r="AJ69">
        <v>40.19</v>
      </c>
      <c r="AK69">
        <v>533.33000000000004</v>
      </c>
      <c r="AL69">
        <v>6.22</v>
      </c>
      <c r="AM69">
        <v>70.78</v>
      </c>
      <c r="AN69">
        <v>1.8</v>
      </c>
      <c r="AO69">
        <v>8326.39</v>
      </c>
      <c r="AP69">
        <v>40.18</v>
      </c>
      <c r="AQ69">
        <v>3028.69</v>
      </c>
      <c r="AR69">
        <v>7.59</v>
      </c>
      <c r="AS69">
        <v>4748.99</v>
      </c>
      <c r="AT69">
        <v>17.84</v>
      </c>
      <c r="AU69">
        <v>5981.44</v>
      </c>
      <c r="AV69">
        <v>21.67</v>
      </c>
      <c r="AX69" s="241">
        <v>1.9700000000000001E-15</v>
      </c>
      <c r="AY69" s="241">
        <v>3.2900000000000002E-17</v>
      </c>
    </row>
    <row r="71" spans="1:51">
      <c r="B71">
        <v>13.5</v>
      </c>
      <c r="C71">
        <v>4.1999999999999997E-3</v>
      </c>
      <c r="D71">
        <v>2439</v>
      </c>
      <c r="E71" s="240">
        <v>41114</v>
      </c>
      <c r="F71" s="240">
        <v>41321</v>
      </c>
      <c r="G71">
        <v>12834.05</v>
      </c>
      <c r="H71">
        <v>51.22</v>
      </c>
      <c r="I71">
        <v>7.47</v>
      </c>
      <c r="J71">
        <v>0.3</v>
      </c>
      <c r="K71">
        <v>2.04</v>
      </c>
      <c r="L71">
        <v>0.21</v>
      </c>
      <c r="M71">
        <v>1.31</v>
      </c>
      <c r="N71">
        <v>0.12</v>
      </c>
      <c r="O71">
        <v>0.45</v>
      </c>
      <c r="P71">
        <v>0.22</v>
      </c>
      <c r="R71">
        <v>293.57</v>
      </c>
      <c r="T71" s="241">
        <v>2.41E-12</v>
      </c>
      <c r="U71" s="241">
        <v>3.1300000000000003E-14</v>
      </c>
      <c r="W71">
        <v>10.11</v>
      </c>
      <c r="X71">
        <v>9.8800000000000008</v>
      </c>
      <c r="Y71">
        <v>4.29</v>
      </c>
      <c r="Z71">
        <v>0.11</v>
      </c>
      <c r="AA71">
        <v>29.23</v>
      </c>
      <c r="AB71">
        <v>2.23</v>
      </c>
      <c r="AC71">
        <v>10.31</v>
      </c>
      <c r="AD71">
        <v>1.59</v>
      </c>
      <c r="AF71" s="241">
        <v>2.09E-15</v>
      </c>
      <c r="AG71" s="241">
        <v>2.3099999999999999E-17</v>
      </c>
      <c r="AI71">
        <v>2.58</v>
      </c>
      <c r="AJ71">
        <v>0.06</v>
      </c>
      <c r="AK71">
        <v>15.44</v>
      </c>
      <c r="AL71">
        <v>1.18</v>
      </c>
      <c r="AM71">
        <v>1.68</v>
      </c>
      <c r="AN71">
        <v>1.07</v>
      </c>
      <c r="AO71">
        <v>8.2200000000000006</v>
      </c>
      <c r="AP71">
        <v>0.3</v>
      </c>
      <c r="AQ71">
        <v>8.4</v>
      </c>
      <c r="AR71">
        <v>4.26</v>
      </c>
      <c r="AS71">
        <v>2.56</v>
      </c>
      <c r="AT71">
        <v>0.26</v>
      </c>
      <c r="AU71">
        <v>3.45</v>
      </c>
      <c r="AV71">
        <v>0.11</v>
      </c>
      <c r="AX71" s="241">
        <v>1.9700000000000001E-15</v>
      </c>
      <c r="AY71" s="241">
        <v>3.2900000000000002E-17</v>
      </c>
    </row>
    <row r="72" spans="1:51">
      <c r="B72">
        <v>15.5</v>
      </c>
      <c r="C72">
        <v>4.1999999999999997E-3</v>
      </c>
      <c r="D72">
        <v>2440</v>
      </c>
      <c r="E72" s="240">
        <v>41114</v>
      </c>
      <c r="F72" s="240">
        <v>41321</v>
      </c>
      <c r="G72">
        <v>5965.21</v>
      </c>
      <c r="H72">
        <v>21.79</v>
      </c>
      <c r="I72">
        <v>3.47</v>
      </c>
      <c r="J72">
        <v>0.27</v>
      </c>
      <c r="K72">
        <v>1.96</v>
      </c>
      <c r="L72">
        <v>0.14000000000000001</v>
      </c>
      <c r="M72">
        <v>0.65</v>
      </c>
      <c r="N72">
        <v>0.23</v>
      </c>
      <c r="O72">
        <v>1.65</v>
      </c>
      <c r="P72">
        <v>0.13</v>
      </c>
      <c r="R72">
        <v>293.57</v>
      </c>
      <c r="T72" s="241">
        <v>2.41E-12</v>
      </c>
      <c r="U72" s="241">
        <v>3.1300000000000003E-14</v>
      </c>
      <c r="W72">
        <v>6.91</v>
      </c>
      <c r="X72">
        <v>2.14</v>
      </c>
      <c r="Y72">
        <v>2.35</v>
      </c>
      <c r="Z72">
        <v>0.08</v>
      </c>
      <c r="AA72">
        <v>3.02</v>
      </c>
      <c r="AB72">
        <v>0.17</v>
      </c>
      <c r="AC72">
        <v>0.98</v>
      </c>
      <c r="AD72">
        <v>0.13</v>
      </c>
      <c r="AF72" s="241">
        <v>2.09E-15</v>
      </c>
      <c r="AG72" s="241">
        <v>2.3099999999999999E-17</v>
      </c>
      <c r="AI72">
        <v>1.68</v>
      </c>
      <c r="AJ72">
        <v>0.06</v>
      </c>
      <c r="AK72">
        <v>9.6</v>
      </c>
      <c r="AL72">
        <v>1.23</v>
      </c>
      <c r="AM72">
        <v>0.35</v>
      </c>
      <c r="AN72">
        <v>1.06</v>
      </c>
      <c r="AO72">
        <v>5.09</v>
      </c>
      <c r="AP72">
        <v>0.13</v>
      </c>
      <c r="AQ72">
        <v>1.42</v>
      </c>
      <c r="AR72">
        <v>0.06</v>
      </c>
      <c r="AS72">
        <v>1.77</v>
      </c>
      <c r="AT72">
        <v>0.1</v>
      </c>
      <c r="AU72">
        <v>0.73</v>
      </c>
      <c r="AV72">
        <v>0.77</v>
      </c>
      <c r="AX72" s="241">
        <v>1.9700000000000001E-15</v>
      </c>
      <c r="AY72" s="241">
        <v>3.2900000000000002E-17</v>
      </c>
    </row>
    <row r="73" spans="1:51">
      <c r="A73" t="s">
        <v>723</v>
      </c>
      <c r="C73">
        <v>4.1999999999999997E-3</v>
      </c>
      <c r="E73" s="240">
        <v>41114</v>
      </c>
      <c r="F73" s="240">
        <v>41321</v>
      </c>
      <c r="G73">
        <v>18799.259999999998</v>
      </c>
      <c r="H73">
        <v>55.67</v>
      </c>
      <c r="I73">
        <v>10.93</v>
      </c>
      <c r="J73">
        <v>0.4</v>
      </c>
      <c r="K73">
        <v>3.99</v>
      </c>
      <c r="L73">
        <v>0.25</v>
      </c>
      <c r="M73">
        <v>1.95</v>
      </c>
      <c r="N73">
        <v>0.25</v>
      </c>
      <c r="O73">
        <v>2.1</v>
      </c>
      <c r="P73">
        <v>0.26</v>
      </c>
      <c r="R73">
        <v>293.57</v>
      </c>
      <c r="T73" s="241">
        <v>2.41E-12</v>
      </c>
      <c r="U73" s="241">
        <v>3.1300000000000003E-14</v>
      </c>
      <c r="W73">
        <v>17.02</v>
      </c>
      <c r="X73">
        <v>10.11</v>
      </c>
      <c r="Y73">
        <v>6.63</v>
      </c>
      <c r="Z73">
        <v>0.13</v>
      </c>
      <c r="AA73">
        <v>32.24</v>
      </c>
      <c r="AB73">
        <v>2.2400000000000002</v>
      </c>
      <c r="AC73">
        <v>11.28</v>
      </c>
      <c r="AD73">
        <v>1.59</v>
      </c>
      <c r="AF73" s="241">
        <v>2.09E-15</v>
      </c>
      <c r="AG73" s="241">
        <v>2.3099999999999999E-17</v>
      </c>
      <c r="AI73">
        <v>4.26</v>
      </c>
      <c r="AJ73">
        <v>0.09</v>
      </c>
      <c r="AK73">
        <v>25.04</v>
      </c>
      <c r="AL73">
        <v>1.7</v>
      </c>
      <c r="AM73">
        <v>2.0299999999999998</v>
      </c>
      <c r="AN73">
        <v>1.51</v>
      </c>
      <c r="AO73">
        <v>13.3</v>
      </c>
      <c r="AP73">
        <v>0.33</v>
      </c>
      <c r="AQ73">
        <v>9.82</v>
      </c>
      <c r="AR73">
        <v>4.26</v>
      </c>
      <c r="AS73">
        <v>4.33</v>
      </c>
      <c r="AT73">
        <v>0.28000000000000003</v>
      </c>
      <c r="AU73">
        <v>4.18</v>
      </c>
      <c r="AV73">
        <v>0.77</v>
      </c>
      <c r="AX73" s="241">
        <v>1.9700000000000001E-15</v>
      </c>
      <c r="AY73" s="241">
        <v>3.2900000000000002E-17</v>
      </c>
    </row>
    <row r="75" spans="1:51">
      <c r="B75">
        <v>13.5</v>
      </c>
      <c r="C75">
        <v>2.8E-3</v>
      </c>
      <c r="D75">
        <v>2443</v>
      </c>
      <c r="E75" s="240">
        <v>41114</v>
      </c>
      <c r="F75" s="240">
        <v>41321</v>
      </c>
      <c r="G75">
        <v>983.09</v>
      </c>
      <c r="H75">
        <v>2.11</v>
      </c>
      <c r="I75">
        <v>7.41</v>
      </c>
      <c r="J75">
        <v>0.09</v>
      </c>
      <c r="K75">
        <v>3.97</v>
      </c>
      <c r="L75">
        <v>0.21</v>
      </c>
      <c r="M75">
        <v>0.94</v>
      </c>
      <c r="N75">
        <v>0.13</v>
      </c>
      <c r="O75">
        <v>3.64</v>
      </c>
      <c r="P75">
        <v>0.03</v>
      </c>
      <c r="R75">
        <v>293.57</v>
      </c>
      <c r="T75" s="241">
        <v>2.41E-12</v>
      </c>
      <c r="U75" s="241">
        <v>3.1300000000000003E-14</v>
      </c>
      <c r="W75">
        <v>89.52</v>
      </c>
      <c r="X75">
        <v>3.63</v>
      </c>
      <c r="Y75">
        <v>41.61</v>
      </c>
      <c r="Z75">
        <v>0.95</v>
      </c>
      <c r="AA75">
        <v>87.27</v>
      </c>
      <c r="AB75">
        <v>3.99</v>
      </c>
      <c r="AC75">
        <v>26.58</v>
      </c>
      <c r="AD75">
        <v>1.58</v>
      </c>
      <c r="AF75" s="241">
        <v>2.09E-15</v>
      </c>
      <c r="AG75" s="241">
        <v>2.3099999999999999E-17</v>
      </c>
      <c r="AI75">
        <v>57.88</v>
      </c>
      <c r="AJ75">
        <v>1.81</v>
      </c>
      <c r="AK75">
        <v>102.98</v>
      </c>
      <c r="AL75">
        <v>4.4800000000000004</v>
      </c>
      <c r="AM75">
        <v>16.36</v>
      </c>
      <c r="AN75">
        <v>3.96</v>
      </c>
      <c r="AO75">
        <v>126.26</v>
      </c>
      <c r="AP75">
        <v>2.83</v>
      </c>
      <c r="AQ75">
        <v>118.4</v>
      </c>
      <c r="AR75">
        <v>2.72</v>
      </c>
      <c r="AS75">
        <v>41.74</v>
      </c>
      <c r="AT75">
        <v>2.99</v>
      </c>
      <c r="AU75">
        <v>38.28</v>
      </c>
      <c r="AV75">
        <v>1</v>
      </c>
      <c r="AX75" s="241">
        <v>1.9700000000000001E-15</v>
      </c>
      <c r="AY75" s="241">
        <v>3.2900000000000002E-17</v>
      </c>
    </row>
    <row r="76" spans="1:51">
      <c r="B76">
        <v>15.5</v>
      </c>
      <c r="C76">
        <v>2.8E-3</v>
      </c>
      <c r="D76">
        <v>2444</v>
      </c>
      <c r="E76" s="240">
        <v>41114</v>
      </c>
      <c r="F76" s="240">
        <v>41323</v>
      </c>
      <c r="G76">
        <v>228.91</v>
      </c>
      <c r="H76">
        <v>0.91</v>
      </c>
      <c r="I76">
        <v>1.87</v>
      </c>
      <c r="J76">
        <v>0.05</v>
      </c>
      <c r="K76">
        <v>1.2</v>
      </c>
      <c r="L76">
        <v>0.04</v>
      </c>
      <c r="M76">
        <v>0.4</v>
      </c>
      <c r="N76">
        <v>0.05</v>
      </c>
      <c r="O76">
        <v>1.27</v>
      </c>
      <c r="P76">
        <v>0.09</v>
      </c>
      <c r="R76">
        <v>293.57</v>
      </c>
      <c r="T76" s="241">
        <v>2.41E-12</v>
      </c>
      <c r="U76" s="241">
        <v>3.1300000000000003E-14</v>
      </c>
      <c r="W76">
        <v>5.13</v>
      </c>
      <c r="X76">
        <v>4.13</v>
      </c>
      <c r="Y76">
        <v>9.69</v>
      </c>
      <c r="Z76">
        <v>1.1599999999999999</v>
      </c>
      <c r="AA76">
        <v>22.26</v>
      </c>
      <c r="AB76">
        <v>1.25</v>
      </c>
      <c r="AC76">
        <v>7.12</v>
      </c>
      <c r="AD76">
        <v>0.38</v>
      </c>
      <c r="AF76" s="241">
        <v>2.09E-15</v>
      </c>
      <c r="AG76" s="241">
        <v>2.3099999999999999E-17</v>
      </c>
      <c r="AI76">
        <v>6.08</v>
      </c>
      <c r="AJ76">
        <v>0.8</v>
      </c>
      <c r="AK76">
        <v>31.43</v>
      </c>
      <c r="AL76">
        <v>18.88</v>
      </c>
      <c r="AM76">
        <v>2.21</v>
      </c>
      <c r="AN76">
        <v>0.68</v>
      </c>
      <c r="AO76">
        <v>27.82</v>
      </c>
      <c r="AP76">
        <v>0.37</v>
      </c>
      <c r="AQ76">
        <v>18.79</v>
      </c>
      <c r="AR76">
        <v>2.94</v>
      </c>
      <c r="AS76">
        <v>6.07</v>
      </c>
      <c r="AT76">
        <v>1.39</v>
      </c>
      <c r="AU76">
        <v>8.76</v>
      </c>
      <c r="AV76">
        <v>1.42</v>
      </c>
      <c r="AX76" s="241">
        <v>1.9700000000000001E-15</v>
      </c>
      <c r="AY76" s="241">
        <v>3.2900000000000002E-17</v>
      </c>
    </row>
    <row r="77" spans="1:51">
      <c r="A77" t="s">
        <v>724</v>
      </c>
      <c r="C77">
        <v>2.8E-3</v>
      </c>
      <c r="E77" s="240">
        <v>41114</v>
      </c>
      <c r="F77" s="240">
        <v>41323</v>
      </c>
      <c r="G77">
        <v>1212</v>
      </c>
      <c r="H77">
        <v>2.2999999999999998</v>
      </c>
      <c r="I77">
        <v>9.2799999999999994</v>
      </c>
      <c r="J77">
        <v>0.1</v>
      </c>
      <c r="K77">
        <v>5.16</v>
      </c>
      <c r="L77">
        <v>0.21</v>
      </c>
      <c r="M77">
        <v>1.34</v>
      </c>
      <c r="N77">
        <v>0.14000000000000001</v>
      </c>
      <c r="O77">
        <v>4.91</v>
      </c>
      <c r="P77">
        <v>0.1</v>
      </c>
      <c r="R77">
        <v>293.57</v>
      </c>
      <c r="T77" s="241">
        <v>2.41E-12</v>
      </c>
      <c r="U77" s="241">
        <v>3.1300000000000003E-14</v>
      </c>
      <c r="W77">
        <v>94.65</v>
      </c>
      <c r="X77">
        <v>5.5</v>
      </c>
      <c r="Y77">
        <v>51.29</v>
      </c>
      <c r="Z77">
        <v>1.5</v>
      </c>
      <c r="AA77">
        <v>109.53</v>
      </c>
      <c r="AB77">
        <v>4.18</v>
      </c>
      <c r="AC77">
        <v>33.700000000000003</v>
      </c>
      <c r="AD77">
        <v>1.62</v>
      </c>
      <c r="AF77" s="241">
        <v>2.09E-15</v>
      </c>
      <c r="AG77" s="241">
        <v>2.3099999999999999E-17</v>
      </c>
      <c r="AI77">
        <v>63.96</v>
      </c>
      <c r="AJ77">
        <v>1.98</v>
      </c>
      <c r="AK77">
        <v>134.41</v>
      </c>
      <c r="AL77">
        <v>19.41</v>
      </c>
      <c r="AM77">
        <v>18.559999999999999</v>
      </c>
      <c r="AN77">
        <v>4.0199999999999996</v>
      </c>
      <c r="AO77">
        <v>154.08000000000001</v>
      </c>
      <c r="AP77">
        <v>2.85</v>
      </c>
      <c r="AQ77">
        <v>137.19</v>
      </c>
      <c r="AR77">
        <v>4.01</v>
      </c>
      <c r="AS77">
        <v>47.81</v>
      </c>
      <c r="AT77">
        <v>3.29</v>
      </c>
      <c r="AU77">
        <v>47.04</v>
      </c>
      <c r="AV77">
        <v>1.74</v>
      </c>
      <c r="AX77" s="241">
        <v>1.9700000000000001E-15</v>
      </c>
      <c r="AY77" s="241">
        <v>3.2900000000000002E-17</v>
      </c>
    </row>
    <row r="79" spans="1:51">
      <c r="B79">
        <v>13.5</v>
      </c>
      <c r="C79">
        <v>2.3999999999999998E-3</v>
      </c>
      <c r="D79">
        <v>2445</v>
      </c>
      <c r="E79" s="240">
        <v>41114</v>
      </c>
      <c r="F79" s="240">
        <v>41323</v>
      </c>
      <c r="G79">
        <v>684.74</v>
      </c>
      <c r="H79">
        <v>4.3099999999999996</v>
      </c>
      <c r="I79">
        <v>7.26</v>
      </c>
      <c r="J79">
        <v>0.15</v>
      </c>
      <c r="K79">
        <v>9.57</v>
      </c>
      <c r="L79">
        <v>0.38</v>
      </c>
      <c r="M79">
        <v>1.32</v>
      </c>
      <c r="N79">
        <v>0.16</v>
      </c>
      <c r="O79">
        <v>1.95</v>
      </c>
      <c r="P79">
        <v>7.0000000000000007E-2</v>
      </c>
      <c r="R79">
        <v>293.57</v>
      </c>
      <c r="T79" s="241">
        <v>2.41E-12</v>
      </c>
      <c r="U79" s="241">
        <v>3.1300000000000003E-14</v>
      </c>
      <c r="W79">
        <v>46.28</v>
      </c>
      <c r="X79">
        <v>4.7</v>
      </c>
      <c r="Y79">
        <v>17.39</v>
      </c>
      <c r="Z79">
        <v>0.25</v>
      </c>
      <c r="AA79">
        <v>13.56</v>
      </c>
      <c r="AB79">
        <v>0.5</v>
      </c>
      <c r="AC79">
        <v>5.18</v>
      </c>
      <c r="AD79">
        <v>0.76</v>
      </c>
      <c r="AF79" s="241">
        <v>2.09E-15</v>
      </c>
      <c r="AG79" s="241">
        <v>2.3099999999999999E-17</v>
      </c>
      <c r="AI79">
        <v>19.5</v>
      </c>
      <c r="AJ79">
        <v>1.0900000000000001</v>
      </c>
      <c r="AK79">
        <v>3.17</v>
      </c>
      <c r="AL79">
        <v>2.0099999999999998</v>
      </c>
      <c r="AM79">
        <v>0.2</v>
      </c>
      <c r="AN79">
        <v>0.34</v>
      </c>
      <c r="AO79">
        <v>26.05</v>
      </c>
      <c r="AP79">
        <v>1.48</v>
      </c>
      <c r="AQ79">
        <v>4.28</v>
      </c>
      <c r="AR79">
        <v>3.68</v>
      </c>
      <c r="AS79">
        <v>-13.16</v>
      </c>
      <c r="AT79">
        <v>31.56</v>
      </c>
      <c r="AU79">
        <v>0.64</v>
      </c>
      <c r="AV79">
        <v>1.44</v>
      </c>
      <c r="AX79" s="241">
        <v>1.9700000000000001E-15</v>
      </c>
      <c r="AY79" s="241">
        <v>3.2900000000000002E-17</v>
      </c>
    </row>
    <row r="80" spans="1:51">
      <c r="B80">
        <v>15.5</v>
      </c>
      <c r="C80">
        <v>2.3999999999999998E-3</v>
      </c>
      <c r="D80">
        <v>2446</v>
      </c>
      <c r="E80" s="240">
        <v>41114</v>
      </c>
      <c r="F80" s="240">
        <v>41323</v>
      </c>
      <c r="G80">
        <v>220.78</v>
      </c>
      <c r="H80">
        <v>0.22</v>
      </c>
      <c r="I80">
        <v>2.27</v>
      </c>
      <c r="J80">
        <v>0.08</v>
      </c>
      <c r="K80">
        <v>7.04</v>
      </c>
      <c r="L80">
        <v>1.29</v>
      </c>
      <c r="M80">
        <v>0.56999999999999995</v>
      </c>
      <c r="N80">
        <v>0.08</v>
      </c>
      <c r="O80">
        <v>0.93</v>
      </c>
      <c r="P80">
        <v>0.27</v>
      </c>
      <c r="R80">
        <v>293.57</v>
      </c>
      <c r="T80" s="241">
        <v>2.41E-12</v>
      </c>
      <c r="U80" s="241">
        <v>3.1300000000000003E-14</v>
      </c>
      <c r="W80">
        <v>2.99</v>
      </c>
      <c r="X80">
        <v>2.17</v>
      </c>
      <c r="Y80">
        <v>1.23</v>
      </c>
      <c r="Z80">
        <v>0.08</v>
      </c>
      <c r="AA80">
        <v>6.86</v>
      </c>
      <c r="AB80">
        <v>3.26</v>
      </c>
      <c r="AC80">
        <v>0.78</v>
      </c>
      <c r="AD80">
        <v>0.22</v>
      </c>
      <c r="AF80" s="241">
        <v>2.09E-15</v>
      </c>
      <c r="AG80" s="241">
        <v>2.3099999999999999E-17</v>
      </c>
      <c r="AI80">
        <v>-0.56999999999999995</v>
      </c>
      <c r="AJ80">
        <v>0.2</v>
      </c>
      <c r="AK80">
        <v>-0.57999999999999996</v>
      </c>
      <c r="AL80">
        <v>0.1</v>
      </c>
      <c r="AM80">
        <v>-0.61</v>
      </c>
      <c r="AN80">
        <v>0.17</v>
      </c>
      <c r="AO80">
        <v>12.29</v>
      </c>
      <c r="AP80">
        <v>17.62</v>
      </c>
      <c r="AQ80">
        <v>1.45</v>
      </c>
      <c r="AR80">
        <v>5.74</v>
      </c>
      <c r="AS80">
        <v>0.72</v>
      </c>
      <c r="AT80">
        <v>6.01</v>
      </c>
      <c r="AU80">
        <v>1.69</v>
      </c>
      <c r="AV80">
        <v>0.14000000000000001</v>
      </c>
      <c r="AX80" s="241">
        <v>1.9700000000000001E-15</v>
      </c>
      <c r="AY80" s="241">
        <v>3.2900000000000002E-17</v>
      </c>
    </row>
    <row r="81" spans="1:51">
      <c r="A81" t="s">
        <v>724</v>
      </c>
      <c r="C81">
        <v>2.3999999999999998E-3</v>
      </c>
      <c r="E81" s="240">
        <v>41114</v>
      </c>
      <c r="F81" s="240">
        <v>41323</v>
      </c>
      <c r="G81">
        <v>905.52</v>
      </c>
      <c r="H81">
        <v>4.32</v>
      </c>
      <c r="I81">
        <v>9.5299999999999994</v>
      </c>
      <c r="J81">
        <v>0.17</v>
      </c>
      <c r="K81">
        <v>16.61</v>
      </c>
      <c r="L81">
        <v>1.35</v>
      </c>
      <c r="M81">
        <v>1.89</v>
      </c>
      <c r="N81">
        <v>0.18</v>
      </c>
      <c r="O81">
        <v>2.88</v>
      </c>
      <c r="P81">
        <v>0.28000000000000003</v>
      </c>
      <c r="R81">
        <v>293.57</v>
      </c>
      <c r="T81" s="241">
        <v>2.41E-12</v>
      </c>
      <c r="U81" s="241">
        <v>3.1300000000000003E-14</v>
      </c>
      <c r="W81">
        <v>49.27</v>
      </c>
      <c r="X81">
        <v>5.18</v>
      </c>
      <c r="Y81">
        <v>18.62</v>
      </c>
      <c r="Z81">
        <v>0.26</v>
      </c>
      <c r="AA81">
        <v>20.420000000000002</v>
      </c>
      <c r="AB81">
        <v>3.3</v>
      </c>
      <c r="AC81">
        <v>5.96</v>
      </c>
      <c r="AD81">
        <v>0.79</v>
      </c>
      <c r="AF81" s="241">
        <v>2.09E-15</v>
      </c>
      <c r="AG81" s="241">
        <v>2.3099999999999999E-17</v>
      </c>
      <c r="AI81">
        <v>19.5</v>
      </c>
      <c r="AJ81">
        <v>1.1000000000000001</v>
      </c>
      <c r="AK81">
        <v>3.17</v>
      </c>
      <c r="AL81">
        <v>2.02</v>
      </c>
      <c r="AM81">
        <v>0.2</v>
      </c>
      <c r="AN81">
        <v>0.37</v>
      </c>
      <c r="AO81">
        <v>38.340000000000003</v>
      </c>
      <c r="AP81">
        <v>17.68</v>
      </c>
      <c r="AQ81">
        <v>5.73</v>
      </c>
      <c r="AR81">
        <v>6.82</v>
      </c>
      <c r="AS81">
        <v>0.72</v>
      </c>
      <c r="AT81">
        <v>32.130000000000003</v>
      </c>
      <c r="AU81">
        <v>2.33</v>
      </c>
      <c r="AV81">
        <v>1.45</v>
      </c>
      <c r="AX81" s="241">
        <v>1.9700000000000001E-15</v>
      </c>
      <c r="AY81" s="241">
        <v>3.2900000000000002E-17</v>
      </c>
    </row>
    <row r="83" spans="1:51">
      <c r="A83" t="s">
        <v>725</v>
      </c>
      <c r="B83">
        <v>13.5</v>
      </c>
      <c r="C83">
        <v>1.5E-3</v>
      </c>
      <c r="D83">
        <v>2448</v>
      </c>
      <c r="E83" s="240">
        <v>41114</v>
      </c>
      <c r="F83" s="240">
        <v>41323</v>
      </c>
      <c r="G83">
        <v>721.52</v>
      </c>
      <c r="H83">
        <v>13.96</v>
      </c>
      <c r="I83">
        <v>1.25</v>
      </c>
      <c r="J83">
        <v>0.09</v>
      </c>
      <c r="K83">
        <v>48.38</v>
      </c>
      <c r="L83">
        <v>0.4</v>
      </c>
      <c r="M83">
        <v>0.97</v>
      </c>
      <c r="N83">
        <v>0.12</v>
      </c>
      <c r="O83">
        <v>240.17</v>
      </c>
      <c r="P83">
        <v>0.64</v>
      </c>
      <c r="R83">
        <v>293.57</v>
      </c>
      <c r="T83" s="241">
        <v>2.41E-12</v>
      </c>
      <c r="U83" s="241">
        <v>3.1300000000000003E-14</v>
      </c>
      <c r="W83">
        <v>492.97</v>
      </c>
      <c r="X83">
        <v>5.43</v>
      </c>
      <c r="Y83">
        <v>345.61</v>
      </c>
      <c r="Z83">
        <v>2.77</v>
      </c>
      <c r="AA83">
        <v>976.46</v>
      </c>
      <c r="AB83">
        <v>8.69</v>
      </c>
      <c r="AC83">
        <v>302.19</v>
      </c>
      <c r="AD83">
        <v>2.73</v>
      </c>
      <c r="AF83" s="241">
        <v>2.09E-15</v>
      </c>
      <c r="AG83" s="241">
        <v>2.3099999999999999E-17</v>
      </c>
      <c r="AI83">
        <v>126.28</v>
      </c>
      <c r="AJ83">
        <v>2</v>
      </c>
      <c r="AK83">
        <v>765.3</v>
      </c>
      <c r="AL83">
        <v>2.62</v>
      </c>
      <c r="AM83">
        <v>109.11</v>
      </c>
      <c r="AN83">
        <v>2.2400000000000002</v>
      </c>
      <c r="AO83">
        <v>594.42999999999995</v>
      </c>
      <c r="AP83">
        <v>7.24</v>
      </c>
      <c r="AQ83">
        <v>690.85</v>
      </c>
      <c r="AR83">
        <v>1.51</v>
      </c>
      <c r="AS83">
        <v>276.89</v>
      </c>
      <c r="AT83">
        <v>2.84</v>
      </c>
      <c r="AU83">
        <v>246.79</v>
      </c>
      <c r="AV83">
        <v>2.81</v>
      </c>
      <c r="AX83" s="241">
        <v>1.9700000000000001E-15</v>
      </c>
      <c r="AY83" s="241">
        <v>3.2900000000000002E-17</v>
      </c>
    </row>
    <row r="85" spans="1:51">
      <c r="A85" t="s">
        <v>720</v>
      </c>
      <c r="B85" t="s">
        <v>726</v>
      </c>
      <c r="C85">
        <v>4.0000000000000002E-4</v>
      </c>
      <c r="D85">
        <v>2818</v>
      </c>
      <c r="E85" s="240">
        <v>41114</v>
      </c>
      <c r="F85" s="240">
        <v>41404</v>
      </c>
      <c r="G85">
        <v>12715.16</v>
      </c>
      <c r="H85">
        <v>12.55</v>
      </c>
      <c r="I85">
        <v>11.16</v>
      </c>
      <c r="J85">
        <v>0.44</v>
      </c>
      <c r="K85">
        <v>31.7</v>
      </c>
      <c r="L85">
        <v>0.33</v>
      </c>
      <c r="M85">
        <v>0.28000000000000003</v>
      </c>
      <c r="N85">
        <v>0.14000000000000001</v>
      </c>
      <c r="O85">
        <v>86.47</v>
      </c>
      <c r="P85">
        <v>0.4</v>
      </c>
      <c r="R85">
        <v>293.57</v>
      </c>
      <c r="T85" s="241">
        <v>2.41E-12</v>
      </c>
      <c r="U85" s="241">
        <v>3.1300000000000003E-14</v>
      </c>
      <c r="W85">
        <v>978.98</v>
      </c>
      <c r="X85">
        <v>167.73</v>
      </c>
      <c r="Y85">
        <v>453.59</v>
      </c>
      <c r="Z85">
        <v>3.83</v>
      </c>
      <c r="AA85">
        <v>884.54</v>
      </c>
      <c r="AB85">
        <v>2.2799999999999998</v>
      </c>
      <c r="AC85">
        <v>271.70999999999998</v>
      </c>
      <c r="AD85">
        <v>5.17</v>
      </c>
      <c r="AF85" s="241">
        <v>2.09E-15</v>
      </c>
      <c r="AG85" s="241">
        <v>2.3099999999999999E-17</v>
      </c>
      <c r="AI85">
        <v>115.23</v>
      </c>
      <c r="AJ85">
        <v>2.2599999999999998</v>
      </c>
      <c r="AK85">
        <v>669.05</v>
      </c>
      <c r="AL85">
        <v>7.43</v>
      </c>
      <c r="AM85">
        <v>107.31</v>
      </c>
      <c r="AN85">
        <v>4.92</v>
      </c>
      <c r="AO85">
        <v>569.70000000000005</v>
      </c>
      <c r="AP85">
        <v>11.59</v>
      </c>
      <c r="AQ85">
        <v>644.47</v>
      </c>
      <c r="AR85">
        <v>11.64</v>
      </c>
      <c r="AS85">
        <v>258.70999999999998</v>
      </c>
      <c r="AT85">
        <v>5.04</v>
      </c>
      <c r="AU85">
        <v>221.75</v>
      </c>
      <c r="AV85">
        <v>7.31</v>
      </c>
      <c r="AX85" s="241">
        <v>1.9700000000000001E-15</v>
      </c>
      <c r="AY85" s="241">
        <v>3.2900000000000002E-17</v>
      </c>
    </row>
    <row r="87" spans="1:51">
      <c r="A87" t="s">
        <v>722</v>
      </c>
      <c r="B87" t="s">
        <v>727</v>
      </c>
      <c r="C87">
        <v>1E-3</v>
      </c>
      <c r="D87">
        <v>2819</v>
      </c>
      <c r="E87" s="240">
        <v>41114</v>
      </c>
      <c r="F87" s="240">
        <v>41404</v>
      </c>
      <c r="G87">
        <v>2268.0100000000002</v>
      </c>
      <c r="H87">
        <v>335.13</v>
      </c>
      <c r="I87">
        <v>14.37</v>
      </c>
      <c r="J87">
        <v>0.18</v>
      </c>
      <c r="K87">
        <v>31.09</v>
      </c>
      <c r="L87">
        <v>0.06</v>
      </c>
      <c r="M87">
        <v>0.46</v>
      </c>
      <c r="N87">
        <v>0.05</v>
      </c>
      <c r="O87">
        <v>61.74</v>
      </c>
      <c r="P87">
        <v>0.55000000000000004</v>
      </c>
      <c r="R87">
        <v>293.57</v>
      </c>
      <c r="T87" s="241">
        <v>2.41E-12</v>
      </c>
      <c r="U87" s="241">
        <v>3.1300000000000003E-14</v>
      </c>
      <c r="W87">
        <v>2410.87</v>
      </c>
      <c r="X87">
        <v>39.11</v>
      </c>
      <c r="Y87">
        <v>926.81</v>
      </c>
      <c r="Z87">
        <v>9.24</v>
      </c>
      <c r="AA87">
        <v>993.11</v>
      </c>
      <c r="AB87">
        <v>5.97</v>
      </c>
      <c r="AC87">
        <v>299.27999999999997</v>
      </c>
      <c r="AD87">
        <v>1.64</v>
      </c>
      <c r="AF87" s="241">
        <v>2.09E-15</v>
      </c>
      <c r="AG87" s="241">
        <v>2.3099999999999999E-17</v>
      </c>
      <c r="AI87">
        <v>407.64</v>
      </c>
      <c r="AJ87">
        <v>6.7</v>
      </c>
      <c r="AK87">
        <v>1329.1</v>
      </c>
      <c r="AL87">
        <v>7.94</v>
      </c>
      <c r="AM87">
        <v>180.11</v>
      </c>
      <c r="AN87">
        <v>4.29</v>
      </c>
      <c r="AO87">
        <v>1012.37</v>
      </c>
      <c r="AP87">
        <v>6.47</v>
      </c>
      <c r="AQ87">
        <v>1148.5999999999999</v>
      </c>
      <c r="AR87">
        <v>12.39</v>
      </c>
      <c r="AS87">
        <v>454.6</v>
      </c>
      <c r="AT87">
        <v>6.34</v>
      </c>
      <c r="AU87">
        <v>385.72</v>
      </c>
      <c r="AV87">
        <v>5.86</v>
      </c>
      <c r="AX87" s="241">
        <v>1.9700000000000001E-15</v>
      </c>
      <c r="AY87" s="241">
        <v>3.2900000000000002E-17</v>
      </c>
    </row>
    <row r="89" spans="1:51">
      <c r="A89" t="s">
        <v>728</v>
      </c>
      <c r="B89" t="s">
        <v>727</v>
      </c>
      <c r="C89">
        <v>1E-3</v>
      </c>
      <c r="D89">
        <v>2822</v>
      </c>
      <c r="E89" s="240">
        <v>41114</v>
      </c>
      <c r="F89" s="240">
        <v>41406</v>
      </c>
      <c r="G89">
        <v>1297.5</v>
      </c>
      <c r="H89">
        <v>30.7</v>
      </c>
      <c r="I89">
        <v>2.16</v>
      </c>
      <c r="J89">
        <v>0.15</v>
      </c>
      <c r="K89">
        <v>3.67</v>
      </c>
      <c r="L89">
        <v>0.13</v>
      </c>
      <c r="M89">
        <v>0.09</v>
      </c>
      <c r="N89">
        <v>0.06</v>
      </c>
      <c r="O89">
        <v>8.16</v>
      </c>
      <c r="P89">
        <v>0.02</v>
      </c>
      <c r="R89">
        <v>293.57</v>
      </c>
      <c r="T89" s="241">
        <v>2.41E-12</v>
      </c>
      <c r="U89" s="241">
        <v>3.1300000000000003E-14</v>
      </c>
      <c r="W89">
        <v>133.9</v>
      </c>
      <c r="X89">
        <v>2.25</v>
      </c>
      <c r="Y89">
        <v>63.02</v>
      </c>
      <c r="Z89">
        <v>0.47</v>
      </c>
      <c r="AA89">
        <v>115.32</v>
      </c>
      <c r="AB89">
        <v>2.73</v>
      </c>
      <c r="AC89">
        <v>36.64</v>
      </c>
      <c r="AD89">
        <v>0.63</v>
      </c>
      <c r="AF89" s="241">
        <v>2.09E-15</v>
      </c>
      <c r="AG89" s="241">
        <v>2.3099999999999999E-17</v>
      </c>
      <c r="AI89">
        <v>12.56</v>
      </c>
      <c r="AJ89">
        <v>0.22</v>
      </c>
      <c r="AK89">
        <v>41.29</v>
      </c>
      <c r="AL89">
        <v>3.22</v>
      </c>
      <c r="AM89">
        <v>6.31</v>
      </c>
      <c r="AN89">
        <v>0.46</v>
      </c>
      <c r="AO89">
        <v>51.89</v>
      </c>
      <c r="AP89">
        <v>1.75</v>
      </c>
      <c r="AQ89">
        <v>42.88</v>
      </c>
      <c r="AR89">
        <v>1.51</v>
      </c>
      <c r="AS89">
        <v>14.43</v>
      </c>
      <c r="AT89">
        <v>0.75</v>
      </c>
      <c r="AU89">
        <v>13.05</v>
      </c>
      <c r="AV89">
        <v>0.7</v>
      </c>
      <c r="AX89" s="241">
        <v>1.9700000000000001E-15</v>
      </c>
      <c r="AY89" s="241">
        <v>3.2900000000000002E-17</v>
      </c>
    </row>
    <row r="91" spans="1:51">
      <c r="A91" t="s">
        <v>725</v>
      </c>
      <c r="B91" t="s">
        <v>729</v>
      </c>
      <c r="C91">
        <v>1E-3</v>
      </c>
      <c r="D91">
        <v>2823</v>
      </c>
      <c r="E91" s="240">
        <v>41114</v>
      </c>
      <c r="F91" s="240">
        <v>41406</v>
      </c>
      <c r="G91">
        <v>2399.19</v>
      </c>
      <c r="H91">
        <v>451.78</v>
      </c>
      <c r="I91">
        <v>2.85</v>
      </c>
      <c r="J91">
        <v>0.06</v>
      </c>
      <c r="K91">
        <v>24.75</v>
      </c>
      <c r="L91">
        <v>0.18</v>
      </c>
      <c r="M91">
        <v>0.23</v>
      </c>
      <c r="N91">
        <v>0.08</v>
      </c>
      <c r="O91">
        <v>105.82</v>
      </c>
      <c r="P91">
        <v>0.49</v>
      </c>
      <c r="R91">
        <v>293.57</v>
      </c>
      <c r="T91" s="241">
        <v>2.41E-12</v>
      </c>
      <c r="U91" s="241">
        <v>3.1300000000000003E-14</v>
      </c>
      <c r="W91">
        <v>453.78</v>
      </c>
      <c r="X91">
        <v>6.65</v>
      </c>
      <c r="Y91">
        <v>389.76</v>
      </c>
      <c r="Z91">
        <v>6.55</v>
      </c>
      <c r="AA91">
        <v>1316.88</v>
      </c>
      <c r="AB91">
        <v>6.05</v>
      </c>
      <c r="AC91">
        <v>398.21</v>
      </c>
      <c r="AD91">
        <v>4.57</v>
      </c>
      <c r="AF91" s="241">
        <v>2.09E-15</v>
      </c>
      <c r="AG91" s="241">
        <v>2.3099999999999999E-17</v>
      </c>
      <c r="AI91">
        <v>112.36</v>
      </c>
      <c r="AJ91">
        <v>2.58</v>
      </c>
      <c r="AK91">
        <v>983.77</v>
      </c>
      <c r="AL91">
        <v>4.33</v>
      </c>
      <c r="AM91">
        <v>158.81</v>
      </c>
      <c r="AN91">
        <v>5.58</v>
      </c>
      <c r="AO91">
        <v>818.87</v>
      </c>
      <c r="AP91">
        <v>7.39</v>
      </c>
      <c r="AQ91">
        <v>984.15</v>
      </c>
      <c r="AR91">
        <v>11.12</v>
      </c>
      <c r="AS91">
        <v>379.39</v>
      </c>
      <c r="AT91">
        <v>7.38</v>
      </c>
      <c r="AU91">
        <v>312.45</v>
      </c>
      <c r="AV91">
        <v>4.72</v>
      </c>
      <c r="AX91" s="241">
        <v>1.9700000000000001E-15</v>
      </c>
      <c r="AY91" s="241">
        <v>3.2900000000000002E-17</v>
      </c>
    </row>
    <row r="93" spans="1:51">
      <c r="A93" t="s">
        <v>724</v>
      </c>
      <c r="B93" t="s">
        <v>729</v>
      </c>
      <c r="C93">
        <v>1.1000000000000001E-3</v>
      </c>
      <c r="D93">
        <v>2824</v>
      </c>
      <c r="E93" s="240">
        <v>41114</v>
      </c>
      <c r="F93" s="240">
        <v>41406</v>
      </c>
      <c r="G93">
        <v>9322.7900000000009</v>
      </c>
      <c r="H93">
        <v>10.7</v>
      </c>
      <c r="I93">
        <v>23.97</v>
      </c>
      <c r="J93">
        <v>0.12</v>
      </c>
      <c r="K93">
        <v>17.84</v>
      </c>
      <c r="L93">
        <v>0.14000000000000001</v>
      </c>
      <c r="M93">
        <v>0.77</v>
      </c>
      <c r="N93">
        <v>0.12</v>
      </c>
      <c r="O93">
        <v>35.44</v>
      </c>
      <c r="P93">
        <v>0.14000000000000001</v>
      </c>
      <c r="R93">
        <v>293.57</v>
      </c>
      <c r="T93" s="241">
        <v>2.41E-12</v>
      </c>
      <c r="U93" s="241">
        <v>3.1300000000000003E-14</v>
      </c>
      <c r="W93">
        <v>323.95</v>
      </c>
      <c r="X93">
        <v>51.68</v>
      </c>
      <c r="Y93">
        <v>521.5</v>
      </c>
      <c r="Z93">
        <v>11.8</v>
      </c>
      <c r="AA93">
        <v>2153.27</v>
      </c>
      <c r="AB93">
        <v>23.64</v>
      </c>
      <c r="AC93">
        <v>631.66</v>
      </c>
      <c r="AD93">
        <v>11.93</v>
      </c>
      <c r="AF93" s="241">
        <v>2.09E-15</v>
      </c>
      <c r="AG93" s="241">
        <v>2.3099999999999999E-17</v>
      </c>
      <c r="AI93">
        <v>91.35</v>
      </c>
      <c r="AJ93">
        <v>6.46</v>
      </c>
      <c r="AK93">
        <v>713.33</v>
      </c>
      <c r="AL93">
        <v>6.72</v>
      </c>
      <c r="AM93">
        <v>109.3</v>
      </c>
      <c r="AN93">
        <v>3.41</v>
      </c>
      <c r="AO93">
        <v>641.44000000000005</v>
      </c>
      <c r="AP93">
        <v>3.25</v>
      </c>
      <c r="AQ93">
        <v>720.23</v>
      </c>
      <c r="AR93">
        <v>11.29</v>
      </c>
      <c r="AS93">
        <v>291.85000000000002</v>
      </c>
      <c r="AT93">
        <v>5.83</v>
      </c>
      <c r="AU93">
        <v>240.28</v>
      </c>
      <c r="AV93">
        <v>3.97</v>
      </c>
      <c r="AX93" s="241">
        <v>1.9700000000000001E-15</v>
      </c>
      <c r="AY93" s="241">
        <v>3.2900000000000002E-17</v>
      </c>
    </row>
    <row r="95" spans="1:51">
      <c r="A95" t="s">
        <v>721</v>
      </c>
      <c r="B95">
        <v>12</v>
      </c>
      <c r="C95">
        <v>1.6000000000000001E-3</v>
      </c>
      <c r="D95">
        <v>2827</v>
      </c>
      <c r="E95" s="240">
        <v>41114</v>
      </c>
      <c r="F95" s="240">
        <v>41407</v>
      </c>
      <c r="G95">
        <v>10779.45</v>
      </c>
      <c r="H95">
        <v>7.32</v>
      </c>
      <c r="I95">
        <v>6.77</v>
      </c>
      <c r="J95">
        <v>0.43</v>
      </c>
      <c r="K95">
        <v>14.16</v>
      </c>
      <c r="L95">
        <v>0.59</v>
      </c>
      <c r="M95">
        <v>0.16</v>
      </c>
      <c r="N95">
        <v>0.3</v>
      </c>
      <c r="O95">
        <v>21.38</v>
      </c>
      <c r="P95">
        <v>0.51</v>
      </c>
      <c r="R95">
        <v>293.57</v>
      </c>
      <c r="T95" s="241">
        <v>2.41E-12</v>
      </c>
      <c r="U95" s="241">
        <v>3.1300000000000003E-14</v>
      </c>
      <c r="W95">
        <v>219.14</v>
      </c>
      <c r="X95">
        <v>9.1199999999999992</v>
      </c>
      <c r="Y95">
        <v>137.22</v>
      </c>
      <c r="Z95">
        <v>2.54</v>
      </c>
      <c r="AA95">
        <v>355.1</v>
      </c>
      <c r="AB95">
        <v>11.81</v>
      </c>
      <c r="AC95">
        <v>102.87</v>
      </c>
      <c r="AD95">
        <v>3.05</v>
      </c>
      <c r="AF95" s="241">
        <v>2.09E-15</v>
      </c>
      <c r="AG95" s="241">
        <v>2.3099999999999999E-17</v>
      </c>
      <c r="AI95">
        <v>41.01</v>
      </c>
      <c r="AJ95">
        <v>2.87</v>
      </c>
      <c r="AK95">
        <v>202.97</v>
      </c>
      <c r="AL95">
        <v>22.01</v>
      </c>
      <c r="AM95">
        <v>32.299999999999997</v>
      </c>
      <c r="AN95">
        <v>3.26</v>
      </c>
      <c r="AO95">
        <v>255.09</v>
      </c>
      <c r="AP95">
        <v>1.1599999999999999</v>
      </c>
      <c r="AQ95">
        <v>287.52</v>
      </c>
      <c r="AR95">
        <v>4.01</v>
      </c>
      <c r="AS95">
        <v>109.69</v>
      </c>
      <c r="AT95">
        <v>1.5</v>
      </c>
      <c r="AU95">
        <v>59.76</v>
      </c>
      <c r="AV95">
        <v>5.46</v>
      </c>
      <c r="AX95" s="241">
        <v>1.9700000000000001E-15</v>
      </c>
      <c r="AY95" s="241">
        <v>3.2900000000000002E-17</v>
      </c>
    </row>
    <row r="97" spans="1:51">
      <c r="A97" t="s">
        <v>730</v>
      </c>
      <c r="B97" t="s">
        <v>729</v>
      </c>
      <c r="C97">
        <v>5.9999999999999995E-4</v>
      </c>
      <c r="D97">
        <v>2830</v>
      </c>
      <c r="E97" s="240">
        <v>41114</v>
      </c>
      <c r="F97" s="240">
        <v>41407</v>
      </c>
      <c r="G97">
        <v>16077.22</v>
      </c>
      <c r="H97">
        <v>28.49</v>
      </c>
      <c r="I97">
        <v>14.08</v>
      </c>
      <c r="J97">
        <v>0.39</v>
      </c>
      <c r="K97">
        <v>60.09</v>
      </c>
      <c r="L97">
        <v>0.33</v>
      </c>
      <c r="M97">
        <v>0.46</v>
      </c>
      <c r="N97">
        <v>7.0000000000000007E-2</v>
      </c>
      <c r="O97">
        <v>218.13</v>
      </c>
      <c r="P97">
        <v>0.14000000000000001</v>
      </c>
      <c r="R97">
        <v>293.57</v>
      </c>
      <c r="T97" s="241">
        <v>2.41E-12</v>
      </c>
      <c r="U97" s="241">
        <v>3.1300000000000003E-14</v>
      </c>
      <c r="W97">
        <v>1239.1500000000001</v>
      </c>
      <c r="X97">
        <v>9.69</v>
      </c>
      <c r="Y97">
        <v>1140.0999999999999</v>
      </c>
      <c r="Z97">
        <v>6.18</v>
      </c>
      <c r="AA97">
        <v>4092.82</v>
      </c>
      <c r="AB97">
        <v>22.32</v>
      </c>
      <c r="AC97">
        <v>1245.43</v>
      </c>
      <c r="AD97">
        <v>7.93</v>
      </c>
      <c r="AF97" s="241">
        <v>2.09E-15</v>
      </c>
      <c r="AG97" s="241">
        <v>2.3099999999999999E-17</v>
      </c>
      <c r="AI97">
        <v>257.33999999999997</v>
      </c>
      <c r="AJ97">
        <v>6.19</v>
      </c>
      <c r="AK97">
        <v>2337.25</v>
      </c>
      <c r="AL97">
        <v>17.829999999999998</v>
      </c>
      <c r="AM97">
        <v>369.09</v>
      </c>
      <c r="AN97">
        <v>4.53</v>
      </c>
      <c r="AO97">
        <v>1959.58</v>
      </c>
      <c r="AP97">
        <v>27.21</v>
      </c>
      <c r="AQ97">
        <v>2323.96</v>
      </c>
      <c r="AR97">
        <v>18.37</v>
      </c>
      <c r="AS97">
        <v>897.44</v>
      </c>
      <c r="AT97">
        <v>10.25</v>
      </c>
      <c r="AU97">
        <v>782.75</v>
      </c>
      <c r="AV97">
        <v>8.83</v>
      </c>
      <c r="AX97" s="241">
        <v>1.9700000000000001E-15</v>
      </c>
      <c r="AY97" s="241">
        <v>3.2900000000000002E-17</v>
      </c>
    </row>
    <row r="99" spans="1:51">
      <c r="A99" t="s">
        <v>730</v>
      </c>
      <c r="B99" t="s">
        <v>729</v>
      </c>
      <c r="C99">
        <v>4.0000000000000002E-4</v>
      </c>
      <c r="D99">
        <v>2831</v>
      </c>
      <c r="E99" s="240">
        <v>41114</v>
      </c>
      <c r="F99" s="240">
        <v>41407</v>
      </c>
      <c r="G99">
        <v>10711.3</v>
      </c>
      <c r="H99">
        <v>22.3</v>
      </c>
      <c r="I99">
        <v>5.34</v>
      </c>
      <c r="J99">
        <v>0.91</v>
      </c>
      <c r="K99">
        <v>42.04</v>
      </c>
      <c r="L99">
        <v>0.14000000000000001</v>
      </c>
      <c r="M99">
        <v>0.43</v>
      </c>
      <c r="N99">
        <v>7.0000000000000007E-2</v>
      </c>
      <c r="O99">
        <v>174.93</v>
      </c>
      <c r="P99">
        <v>0.18</v>
      </c>
      <c r="R99">
        <v>293.57</v>
      </c>
      <c r="T99" s="241">
        <v>2.41E-12</v>
      </c>
      <c r="U99" s="241">
        <v>3.1300000000000003E-14</v>
      </c>
      <c r="W99">
        <v>384.2</v>
      </c>
      <c r="X99">
        <v>14.11</v>
      </c>
      <c r="Y99">
        <v>755.07</v>
      </c>
      <c r="Z99">
        <v>3.21</v>
      </c>
      <c r="AA99">
        <v>2854.11</v>
      </c>
      <c r="AB99">
        <v>21.77</v>
      </c>
      <c r="AC99">
        <v>862.77</v>
      </c>
      <c r="AD99">
        <v>5.56</v>
      </c>
      <c r="AF99" s="241">
        <v>2.09E-15</v>
      </c>
      <c r="AG99" s="241">
        <v>2.3099999999999999E-17</v>
      </c>
      <c r="AI99">
        <v>164.08</v>
      </c>
      <c r="AJ99">
        <v>2.31</v>
      </c>
      <c r="AK99">
        <v>1611.28</v>
      </c>
      <c r="AL99">
        <v>7.49</v>
      </c>
      <c r="AM99">
        <v>250.99</v>
      </c>
      <c r="AN99">
        <v>3.07</v>
      </c>
      <c r="AO99">
        <v>1311.19</v>
      </c>
      <c r="AP99">
        <v>8.6199999999999992</v>
      </c>
      <c r="AQ99">
        <v>1571.26</v>
      </c>
      <c r="AR99">
        <v>19.04</v>
      </c>
      <c r="AS99">
        <v>625.71</v>
      </c>
      <c r="AT99">
        <v>7.27</v>
      </c>
      <c r="AU99">
        <v>505.74</v>
      </c>
      <c r="AV99">
        <v>6.71</v>
      </c>
      <c r="AX99" s="241">
        <v>1.9700000000000001E-15</v>
      </c>
      <c r="AY99" s="241">
        <v>3.2900000000000002E-17</v>
      </c>
    </row>
    <row r="101" spans="1:51">
      <c r="A101" t="s">
        <v>731</v>
      </c>
      <c r="B101" t="s">
        <v>732</v>
      </c>
      <c r="C101">
        <v>2.3999999999999998E-3</v>
      </c>
      <c r="D101">
        <v>111</v>
      </c>
      <c r="E101" s="240">
        <v>41114</v>
      </c>
      <c r="F101" s="240">
        <v>41457</v>
      </c>
      <c r="G101">
        <v>30271.11</v>
      </c>
      <c r="H101">
        <v>33.091999999999999</v>
      </c>
      <c r="I101">
        <v>126.70699999999999</v>
      </c>
      <c r="J101">
        <v>0.43</v>
      </c>
      <c r="K101">
        <v>143.745</v>
      </c>
      <c r="L101">
        <v>0.19500000000000001</v>
      </c>
      <c r="M101">
        <v>1.7999999999999999E-2</v>
      </c>
      <c r="N101">
        <v>9.2999999999999999E-2</v>
      </c>
      <c r="O101">
        <v>608.93700000000001</v>
      </c>
      <c r="P101">
        <v>0.17100000000000001</v>
      </c>
      <c r="R101">
        <v>293.57</v>
      </c>
      <c r="T101" s="241">
        <v>2.41E-12</v>
      </c>
      <c r="U101" s="241">
        <v>3.1300000000000003E-14</v>
      </c>
      <c r="W101">
        <v>2253.0700000000002</v>
      </c>
      <c r="X101">
        <v>406.86200000000002</v>
      </c>
      <c r="Y101">
        <v>1450.921</v>
      </c>
      <c r="Z101">
        <v>40.89</v>
      </c>
      <c r="AA101">
        <v>5329.9579999999996</v>
      </c>
      <c r="AB101">
        <v>69.356999999999999</v>
      </c>
      <c r="AC101">
        <v>1626.107</v>
      </c>
      <c r="AD101">
        <v>18.513999999999999</v>
      </c>
      <c r="AF101" s="241">
        <v>2.09E-15</v>
      </c>
      <c r="AG101" s="241">
        <v>2.3099999999999999E-17</v>
      </c>
      <c r="AI101">
        <v>601.80600000000004</v>
      </c>
      <c r="AJ101">
        <v>8.7379999999999995</v>
      </c>
      <c r="AK101">
        <v>2580.2109999999998</v>
      </c>
      <c r="AL101">
        <v>16.106000000000002</v>
      </c>
      <c r="AM101">
        <v>401.19900000000001</v>
      </c>
      <c r="AN101">
        <v>6.8819999999999997</v>
      </c>
      <c r="AO101">
        <v>2543.7860000000001</v>
      </c>
      <c r="AP101">
        <v>15.028</v>
      </c>
      <c r="AQ101">
        <v>2622.627</v>
      </c>
      <c r="AR101">
        <v>26.638999999999999</v>
      </c>
      <c r="AS101">
        <v>1043.143</v>
      </c>
      <c r="AT101">
        <v>13.625</v>
      </c>
      <c r="AU101">
        <v>899.87800000000004</v>
      </c>
      <c r="AV101">
        <v>12.754</v>
      </c>
      <c r="AX101" s="241">
        <v>1.9700000000000001E-15</v>
      </c>
      <c r="AY101" s="241">
        <v>3.2900000000000002E-17</v>
      </c>
    </row>
    <row r="103" spans="1:51">
      <c r="A103" t="s">
        <v>733</v>
      </c>
      <c r="B103" t="s">
        <v>734</v>
      </c>
      <c r="C103">
        <v>1.2999999999999999E-3</v>
      </c>
      <c r="D103">
        <v>113</v>
      </c>
      <c r="E103" s="240">
        <v>41114</v>
      </c>
      <c r="F103" s="240">
        <v>41457</v>
      </c>
      <c r="G103">
        <v>15916.97</v>
      </c>
      <c r="H103">
        <v>44.628999999999998</v>
      </c>
      <c r="I103">
        <v>83.956000000000003</v>
      </c>
      <c r="J103">
        <v>0.23300000000000001</v>
      </c>
      <c r="K103">
        <v>68.875</v>
      </c>
      <c r="L103">
        <v>0.28699999999999998</v>
      </c>
      <c r="M103">
        <v>0.13800000000000001</v>
      </c>
      <c r="N103">
        <v>0.113</v>
      </c>
      <c r="O103">
        <v>227.19900000000001</v>
      </c>
      <c r="P103">
        <v>0.46600000000000003</v>
      </c>
      <c r="R103">
        <v>293.57</v>
      </c>
      <c r="T103" s="241">
        <v>2.41E-12</v>
      </c>
      <c r="U103" s="241">
        <v>3.1300000000000003E-14</v>
      </c>
      <c r="W103">
        <v>1832.3869999999999</v>
      </c>
      <c r="X103">
        <v>48.286000000000001</v>
      </c>
      <c r="Y103">
        <v>1070.6969999999999</v>
      </c>
      <c r="Z103">
        <v>10.585000000000001</v>
      </c>
      <c r="AA103">
        <v>2949.1660000000002</v>
      </c>
      <c r="AB103">
        <v>24.919</v>
      </c>
      <c r="AC103">
        <v>913.92200000000003</v>
      </c>
      <c r="AD103">
        <v>13.476000000000001</v>
      </c>
      <c r="AF103" s="241">
        <v>2.09E-15</v>
      </c>
      <c r="AG103" s="241">
        <v>2.3099999999999999E-17</v>
      </c>
      <c r="AI103">
        <v>704.92200000000003</v>
      </c>
      <c r="AJ103">
        <v>12.355</v>
      </c>
      <c r="AK103">
        <v>2992.277</v>
      </c>
      <c r="AL103">
        <v>33.625999999999998</v>
      </c>
      <c r="AM103">
        <v>466.26799999999997</v>
      </c>
      <c r="AN103">
        <v>4.5960000000000001</v>
      </c>
      <c r="AO103">
        <v>2672.4009999999998</v>
      </c>
      <c r="AP103">
        <v>14.218</v>
      </c>
      <c r="AQ103">
        <v>2963.364</v>
      </c>
      <c r="AR103">
        <v>9.2560000000000002</v>
      </c>
      <c r="AS103">
        <v>1172.1769999999999</v>
      </c>
      <c r="AT103">
        <v>4.4969999999999999</v>
      </c>
      <c r="AU103">
        <v>972.32299999999998</v>
      </c>
      <c r="AV103">
        <v>14.771000000000001</v>
      </c>
      <c r="AX103" s="241">
        <v>1.9700000000000001E-15</v>
      </c>
      <c r="AY103" s="241">
        <v>3.2900000000000002E-17</v>
      </c>
    </row>
    <row r="105" spans="1:51">
      <c r="A105" t="s">
        <v>733</v>
      </c>
      <c r="B105" t="s">
        <v>735</v>
      </c>
      <c r="C105">
        <v>1.4E-3</v>
      </c>
      <c r="D105">
        <v>118</v>
      </c>
      <c r="E105" s="240">
        <v>41114</v>
      </c>
      <c r="F105" s="240">
        <v>41459</v>
      </c>
      <c r="G105">
        <v>21514.17</v>
      </c>
      <c r="H105">
        <v>291.35000000000002</v>
      </c>
      <c r="I105">
        <v>78.585999999999999</v>
      </c>
      <c r="J105">
        <v>1.48</v>
      </c>
      <c r="K105">
        <v>111.25700000000001</v>
      </c>
      <c r="L105">
        <v>0.748</v>
      </c>
      <c r="M105">
        <v>0.83699999999999997</v>
      </c>
      <c r="N105">
        <v>3.9E-2</v>
      </c>
      <c r="O105">
        <v>360.67899999999997</v>
      </c>
      <c r="P105">
        <v>12.218999999999999</v>
      </c>
      <c r="R105">
        <v>293.57</v>
      </c>
      <c r="T105" s="241">
        <v>2.41E-12</v>
      </c>
      <c r="U105" s="241">
        <v>3.1300000000000003E-14</v>
      </c>
      <c r="W105">
        <v>2615.3809999999999</v>
      </c>
      <c r="X105">
        <v>143.83199999999999</v>
      </c>
      <c r="Y105">
        <v>1809.4590000000001</v>
      </c>
      <c r="Z105">
        <v>13.018000000000001</v>
      </c>
      <c r="AA105">
        <v>5318.0519999999997</v>
      </c>
      <c r="AB105">
        <v>24.518999999999998</v>
      </c>
      <c r="AC105">
        <v>1637.1849999999999</v>
      </c>
      <c r="AD105">
        <v>9.6</v>
      </c>
      <c r="AF105" s="241">
        <v>2.09E-15</v>
      </c>
      <c r="AG105" s="241">
        <v>2.3099999999999999E-17</v>
      </c>
      <c r="AI105">
        <v>916.51</v>
      </c>
      <c r="AJ105">
        <v>24.658999999999999</v>
      </c>
      <c r="AK105">
        <v>3108.261</v>
      </c>
      <c r="AL105">
        <v>45.84</v>
      </c>
      <c r="AM105">
        <v>479.74200000000002</v>
      </c>
      <c r="AN105">
        <v>16.739000000000001</v>
      </c>
      <c r="AO105">
        <v>2814.6840000000002</v>
      </c>
      <c r="AP105">
        <v>51.155999999999999</v>
      </c>
      <c r="AQ105">
        <v>2999.5929999999998</v>
      </c>
      <c r="AR105">
        <v>52.194000000000003</v>
      </c>
      <c r="AS105">
        <v>1196.1400000000001</v>
      </c>
      <c r="AT105">
        <v>9.5969999999999995</v>
      </c>
      <c r="AU105">
        <v>1014.598</v>
      </c>
      <c r="AV105">
        <v>7.3029999999999999</v>
      </c>
      <c r="AX105" s="241">
        <v>1.9700000000000001E-15</v>
      </c>
      <c r="AY105" s="241">
        <v>3.2900000000000002E-17</v>
      </c>
    </row>
    <row r="107" spans="1:51">
      <c r="A107" t="s">
        <v>736</v>
      </c>
      <c r="B107" t="s">
        <v>735</v>
      </c>
      <c r="C107">
        <v>1.1000000000000001E-3</v>
      </c>
      <c r="D107">
        <v>120</v>
      </c>
      <c r="E107" s="240">
        <v>41114</v>
      </c>
      <c r="F107" s="240">
        <v>41459</v>
      </c>
      <c r="G107">
        <v>1729.9079999999999</v>
      </c>
      <c r="H107">
        <v>2964.7359999999999</v>
      </c>
      <c r="I107">
        <v>17.745000000000001</v>
      </c>
      <c r="J107">
        <v>0.18099999999999999</v>
      </c>
      <c r="K107">
        <v>23.216000000000001</v>
      </c>
      <c r="L107">
        <v>0.41</v>
      </c>
      <c r="M107">
        <v>7.1999999999999995E-2</v>
      </c>
      <c r="N107">
        <v>0.11799999999999999</v>
      </c>
      <c r="O107">
        <v>51.680999999999997</v>
      </c>
      <c r="P107">
        <v>0.128</v>
      </c>
      <c r="R107">
        <v>293.57</v>
      </c>
      <c r="T107" s="241">
        <v>2.41E-12</v>
      </c>
      <c r="U107" s="241">
        <v>3.1300000000000003E-14</v>
      </c>
      <c r="W107">
        <v>1163.481</v>
      </c>
      <c r="X107">
        <v>25.945</v>
      </c>
      <c r="Y107">
        <v>479.59300000000002</v>
      </c>
      <c r="Z107">
        <v>3.528</v>
      </c>
      <c r="AA107">
        <v>649.125</v>
      </c>
      <c r="AB107">
        <v>14.631</v>
      </c>
      <c r="AC107">
        <v>207.827</v>
      </c>
      <c r="AD107">
        <v>2.984</v>
      </c>
      <c r="AF107" s="241">
        <v>2.09E-15</v>
      </c>
      <c r="AG107" s="241">
        <v>2.3099999999999999E-17</v>
      </c>
      <c r="AI107">
        <v>347.5</v>
      </c>
      <c r="AJ107">
        <v>3.7309999999999999</v>
      </c>
      <c r="AK107">
        <v>506.73899999999998</v>
      </c>
      <c r="AL107">
        <v>5.8529999999999998</v>
      </c>
      <c r="AM107">
        <v>77.564999999999998</v>
      </c>
      <c r="AN107">
        <v>0.94699999999999995</v>
      </c>
      <c r="AO107">
        <v>473.37700000000001</v>
      </c>
      <c r="AP107">
        <v>2.3340000000000001</v>
      </c>
      <c r="AQ107">
        <v>459.68700000000001</v>
      </c>
      <c r="AR107">
        <v>6.8780000000000001</v>
      </c>
      <c r="AS107">
        <v>186.98099999999999</v>
      </c>
      <c r="AT107">
        <v>1.1819999999999999</v>
      </c>
      <c r="AU107">
        <v>165.69300000000001</v>
      </c>
      <c r="AV107">
        <v>2.3759999999999999</v>
      </c>
      <c r="AX107" s="241">
        <v>1.9700000000000001E-15</v>
      </c>
      <c r="AY107" s="241">
        <v>3.2900000000000002E-17</v>
      </c>
    </row>
    <row r="109" spans="1:51">
      <c r="A109" t="s">
        <v>736</v>
      </c>
      <c r="B109" t="s">
        <v>735</v>
      </c>
      <c r="C109">
        <v>1.1999999999999999E-3</v>
      </c>
      <c r="D109">
        <v>122</v>
      </c>
      <c r="E109" s="240">
        <v>41114</v>
      </c>
      <c r="F109" s="240">
        <v>41460</v>
      </c>
      <c r="G109">
        <v>6149.21</v>
      </c>
      <c r="H109">
        <v>13.648</v>
      </c>
      <c r="I109">
        <v>18.536999999999999</v>
      </c>
      <c r="J109">
        <v>8.1000000000000003E-2</v>
      </c>
      <c r="K109">
        <v>24.646999999999998</v>
      </c>
      <c r="L109">
        <v>0.128</v>
      </c>
      <c r="M109">
        <v>0.373</v>
      </c>
      <c r="N109">
        <v>5.6000000000000001E-2</v>
      </c>
      <c r="O109">
        <v>70.596000000000004</v>
      </c>
      <c r="P109">
        <v>0.33100000000000002</v>
      </c>
      <c r="R109">
        <v>293.57</v>
      </c>
      <c r="T109" s="241">
        <v>2.41E-12</v>
      </c>
      <c r="U109" s="241">
        <v>3.1300000000000003E-14</v>
      </c>
      <c r="W109">
        <v>740.70699999999999</v>
      </c>
      <c r="X109">
        <v>5.5140000000000002</v>
      </c>
      <c r="Y109">
        <v>378.77800000000002</v>
      </c>
      <c r="Z109">
        <v>5.8230000000000004</v>
      </c>
      <c r="AA109">
        <v>788.33699999999999</v>
      </c>
      <c r="AB109">
        <v>2.6349999999999998</v>
      </c>
      <c r="AC109">
        <v>199.89400000000001</v>
      </c>
      <c r="AD109">
        <v>9.2119999999999997</v>
      </c>
      <c r="AF109" s="241">
        <v>2.09E-15</v>
      </c>
      <c r="AG109" s="241">
        <v>2.3099999999999999E-17</v>
      </c>
      <c r="AI109">
        <v>216.52500000000001</v>
      </c>
      <c r="AJ109">
        <v>1.145</v>
      </c>
      <c r="AK109">
        <v>367.78100000000001</v>
      </c>
      <c r="AL109">
        <v>1.9710000000000001</v>
      </c>
      <c r="AM109">
        <v>46.441000000000003</v>
      </c>
      <c r="AN109">
        <v>0.40600000000000003</v>
      </c>
      <c r="AO109">
        <v>383.69799999999998</v>
      </c>
      <c r="AP109">
        <v>1.9410000000000001</v>
      </c>
      <c r="AQ109">
        <v>355.69900000000001</v>
      </c>
      <c r="AR109">
        <v>2.0379999999999998</v>
      </c>
      <c r="AS109">
        <v>138.94800000000001</v>
      </c>
      <c r="AT109">
        <v>2.2170000000000001</v>
      </c>
      <c r="AU109">
        <v>118.143</v>
      </c>
      <c r="AV109">
        <v>2.1760000000000002</v>
      </c>
      <c r="AX109" s="241">
        <v>1.9700000000000001E-15</v>
      </c>
      <c r="AY109" s="241">
        <v>3.2900000000000002E-17</v>
      </c>
    </row>
    <row r="111" spans="1:51">
      <c r="A111" t="s">
        <v>737</v>
      </c>
      <c r="B111" t="s">
        <v>735</v>
      </c>
      <c r="C111">
        <v>1E-3</v>
      </c>
      <c r="D111">
        <v>2872</v>
      </c>
      <c r="E111" s="240">
        <v>41114</v>
      </c>
      <c r="F111" s="240">
        <v>41416</v>
      </c>
      <c r="G111">
        <v>8668.3240000000005</v>
      </c>
      <c r="H111">
        <v>2.399</v>
      </c>
      <c r="I111">
        <v>5.8789999999999996</v>
      </c>
      <c r="J111">
        <v>6.6000000000000003E-2</v>
      </c>
      <c r="K111">
        <v>83.009</v>
      </c>
      <c r="L111">
        <v>9.4E-2</v>
      </c>
      <c r="M111">
        <v>0.14599999999999999</v>
      </c>
      <c r="N111">
        <v>0.152</v>
      </c>
      <c r="O111">
        <v>412.71499999999997</v>
      </c>
      <c r="P111">
        <v>0.14399999999999999</v>
      </c>
      <c r="R111">
        <v>293.57</v>
      </c>
      <c r="T111" s="241">
        <v>2.41E-12</v>
      </c>
      <c r="U111" s="241">
        <v>3.1300000000000003E-14</v>
      </c>
      <c r="W111">
        <v>1537.8630000000001</v>
      </c>
      <c r="X111">
        <v>17.640999999999998</v>
      </c>
      <c r="Y111">
        <v>3541.1880000000001</v>
      </c>
      <c r="Z111">
        <v>22.515000000000001</v>
      </c>
      <c r="AA111">
        <v>16005.56</v>
      </c>
      <c r="AB111">
        <v>86.031999999999996</v>
      </c>
      <c r="AC111">
        <v>4850.4939999999997</v>
      </c>
      <c r="AD111">
        <v>25.952999999999999</v>
      </c>
      <c r="AF111" s="241">
        <v>2.09E-15</v>
      </c>
      <c r="AG111" s="241">
        <v>2.3099999999999999E-17</v>
      </c>
      <c r="AI111">
        <v>908.81899999999996</v>
      </c>
      <c r="AJ111">
        <v>5.2640000000000002</v>
      </c>
      <c r="AK111">
        <v>9159.4869999999992</v>
      </c>
      <c r="AL111">
        <v>89.185000000000002</v>
      </c>
      <c r="AM111">
        <v>1434.492</v>
      </c>
      <c r="AN111">
        <v>11.542</v>
      </c>
      <c r="AO111">
        <v>7503.8950000000004</v>
      </c>
      <c r="AP111">
        <v>61.36</v>
      </c>
      <c r="AQ111">
        <v>9133.56</v>
      </c>
      <c r="AR111">
        <v>83.259</v>
      </c>
      <c r="AS111">
        <v>3479.42</v>
      </c>
      <c r="AT111">
        <v>28.283999999999999</v>
      </c>
      <c r="AU111">
        <v>2960.962</v>
      </c>
      <c r="AV111">
        <v>25.613</v>
      </c>
      <c r="AX111" s="241">
        <v>1.9700000000000001E-15</v>
      </c>
      <c r="AY111" s="241">
        <v>3.2900000000000002E-17</v>
      </c>
    </row>
    <row r="112" spans="1:51">
      <c r="A112" t="s">
        <v>737</v>
      </c>
      <c r="B112">
        <v>19</v>
      </c>
      <c r="C112">
        <v>1E-3</v>
      </c>
      <c r="D112">
        <v>2873</v>
      </c>
      <c r="E112" s="240">
        <v>41114</v>
      </c>
      <c r="F112" s="240">
        <v>41416</v>
      </c>
      <c r="G112">
        <v>321.69900000000001</v>
      </c>
      <c r="H112">
        <v>4.8540000000000001</v>
      </c>
      <c r="I112">
        <v>0.43099999999999999</v>
      </c>
      <c r="J112">
        <v>0.104</v>
      </c>
      <c r="K112">
        <v>31.998999999999999</v>
      </c>
      <c r="L112">
        <v>0.35399999999999998</v>
      </c>
      <c r="M112">
        <v>8.4000000000000005E-2</v>
      </c>
      <c r="N112">
        <v>0.25700000000000001</v>
      </c>
      <c r="O112">
        <v>167.178</v>
      </c>
      <c r="P112">
        <v>0.16300000000000001</v>
      </c>
      <c r="R112">
        <v>293.57</v>
      </c>
      <c r="T112" s="241">
        <v>2.41E-12</v>
      </c>
      <c r="U112" s="241">
        <v>3.1300000000000003E-14</v>
      </c>
      <c r="W112">
        <v>212.66900000000001</v>
      </c>
      <c r="X112">
        <v>10.768000000000001</v>
      </c>
      <c r="Y112">
        <v>453.41500000000002</v>
      </c>
      <c r="Z112">
        <v>12.041</v>
      </c>
      <c r="AA112">
        <v>2049.0120000000002</v>
      </c>
      <c r="AB112">
        <v>16.425000000000001</v>
      </c>
      <c r="AC112">
        <v>604.39599999999996</v>
      </c>
      <c r="AD112">
        <v>7.9749999999999996</v>
      </c>
      <c r="AF112" s="241">
        <v>2.09E-15</v>
      </c>
      <c r="AG112" s="241">
        <v>2.3099999999999999E-17</v>
      </c>
      <c r="AI112">
        <v>148.99700000000001</v>
      </c>
      <c r="AJ112">
        <v>1.476</v>
      </c>
      <c r="AK112">
        <v>1639.028</v>
      </c>
      <c r="AL112">
        <v>19.899999999999999</v>
      </c>
      <c r="AM112">
        <v>268.78300000000002</v>
      </c>
      <c r="AN112">
        <v>9.1199999999999992</v>
      </c>
      <c r="AO112">
        <v>1316.011</v>
      </c>
      <c r="AP112">
        <v>18.167999999999999</v>
      </c>
      <c r="AQ112">
        <v>1589.232</v>
      </c>
      <c r="AR112">
        <v>23.5</v>
      </c>
      <c r="AS112">
        <v>622.154</v>
      </c>
      <c r="AT112">
        <v>18.95</v>
      </c>
      <c r="AU112">
        <v>515.46400000000006</v>
      </c>
      <c r="AV112">
        <v>15.5</v>
      </c>
      <c r="AX112" s="241">
        <v>1.9700000000000001E-15</v>
      </c>
      <c r="AY112" s="241">
        <v>3.2900000000000002E-17</v>
      </c>
    </row>
    <row r="113" spans="1:51">
      <c r="A113" t="s">
        <v>737</v>
      </c>
      <c r="B113">
        <v>19</v>
      </c>
      <c r="C113">
        <v>1E-3</v>
      </c>
      <c r="D113">
        <v>123</v>
      </c>
      <c r="E113" s="240">
        <v>41114</v>
      </c>
      <c r="F113" s="240">
        <v>41460</v>
      </c>
      <c r="G113">
        <v>7825.366</v>
      </c>
      <c r="H113">
        <v>17.391999999999999</v>
      </c>
      <c r="I113">
        <v>20.637</v>
      </c>
      <c r="J113">
        <v>0.38</v>
      </c>
      <c r="K113">
        <v>50.982999999999997</v>
      </c>
      <c r="L113">
        <v>0.29399999999999998</v>
      </c>
      <c r="M113">
        <v>0.26</v>
      </c>
      <c r="N113">
        <v>0.20799999999999999</v>
      </c>
      <c r="O113">
        <v>221.559</v>
      </c>
      <c r="P113">
        <v>0.35099999999999998</v>
      </c>
      <c r="R113">
        <v>293.57</v>
      </c>
      <c r="T113" s="241">
        <v>2.41E-12</v>
      </c>
      <c r="U113" s="241">
        <v>3.1300000000000003E-14</v>
      </c>
      <c r="W113">
        <v>498.40699999999998</v>
      </c>
      <c r="X113">
        <v>4.2930000000000001</v>
      </c>
      <c r="Y113">
        <v>424.29700000000003</v>
      </c>
      <c r="Z113">
        <v>5.1070000000000002</v>
      </c>
      <c r="AA113">
        <v>1353.1679999999999</v>
      </c>
      <c r="AB113">
        <v>2.4750000000000001</v>
      </c>
      <c r="AC113">
        <v>393.58499999999998</v>
      </c>
      <c r="AD113">
        <v>9.5310000000000006</v>
      </c>
      <c r="AF113" s="241">
        <v>2.09E-15</v>
      </c>
      <c r="AG113" s="241">
        <v>2.3099999999999999E-17</v>
      </c>
      <c r="AI113">
        <v>181.48699999999999</v>
      </c>
      <c r="AJ113">
        <v>5.2229999999999999</v>
      </c>
      <c r="AK113">
        <v>612.39</v>
      </c>
      <c r="AL113">
        <v>7.3479999999999999</v>
      </c>
      <c r="AM113">
        <v>95.915000000000006</v>
      </c>
      <c r="AN113">
        <v>1.804</v>
      </c>
      <c r="AO113">
        <v>580.721</v>
      </c>
      <c r="AP113">
        <v>8.4309999999999992</v>
      </c>
      <c r="AQ113">
        <v>621.72400000000005</v>
      </c>
      <c r="AR113">
        <v>2.839</v>
      </c>
      <c r="AS113">
        <v>223.62799999999999</v>
      </c>
      <c r="AT113">
        <v>3.4430000000000001</v>
      </c>
      <c r="AU113">
        <v>209.565</v>
      </c>
      <c r="AV113">
        <v>3.7530000000000001</v>
      </c>
      <c r="AX113" s="241">
        <v>1.9700000000000001E-15</v>
      </c>
      <c r="AY113" s="241">
        <v>3.2900000000000002E-17</v>
      </c>
    </row>
    <row r="114" spans="1:51">
      <c r="A114" t="s">
        <v>731</v>
      </c>
      <c r="C114">
        <v>1E-3</v>
      </c>
      <c r="E114" s="240">
        <v>41114</v>
      </c>
      <c r="F114" s="240">
        <v>41460</v>
      </c>
      <c r="G114">
        <v>16815.388999999999</v>
      </c>
      <c r="H114">
        <v>18.215</v>
      </c>
      <c r="I114">
        <v>26.946999999999999</v>
      </c>
      <c r="J114">
        <v>0.39900000000000002</v>
      </c>
      <c r="K114">
        <v>165.99100000000001</v>
      </c>
      <c r="L114">
        <v>0.47</v>
      </c>
      <c r="M114">
        <v>0.49</v>
      </c>
      <c r="N114">
        <v>0.36399999999999999</v>
      </c>
      <c r="O114">
        <v>801.452</v>
      </c>
      <c r="P114">
        <v>0.41299999999999998</v>
      </c>
      <c r="R114">
        <v>293.57</v>
      </c>
      <c r="T114" s="241">
        <v>2.41E-12</v>
      </c>
      <c r="U114" s="241">
        <v>3.1300000000000003E-14</v>
      </c>
      <c r="W114">
        <v>2248.9389999999999</v>
      </c>
      <c r="X114">
        <v>21.109000000000002</v>
      </c>
      <c r="Y114">
        <v>4418.8999999999996</v>
      </c>
      <c r="Z114">
        <v>26.038</v>
      </c>
      <c r="AA114">
        <v>19407.740000000002</v>
      </c>
      <c r="AB114">
        <v>87.620999999999995</v>
      </c>
      <c r="AC114">
        <v>5848.4750000000004</v>
      </c>
      <c r="AD114">
        <v>28.774999999999999</v>
      </c>
      <c r="AF114" s="241">
        <v>2.09E-15</v>
      </c>
      <c r="AG114" s="241">
        <v>2.3099999999999999E-17</v>
      </c>
      <c r="AI114">
        <v>1239.3030000000001</v>
      </c>
      <c r="AJ114">
        <v>7.5609999999999999</v>
      </c>
      <c r="AK114">
        <v>11410.905000000001</v>
      </c>
      <c r="AL114">
        <v>91.673000000000002</v>
      </c>
      <c r="AM114">
        <v>1799.19</v>
      </c>
      <c r="AN114">
        <v>14.82</v>
      </c>
      <c r="AO114">
        <v>9400.6270000000004</v>
      </c>
      <c r="AP114">
        <v>64.546000000000006</v>
      </c>
      <c r="AQ114">
        <v>11344.516</v>
      </c>
      <c r="AR114">
        <v>86.558000000000007</v>
      </c>
      <c r="AS114">
        <v>4325.2020000000002</v>
      </c>
      <c r="AT114">
        <v>34.219000000000001</v>
      </c>
      <c r="AU114">
        <v>3685.991</v>
      </c>
      <c r="AV114">
        <v>30.172000000000001</v>
      </c>
      <c r="AX114" s="241">
        <v>1.9700000000000001E-15</v>
      </c>
      <c r="AY114" s="241">
        <v>3.2900000000000002E-17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1429</vt:i4>
      </vt:variant>
    </vt:vector>
  </HeadingPairs>
  <TitlesOfParts>
    <vt:vector size="1443" baseType="lpstr">
      <vt:lpstr>Halogen Samples (2)</vt:lpstr>
      <vt:lpstr>LogFile</vt:lpstr>
      <vt:lpstr>Ref Values </vt:lpstr>
      <vt:lpstr>Salts</vt:lpstr>
      <vt:lpstr>Hb3Gr</vt:lpstr>
      <vt:lpstr>Scapolite</vt:lpstr>
      <vt:lpstr>Shallowater</vt:lpstr>
      <vt:lpstr>Vertical_variation</vt:lpstr>
      <vt:lpstr>PlotDat4</vt:lpstr>
      <vt:lpstr>PlotDat14</vt:lpstr>
      <vt:lpstr>PlotDat15</vt:lpstr>
      <vt:lpstr>Hb3gr_interpolation</vt:lpstr>
      <vt:lpstr>Supplementary Data 3</vt:lpstr>
      <vt:lpstr>Sheet2</vt:lpstr>
      <vt:lpstr>_gXY1</vt:lpstr>
      <vt:lpstr>'Halogen Samples (2)'!Age</vt:lpstr>
      <vt:lpstr>Scapolite!Age</vt:lpstr>
      <vt:lpstr>'Supplementary Data 3'!Age</vt:lpstr>
      <vt:lpstr>'Halogen Samples (2)'!Age_err</vt:lpstr>
      <vt:lpstr>'Supplementary Data 3'!Age_err</vt:lpstr>
      <vt:lpstr>'Halogen Samples (2)'!Age_exterr</vt:lpstr>
      <vt:lpstr>'Supplementary Data 3'!Age_exterr</vt:lpstr>
      <vt:lpstr>'Halogen Samples (2)'!alpha</vt:lpstr>
      <vt:lpstr>Hb3Gr!alpha</vt:lpstr>
      <vt:lpstr>Scapolite!alpha</vt:lpstr>
      <vt:lpstr>'Supplementary Data 3'!alpha</vt:lpstr>
      <vt:lpstr>Vertical_variation!alpha</vt:lpstr>
      <vt:lpstr>'Halogen Samples (2)'!alphaerr</vt:lpstr>
      <vt:lpstr>Hb3Gr!alphaerr</vt:lpstr>
      <vt:lpstr>Scapolite!alphaerr</vt:lpstr>
      <vt:lpstr>'Supplementary Data 3'!alphaerr</vt:lpstr>
      <vt:lpstr>Vertical_variation!alphaerr</vt:lpstr>
      <vt:lpstr>'Halogen Samples (2)'!Ar_Sensitivity</vt:lpstr>
      <vt:lpstr>Scapolite!Ar_Sensitivity</vt:lpstr>
      <vt:lpstr>'Supplementary Data 3'!Ar_Sensitivity</vt:lpstr>
      <vt:lpstr>'Halogen Samples (2)'!Ar_sensitivityerr</vt:lpstr>
      <vt:lpstr>Scapolite!Ar_sensitivityerr</vt:lpstr>
      <vt:lpstr>'Supplementary Data 3'!Ar_sensitivityerr</vt:lpstr>
      <vt:lpstr>'Halogen Samples (2)'!Ar36_ClCor</vt:lpstr>
      <vt:lpstr>Hb3Gr!Ar36_ClCor</vt:lpstr>
      <vt:lpstr>Salts!Ar36_ClCor</vt:lpstr>
      <vt:lpstr>Scapolite!Ar36_ClCor</vt:lpstr>
      <vt:lpstr>'Supplementary Data 3'!Ar36_ClCor</vt:lpstr>
      <vt:lpstr>'Halogen Samples (2)'!Ar36_ClCorerr</vt:lpstr>
      <vt:lpstr>Hb3Gr!Ar36_ClCorerr</vt:lpstr>
      <vt:lpstr>Salts!Ar36_ClCorerr</vt:lpstr>
      <vt:lpstr>Scapolite!Ar36_ClCorerr</vt:lpstr>
      <vt:lpstr>'Supplementary Data 3'!Ar36_ClCorerr</vt:lpstr>
      <vt:lpstr>'Halogen Samples (2)'!Ar36_DC</vt:lpstr>
      <vt:lpstr>Hb3Gr!Ar36_DC</vt:lpstr>
      <vt:lpstr>Salts!Ar36_DC</vt:lpstr>
      <vt:lpstr>Scapolite!Ar36_DC</vt:lpstr>
      <vt:lpstr>'Supplementary Data 3'!Ar36_DC</vt:lpstr>
      <vt:lpstr>'Halogen Samples (2)'!Ar36_DCerr</vt:lpstr>
      <vt:lpstr>Hb3Gr!Ar36_DCerr</vt:lpstr>
      <vt:lpstr>Salts!Ar36_DCerr</vt:lpstr>
      <vt:lpstr>Scapolite!Ar36_DCerr</vt:lpstr>
      <vt:lpstr>'Supplementary Data 3'!Ar36_DCerr</vt:lpstr>
      <vt:lpstr>'Halogen Samples (2)'!Ar36_DecayFactor</vt:lpstr>
      <vt:lpstr>Hb3Gr!Ar36_DecayFactor</vt:lpstr>
      <vt:lpstr>Salts!Ar36_DecayFactor</vt:lpstr>
      <vt:lpstr>Scapolite!Ar36_DecayFactor</vt:lpstr>
      <vt:lpstr>'Supplementary Data 3'!Ar36_DecayFactor</vt:lpstr>
      <vt:lpstr>'Halogen Samples (2)'!Ar36_IC</vt:lpstr>
      <vt:lpstr>Hb3Gr!Ar36_IC</vt:lpstr>
      <vt:lpstr>Salts!Ar36_IC</vt:lpstr>
      <vt:lpstr>Scapolite!Ar36_IC</vt:lpstr>
      <vt:lpstr>'Supplementary Data 3'!Ar36_IC</vt:lpstr>
      <vt:lpstr>'Halogen Samples (2)'!Ar36_ICerr</vt:lpstr>
      <vt:lpstr>Hb3Gr!Ar36_ICerr</vt:lpstr>
      <vt:lpstr>Salts!Ar36_ICerr</vt:lpstr>
      <vt:lpstr>Scapolite!Ar36_ICerr</vt:lpstr>
      <vt:lpstr>'Supplementary Data 3'!Ar36_ICerr</vt:lpstr>
      <vt:lpstr>Salts!Ar3637_Ca</vt:lpstr>
      <vt:lpstr>Salts!Ar3637_Caerr</vt:lpstr>
      <vt:lpstr>'Halogen Samples (2)'!Ar36BC</vt:lpstr>
      <vt:lpstr>Hb3Gr!Ar36BC</vt:lpstr>
      <vt:lpstr>Salts!Ar36BC</vt:lpstr>
      <vt:lpstr>Scapolite!Ar36BC</vt:lpstr>
      <vt:lpstr>'Supplementary Data 3'!Ar36BC</vt:lpstr>
      <vt:lpstr>'Halogen Samples (2)'!Ar36BCerr</vt:lpstr>
      <vt:lpstr>Hb3Gr!Ar36BCerr</vt:lpstr>
      <vt:lpstr>Salts!Ar36BCerr</vt:lpstr>
      <vt:lpstr>Scapolite!Ar36BCerr</vt:lpstr>
      <vt:lpstr>'Supplementary Data 3'!Ar36BCerr</vt:lpstr>
      <vt:lpstr>'Halogen Samples (2)'!Ar36Blank</vt:lpstr>
      <vt:lpstr>Hb3Gr!Ar36Blank</vt:lpstr>
      <vt:lpstr>Salts!Ar36Blank</vt:lpstr>
      <vt:lpstr>Scapolite!Ar36Blank</vt:lpstr>
      <vt:lpstr>'Supplementary Data 3'!Ar36Blank</vt:lpstr>
      <vt:lpstr>'Halogen Samples (2)'!Ar36Blankerr</vt:lpstr>
      <vt:lpstr>Hb3Gr!Ar36Blankerr</vt:lpstr>
      <vt:lpstr>Salts!Ar36Blankerr</vt:lpstr>
      <vt:lpstr>Scapolite!Ar36Blankerr</vt:lpstr>
      <vt:lpstr>'Supplementary Data 3'!Ar36Blankerr</vt:lpstr>
      <vt:lpstr>'Halogen Samples (2)'!Ar36CC</vt:lpstr>
      <vt:lpstr>Scapolite!Ar36CC</vt:lpstr>
      <vt:lpstr>'Supplementary Data 3'!Ar36CC</vt:lpstr>
      <vt:lpstr>'Halogen Samples (2)'!Ar36CCerr</vt:lpstr>
      <vt:lpstr>Scapolite!Ar36CCerr</vt:lpstr>
      <vt:lpstr>'Supplementary Data 3'!Ar36CCerr</vt:lpstr>
      <vt:lpstr>'Halogen Samples (2)'!Ar36Raw</vt:lpstr>
      <vt:lpstr>Hb3Gr!Ar36Raw</vt:lpstr>
      <vt:lpstr>Salts!Ar36Raw</vt:lpstr>
      <vt:lpstr>Scapolite!Ar36Raw</vt:lpstr>
      <vt:lpstr>'Supplementary Data 3'!Ar36Raw</vt:lpstr>
      <vt:lpstr>'Halogen Samples (2)'!Ar36Rawerr</vt:lpstr>
      <vt:lpstr>Hb3Gr!Ar36Rawerr</vt:lpstr>
      <vt:lpstr>Salts!Ar36Rawerr</vt:lpstr>
      <vt:lpstr>Scapolite!Ar36Rawerr</vt:lpstr>
      <vt:lpstr>'Supplementary Data 3'!Ar36Rawerr</vt:lpstr>
      <vt:lpstr>'Halogen Samples (2)'!Ar37_DC</vt:lpstr>
      <vt:lpstr>Hb3Gr!Ar37_DC</vt:lpstr>
      <vt:lpstr>Salts!Ar37_DC</vt:lpstr>
      <vt:lpstr>Scapolite!Ar37_DC</vt:lpstr>
      <vt:lpstr>'Supplementary Data 3'!Ar37_DC</vt:lpstr>
      <vt:lpstr>'Halogen Samples (2)'!Ar37_DCerr</vt:lpstr>
      <vt:lpstr>Hb3Gr!Ar37_DCerr</vt:lpstr>
      <vt:lpstr>Salts!Ar37_DCerr</vt:lpstr>
      <vt:lpstr>Scapolite!Ar37_DCerr</vt:lpstr>
      <vt:lpstr>'Supplementary Data 3'!Ar37_DCerr</vt:lpstr>
      <vt:lpstr>'Halogen Samples (2)'!Ar37_DecayCor</vt:lpstr>
      <vt:lpstr>Hb3Gr!Ar37_DecayCor</vt:lpstr>
      <vt:lpstr>Salts!Ar37_DecayCor</vt:lpstr>
      <vt:lpstr>Scapolite!Ar37_DecayCor</vt:lpstr>
      <vt:lpstr>'Supplementary Data 3'!Ar37_DecayCor</vt:lpstr>
      <vt:lpstr>'Halogen Samples (2)'!Ar37_DecayCorerr</vt:lpstr>
      <vt:lpstr>Hb3Gr!Ar37_DecayCorerr</vt:lpstr>
      <vt:lpstr>Salts!Ar37_DecayCorerr</vt:lpstr>
      <vt:lpstr>Scapolite!Ar37_DecayCorerr</vt:lpstr>
      <vt:lpstr>'Supplementary Data 3'!Ar37_DecayCorerr</vt:lpstr>
      <vt:lpstr>'Halogen Samples (2)'!Ar37_DecayFactor</vt:lpstr>
      <vt:lpstr>Hb3Gr!Ar37_DecayFactor</vt:lpstr>
      <vt:lpstr>Salts!Ar37_DecayFactor</vt:lpstr>
      <vt:lpstr>Scapolite!Ar37_DecayFactor</vt:lpstr>
      <vt:lpstr>'Supplementary Data 3'!Ar37_DecayFactor</vt:lpstr>
      <vt:lpstr>Hb3Gr!Ar37Ar39</vt:lpstr>
      <vt:lpstr>Hb3Gr!Ar37Ar39err</vt:lpstr>
      <vt:lpstr>'Halogen Samples (2)'!Ar37BC</vt:lpstr>
      <vt:lpstr>Hb3Gr!Ar37BC</vt:lpstr>
      <vt:lpstr>Salts!Ar37BC</vt:lpstr>
      <vt:lpstr>Scapolite!Ar37BC</vt:lpstr>
      <vt:lpstr>'Supplementary Data 3'!Ar37BC</vt:lpstr>
      <vt:lpstr>'Halogen Samples (2)'!Ar37BCerr</vt:lpstr>
      <vt:lpstr>Hb3Gr!Ar37BCerr</vt:lpstr>
      <vt:lpstr>Salts!Ar37BCerr</vt:lpstr>
      <vt:lpstr>Scapolite!Ar37BCerr</vt:lpstr>
      <vt:lpstr>'Supplementary Data 3'!Ar37BCerr</vt:lpstr>
      <vt:lpstr>'Halogen Samples (2)'!Ar37Blank</vt:lpstr>
      <vt:lpstr>Hb3Gr!Ar37Blank</vt:lpstr>
      <vt:lpstr>Salts!Ar37Blank</vt:lpstr>
      <vt:lpstr>Scapolite!Ar37Blank</vt:lpstr>
      <vt:lpstr>'Supplementary Data 3'!Ar37Blank</vt:lpstr>
      <vt:lpstr>'Halogen Samples (2)'!Ar37Blankerr</vt:lpstr>
      <vt:lpstr>Hb3Gr!Ar37Blankerr</vt:lpstr>
      <vt:lpstr>Salts!Ar37Blankerr</vt:lpstr>
      <vt:lpstr>Scapolite!Ar37Blankerr</vt:lpstr>
      <vt:lpstr>'Supplementary Data 3'!Ar37Blankerr</vt:lpstr>
      <vt:lpstr>'Halogen Samples (2)'!Ar37CC</vt:lpstr>
      <vt:lpstr>Scapolite!Ar37CC</vt:lpstr>
      <vt:lpstr>'Supplementary Data 3'!Ar37CC</vt:lpstr>
      <vt:lpstr>'Halogen Samples (2)'!Ar37CCerr</vt:lpstr>
      <vt:lpstr>Scapolite!Ar37CCerr</vt:lpstr>
      <vt:lpstr>'Supplementary Data 3'!Ar37CCerr</vt:lpstr>
      <vt:lpstr>'Halogen Samples (2)'!Ar37Raw</vt:lpstr>
      <vt:lpstr>Hb3Gr!Ar37Raw</vt:lpstr>
      <vt:lpstr>Salts!Ar37Raw</vt:lpstr>
      <vt:lpstr>Scapolite!Ar37Raw</vt:lpstr>
      <vt:lpstr>'Supplementary Data 3'!Ar37Raw</vt:lpstr>
      <vt:lpstr>'Halogen Samples (2)'!Ar37Rawerr</vt:lpstr>
      <vt:lpstr>Hb3Gr!Ar37Rawerr</vt:lpstr>
      <vt:lpstr>Salts!Ar37Rawerr</vt:lpstr>
      <vt:lpstr>Scapolite!Ar37Rawerr</vt:lpstr>
      <vt:lpstr>'Supplementary Data 3'!Ar37Rawerr</vt:lpstr>
      <vt:lpstr>'Halogen Samples (2)'!Ar38_Cl</vt:lpstr>
      <vt:lpstr>Hb3Gr!Ar38_Cl</vt:lpstr>
      <vt:lpstr>Salts!Ar38_Cl</vt:lpstr>
      <vt:lpstr>Scapolite!Ar38_Cl</vt:lpstr>
      <vt:lpstr>'Supplementary Data 3'!Ar38_Cl</vt:lpstr>
      <vt:lpstr>'Halogen Samples (2)'!Ar38_Clerr</vt:lpstr>
      <vt:lpstr>Hb3Gr!Ar38_Clerr</vt:lpstr>
      <vt:lpstr>Salts!Ar38_Clerr</vt:lpstr>
      <vt:lpstr>Scapolite!Ar38_Clerr</vt:lpstr>
      <vt:lpstr>'Supplementary Data 3'!Ar38_Clerr</vt:lpstr>
      <vt:lpstr>'Halogen Samples (2)'!Ar38_DC</vt:lpstr>
      <vt:lpstr>Hb3Gr!Ar38_DC</vt:lpstr>
      <vt:lpstr>Salts!Ar38_DC</vt:lpstr>
      <vt:lpstr>Scapolite!Ar38_DC</vt:lpstr>
      <vt:lpstr>'Supplementary Data 3'!Ar38_DC</vt:lpstr>
      <vt:lpstr>'Halogen Samples (2)'!Ar38_DCerr</vt:lpstr>
      <vt:lpstr>Hb3Gr!Ar38_DCerr</vt:lpstr>
      <vt:lpstr>Salts!Ar38_DCerr</vt:lpstr>
      <vt:lpstr>Scapolite!Ar38_DCerr</vt:lpstr>
      <vt:lpstr>'Supplementary Data 3'!Ar38_DCerr</vt:lpstr>
      <vt:lpstr>'Halogen Samples (2)'!Ar38_IC</vt:lpstr>
      <vt:lpstr>Hb3Gr!Ar38_IC</vt:lpstr>
      <vt:lpstr>Salts!Ar38_IC</vt:lpstr>
      <vt:lpstr>Scapolite!Ar38_IC</vt:lpstr>
      <vt:lpstr>'Supplementary Data 3'!Ar38_IC</vt:lpstr>
      <vt:lpstr>'Halogen Samples (2)'!Ar38_ICerr</vt:lpstr>
      <vt:lpstr>Hb3Gr!Ar38_ICerr</vt:lpstr>
      <vt:lpstr>Salts!Ar38_ICerr</vt:lpstr>
      <vt:lpstr>Scapolite!Ar38_ICerr</vt:lpstr>
      <vt:lpstr>'Supplementary Data 3'!Ar38_ICerr</vt:lpstr>
      <vt:lpstr>'Halogen Samples (2)'!Ar38_mole</vt:lpstr>
      <vt:lpstr>Scapolite!Ar38_mole</vt:lpstr>
      <vt:lpstr>'Supplementary Data 3'!Ar38_mole</vt:lpstr>
      <vt:lpstr>'Halogen Samples (2)'!Ar38_moleerr</vt:lpstr>
      <vt:lpstr>Scapolite!Ar38_moleerr</vt:lpstr>
      <vt:lpstr>'Supplementary Data 3'!Ar38_moleerr</vt:lpstr>
      <vt:lpstr>Ar3836_Air</vt:lpstr>
      <vt:lpstr>Ar3836_airerr</vt:lpstr>
      <vt:lpstr>Salts!Ar3839_K</vt:lpstr>
      <vt:lpstr>Ar3839_Kerr</vt:lpstr>
      <vt:lpstr>Hb3Gr!Ar38Ar39</vt:lpstr>
      <vt:lpstr>Hb3Gr!Ar38Ar39err</vt:lpstr>
      <vt:lpstr>'Halogen Samples (2)'!Ar38BC</vt:lpstr>
      <vt:lpstr>Hb3Gr!Ar38BC</vt:lpstr>
      <vt:lpstr>Salts!Ar38BC</vt:lpstr>
      <vt:lpstr>Scapolite!Ar38BC</vt:lpstr>
      <vt:lpstr>'Supplementary Data 3'!Ar38BC</vt:lpstr>
      <vt:lpstr>'Halogen Samples (2)'!Ar38BCerr</vt:lpstr>
      <vt:lpstr>Hb3Gr!Ar38BCerr</vt:lpstr>
      <vt:lpstr>Salts!Ar38BCerr</vt:lpstr>
      <vt:lpstr>Scapolite!Ar38BCerr</vt:lpstr>
      <vt:lpstr>'Supplementary Data 3'!Ar38BCerr</vt:lpstr>
      <vt:lpstr>'Halogen Samples (2)'!Ar38Blank</vt:lpstr>
      <vt:lpstr>Hb3Gr!Ar38Blank</vt:lpstr>
      <vt:lpstr>Salts!Ar38Blank</vt:lpstr>
      <vt:lpstr>Scapolite!Ar38Blank</vt:lpstr>
      <vt:lpstr>'Supplementary Data 3'!Ar38Blank</vt:lpstr>
      <vt:lpstr>'Halogen Samples (2)'!Ar38Blankerr</vt:lpstr>
      <vt:lpstr>Hb3Gr!Ar38Blankerr</vt:lpstr>
      <vt:lpstr>Salts!Ar38Blankerr</vt:lpstr>
      <vt:lpstr>Scapolite!Ar38Blankerr</vt:lpstr>
      <vt:lpstr>'Supplementary Data 3'!Ar38Blankerr</vt:lpstr>
      <vt:lpstr>'Halogen Samples (2)'!Ar38CC</vt:lpstr>
      <vt:lpstr>Scapolite!Ar38CC</vt:lpstr>
      <vt:lpstr>'Supplementary Data 3'!Ar38CC</vt:lpstr>
      <vt:lpstr>'Halogen Samples (2)'!Ar38CCerr</vt:lpstr>
      <vt:lpstr>Scapolite!Ar38CCerr</vt:lpstr>
      <vt:lpstr>'Supplementary Data 3'!Ar38CCerr</vt:lpstr>
      <vt:lpstr>'Halogen Samples (2)'!Ar38Raw</vt:lpstr>
      <vt:lpstr>Hb3Gr!Ar38Raw</vt:lpstr>
      <vt:lpstr>Salts!Ar38Raw</vt:lpstr>
      <vt:lpstr>Scapolite!Ar38Raw</vt:lpstr>
      <vt:lpstr>'Supplementary Data 3'!Ar38Raw</vt:lpstr>
      <vt:lpstr>'Halogen Samples (2)'!Ar38Rawerr</vt:lpstr>
      <vt:lpstr>Hb3Gr!Ar38Rawerr</vt:lpstr>
      <vt:lpstr>Salts!Ar38Rawerr</vt:lpstr>
      <vt:lpstr>Scapolite!Ar38Rawerr</vt:lpstr>
      <vt:lpstr>'Supplementary Data 3'!Ar38Rawerr</vt:lpstr>
      <vt:lpstr>'Halogen Samples (2)'!Ar39_DC</vt:lpstr>
      <vt:lpstr>Hb3Gr!Ar39_DC</vt:lpstr>
      <vt:lpstr>Salts!Ar39_DC</vt:lpstr>
      <vt:lpstr>Scapolite!Ar39_DC</vt:lpstr>
      <vt:lpstr>'Supplementary Data 3'!Ar39_DC</vt:lpstr>
      <vt:lpstr>'Halogen Samples (2)'!Ar39_DCerr</vt:lpstr>
      <vt:lpstr>Hb3Gr!Ar39_DCerr</vt:lpstr>
      <vt:lpstr>Salts!Ar39_DCerr</vt:lpstr>
      <vt:lpstr>Scapolite!Ar39_DCerr</vt:lpstr>
      <vt:lpstr>'Supplementary Data 3'!Ar39_DCerr</vt:lpstr>
      <vt:lpstr>'Halogen Samples (2)'!Ar39_DecayCor</vt:lpstr>
      <vt:lpstr>Hb3Gr!Ar39_DecayCor</vt:lpstr>
      <vt:lpstr>Salts!Ar39_DecayCor</vt:lpstr>
      <vt:lpstr>Scapolite!Ar39_DecayCor</vt:lpstr>
      <vt:lpstr>'Supplementary Data 3'!Ar39_DecayCor</vt:lpstr>
      <vt:lpstr>'Halogen Samples (2)'!Ar39_DecayCorerr</vt:lpstr>
      <vt:lpstr>Hb3Gr!Ar39_DecayCorerr</vt:lpstr>
      <vt:lpstr>Salts!Ar39_DecayCorerr</vt:lpstr>
      <vt:lpstr>Scapolite!Ar39_DecayCorerr</vt:lpstr>
      <vt:lpstr>'Supplementary Data 3'!Ar39_DecayCorerr</vt:lpstr>
      <vt:lpstr>'Halogen Samples (2)'!Ar39_DecayFactor</vt:lpstr>
      <vt:lpstr>Hb3Gr!Ar39_DecayFactor</vt:lpstr>
      <vt:lpstr>Salts!Ar39_DecayFactor</vt:lpstr>
      <vt:lpstr>Scapolite!Ar39_DecayFactor</vt:lpstr>
      <vt:lpstr>'Supplementary Data 3'!Ar39_DecayFactor</vt:lpstr>
      <vt:lpstr>'Halogen Samples (2)'!Ar39_IC</vt:lpstr>
      <vt:lpstr>Hb3Gr!Ar39_IC</vt:lpstr>
      <vt:lpstr>Salts!Ar39_IC</vt:lpstr>
      <vt:lpstr>Scapolite!Ar39_IC</vt:lpstr>
      <vt:lpstr>'Supplementary Data 3'!Ar39_IC</vt:lpstr>
      <vt:lpstr>'Halogen Samples (2)'!Ar39_ICerr</vt:lpstr>
      <vt:lpstr>Hb3Gr!Ar39_ICerr</vt:lpstr>
      <vt:lpstr>Salts!Ar39_ICerr</vt:lpstr>
      <vt:lpstr>Scapolite!Ar39_ICerr</vt:lpstr>
      <vt:lpstr>'Supplementary Data 3'!Ar39_ICerr</vt:lpstr>
      <vt:lpstr>Salts!Ar3937_Ca</vt:lpstr>
      <vt:lpstr>Salts!Ar3937_Caerr</vt:lpstr>
      <vt:lpstr>'Halogen Samples (2)'!Ar39BC</vt:lpstr>
      <vt:lpstr>Hb3Gr!Ar39BC</vt:lpstr>
      <vt:lpstr>Salts!Ar39BC</vt:lpstr>
      <vt:lpstr>Scapolite!Ar39BC</vt:lpstr>
      <vt:lpstr>'Supplementary Data 3'!Ar39BC</vt:lpstr>
      <vt:lpstr>'Halogen Samples (2)'!Ar39BCerr</vt:lpstr>
      <vt:lpstr>Hb3Gr!Ar39BCerr</vt:lpstr>
      <vt:lpstr>Salts!Ar39BCerr</vt:lpstr>
      <vt:lpstr>Scapolite!Ar39BCerr</vt:lpstr>
      <vt:lpstr>'Supplementary Data 3'!Ar39BCerr</vt:lpstr>
      <vt:lpstr>'Halogen Samples (2)'!Ar39Blank</vt:lpstr>
      <vt:lpstr>Hb3Gr!Ar39Blank</vt:lpstr>
      <vt:lpstr>Salts!Ar39Blank</vt:lpstr>
      <vt:lpstr>Scapolite!Ar39Blank</vt:lpstr>
      <vt:lpstr>'Supplementary Data 3'!Ar39Blank</vt:lpstr>
      <vt:lpstr>'Halogen Samples (2)'!Ar39Blankerr</vt:lpstr>
      <vt:lpstr>Hb3Gr!Ar39Blankerr</vt:lpstr>
      <vt:lpstr>Salts!Ar39Blankerr</vt:lpstr>
      <vt:lpstr>Scapolite!Ar39Blankerr</vt:lpstr>
      <vt:lpstr>'Supplementary Data 3'!Ar39Blankerr</vt:lpstr>
      <vt:lpstr>'Halogen Samples (2)'!Ar39CC</vt:lpstr>
      <vt:lpstr>Scapolite!Ar39CC</vt:lpstr>
      <vt:lpstr>'Supplementary Data 3'!Ar39CC</vt:lpstr>
      <vt:lpstr>'Halogen Samples (2)'!Ar39ccerr</vt:lpstr>
      <vt:lpstr>Scapolite!Ar39ccerr</vt:lpstr>
      <vt:lpstr>'Supplementary Data 3'!Ar39ccerr</vt:lpstr>
      <vt:lpstr>'Halogen Samples (2)'!Ar39Raw</vt:lpstr>
      <vt:lpstr>Hb3Gr!Ar39Raw</vt:lpstr>
      <vt:lpstr>Salts!Ar39Raw</vt:lpstr>
      <vt:lpstr>Scapolite!Ar39Raw</vt:lpstr>
      <vt:lpstr>'Supplementary Data 3'!Ar39Raw</vt:lpstr>
      <vt:lpstr>'Halogen Samples (2)'!Ar39Rawerr</vt:lpstr>
      <vt:lpstr>Hb3Gr!Ar39Rawerr</vt:lpstr>
      <vt:lpstr>Salts!Ar39Rawerr</vt:lpstr>
      <vt:lpstr>Scapolite!Ar39Rawerr</vt:lpstr>
      <vt:lpstr>'Supplementary Data 3'!Ar39Rawerr</vt:lpstr>
      <vt:lpstr>'Halogen Samples (2)'!Ar40_IC</vt:lpstr>
      <vt:lpstr>Hb3Gr!Ar40_IC</vt:lpstr>
      <vt:lpstr>Salts!Ar40_IC</vt:lpstr>
      <vt:lpstr>Scapolite!Ar40_IC</vt:lpstr>
      <vt:lpstr>'Supplementary Data 3'!Ar40_IC</vt:lpstr>
      <vt:lpstr>'Halogen Samples (2)'!Ar40_ICerr</vt:lpstr>
      <vt:lpstr>Hb3Gr!Ar40_ICerr</vt:lpstr>
      <vt:lpstr>Salts!Ar40_ICerr</vt:lpstr>
      <vt:lpstr>Scapolite!Ar40_ICerr</vt:lpstr>
      <vt:lpstr>'Supplementary Data 3'!Ar40_ICerr</vt:lpstr>
      <vt:lpstr>'Halogen Samples (2)'!Ar40_mole</vt:lpstr>
      <vt:lpstr>Scapolite!Ar40_mole</vt:lpstr>
      <vt:lpstr>'Supplementary Data 3'!Ar40_mole</vt:lpstr>
      <vt:lpstr>'Halogen Samples (2)'!Ar40_moleerr</vt:lpstr>
      <vt:lpstr>Scapolite!Ar40_moleerr</vt:lpstr>
      <vt:lpstr>'Supplementary Data 3'!Ar40_moleerr</vt:lpstr>
      <vt:lpstr>Ar4036_Air</vt:lpstr>
      <vt:lpstr>'Halogen Samples (2)'!Ar4036_Aircal</vt:lpstr>
      <vt:lpstr>Hb3Gr!Ar4036_Aircal</vt:lpstr>
      <vt:lpstr>Salts!Ar4036_Aircal</vt:lpstr>
      <vt:lpstr>Scapolite!Ar4036_Aircal</vt:lpstr>
      <vt:lpstr>'Supplementary Data 3'!Ar4036_Aircal</vt:lpstr>
      <vt:lpstr>'Halogen Samples (2)'!Ar4036_Aircalerr</vt:lpstr>
      <vt:lpstr>Hb3Gr!Ar4036_Aircalerr</vt:lpstr>
      <vt:lpstr>Salts!Ar4036_Aircalerr</vt:lpstr>
      <vt:lpstr>Scapolite!Ar4036_Aircalerr</vt:lpstr>
      <vt:lpstr>'Supplementary Data 3'!Ar4036_Aircalerr</vt:lpstr>
      <vt:lpstr>Ar4036_airerr</vt:lpstr>
      <vt:lpstr>Salts!Ar4039_K</vt:lpstr>
      <vt:lpstr>Salts!Ar4039_Kerr</vt:lpstr>
      <vt:lpstr>'Halogen Samples (2)'!Ar40AC</vt:lpstr>
      <vt:lpstr>Hb3Gr!Ar40AC</vt:lpstr>
      <vt:lpstr>Salts!Ar40AC</vt:lpstr>
      <vt:lpstr>Scapolite!Ar40AC</vt:lpstr>
      <vt:lpstr>'Supplementary Data 3'!Ar40AC</vt:lpstr>
      <vt:lpstr>'Halogen Samples (2)'!Ar40ACerr</vt:lpstr>
      <vt:lpstr>Hb3Gr!Ar40ACerr</vt:lpstr>
      <vt:lpstr>Salts!Ar40ACerr</vt:lpstr>
      <vt:lpstr>Scapolite!Ar40ACerr</vt:lpstr>
      <vt:lpstr>'Supplementary Data 3'!Ar40ACerr</vt:lpstr>
      <vt:lpstr>'Halogen Samples (2)'!Ar40Ar39</vt:lpstr>
      <vt:lpstr>Hb3Gr!Ar40Ar39</vt:lpstr>
      <vt:lpstr>Scapolite!Ar40Ar39</vt:lpstr>
      <vt:lpstr>'Supplementary Data 3'!Ar40Ar39</vt:lpstr>
      <vt:lpstr>Vertical_variation!Ar40Ar39</vt:lpstr>
      <vt:lpstr>'Halogen Samples (2)'!Ar40Ar39err</vt:lpstr>
      <vt:lpstr>Hb3Gr!Ar40Ar39err</vt:lpstr>
      <vt:lpstr>Scapolite!Ar40Ar39err</vt:lpstr>
      <vt:lpstr>'Supplementary Data 3'!Ar40Ar39err</vt:lpstr>
      <vt:lpstr>Vertical_variation!Ar40Ar39err</vt:lpstr>
      <vt:lpstr>'Halogen Samples (2)'!Ar40BC</vt:lpstr>
      <vt:lpstr>Hb3Gr!Ar40BC</vt:lpstr>
      <vt:lpstr>Salts!Ar40BC</vt:lpstr>
      <vt:lpstr>Scapolite!Ar40BC</vt:lpstr>
      <vt:lpstr>'Supplementary Data 3'!Ar40BC</vt:lpstr>
      <vt:lpstr>'Halogen Samples (2)'!Ar40BCerr</vt:lpstr>
      <vt:lpstr>Hb3Gr!Ar40BCerr</vt:lpstr>
      <vt:lpstr>Salts!Ar40BCerr</vt:lpstr>
      <vt:lpstr>Scapolite!Ar40BCerr</vt:lpstr>
      <vt:lpstr>'Supplementary Data 3'!Ar40BCerr</vt:lpstr>
      <vt:lpstr>'Halogen Samples (2)'!Ar40Blank</vt:lpstr>
      <vt:lpstr>Hb3Gr!Ar40Blank</vt:lpstr>
      <vt:lpstr>Salts!Ar40Blank</vt:lpstr>
      <vt:lpstr>Scapolite!Ar40Blank</vt:lpstr>
      <vt:lpstr>'Supplementary Data 3'!Ar40Blank</vt:lpstr>
      <vt:lpstr>'Halogen Samples (2)'!Ar40Blankerr</vt:lpstr>
      <vt:lpstr>Hb3Gr!Ar40Blankerr</vt:lpstr>
      <vt:lpstr>Salts!Ar40Blankerr</vt:lpstr>
      <vt:lpstr>Scapolite!Ar40Blankerr</vt:lpstr>
      <vt:lpstr>'Supplementary Data 3'!Ar40Blankerr</vt:lpstr>
      <vt:lpstr>'Halogen Samples (2)'!Ar40CC</vt:lpstr>
      <vt:lpstr>Scapolite!Ar40CC</vt:lpstr>
      <vt:lpstr>'Supplementary Data 3'!Ar40CC</vt:lpstr>
      <vt:lpstr>'Halogen Samples (2)'!Ar40CCerrr</vt:lpstr>
      <vt:lpstr>Scapolite!Ar40CCerrr</vt:lpstr>
      <vt:lpstr>'Supplementary Data 3'!Ar40CCerrr</vt:lpstr>
      <vt:lpstr>'Halogen Samples (2)'!Ar40Cl_mol</vt:lpstr>
      <vt:lpstr>Scapolite!Ar40Cl_mol</vt:lpstr>
      <vt:lpstr>'Supplementary Data 3'!Ar40Cl_mol</vt:lpstr>
      <vt:lpstr>Scapolite!Ar40Cl_molerr</vt:lpstr>
      <vt:lpstr>'Halogen Samples (2)'!Ar40K</vt:lpstr>
      <vt:lpstr>Scapolite!Ar40K</vt:lpstr>
      <vt:lpstr>'Supplementary Data 3'!Ar40K</vt:lpstr>
      <vt:lpstr>'Halogen Samples (2)'!Ar40Raw</vt:lpstr>
      <vt:lpstr>Hb3Gr!Ar40Raw</vt:lpstr>
      <vt:lpstr>Salts!Ar40Raw</vt:lpstr>
      <vt:lpstr>Scapolite!Ar40Raw</vt:lpstr>
      <vt:lpstr>'Supplementary Data 3'!Ar40Raw</vt:lpstr>
      <vt:lpstr>'Halogen Samples (2)'!Ar40Rawerr</vt:lpstr>
      <vt:lpstr>Hb3Gr!Ar40Rawerr</vt:lpstr>
      <vt:lpstr>Salts!Ar40Rawerr</vt:lpstr>
      <vt:lpstr>Scapolite!Ar40Rawerr</vt:lpstr>
      <vt:lpstr>'Supplementary Data 3'!Ar40Rawerr</vt:lpstr>
      <vt:lpstr>'Halogen Samples (2)'!Ba_Factor</vt:lpstr>
      <vt:lpstr>Shallowater!Ba_Factor</vt:lpstr>
      <vt:lpstr>'Supplementary Data 3'!Ba_Factor</vt:lpstr>
      <vt:lpstr>'Halogen Samples (2)'!Ba_Factorerr</vt:lpstr>
      <vt:lpstr>Shallowater!Ba_Factorerr</vt:lpstr>
      <vt:lpstr>'Supplementary Data 3'!Ba_Factorerr</vt:lpstr>
      <vt:lpstr>'Halogen Samples (2)'!Ba_FactorSW</vt:lpstr>
      <vt:lpstr>Scapolite!Ba_FactorSW</vt:lpstr>
      <vt:lpstr>'Supplementary Data 3'!Ba_FactorSW</vt:lpstr>
      <vt:lpstr>'Halogen Samples (2)'!Ba_FactorSWerr</vt:lpstr>
      <vt:lpstr>Scapolite!Ba_FactorSWerr</vt:lpstr>
      <vt:lpstr>'Supplementary Data 3'!Ba_FactorSWerr</vt:lpstr>
      <vt:lpstr>'Halogen Samples (2)'!Ba_mole</vt:lpstr>
      <vt:lpstr>Scapolite!Ba_mole</vt:lpstr>
      <vt:lpstr>'Supplementary Data 3'!Ba_mole</vt:lpstr>
      <vt:lpstr>'Halogen Samples (2)'!Ba_moleBF</vt:lpstr>
      <vt:lpstr>'Supplementary Data 3'!Ba_moleBF</vt:lpstr>
      <vt:lpstr>'Halogen Samples (2)'!Ba_moleBFerr</vt:lpstr>
      <vt:lpstr>'Supplementary Data 3'!Ba_moleBFerr</vt:lpstr>
      <vt:lpstr>'Halogen Samples (2)'!Ba_moleerr</vt:lpstr>
      <vt:lpstr>Scapolite!Ba_moleerr</vt:lpstr>
      <vt:lpstr>'Supplementary Data 3'!Ba_moleerr</vt:lpstr>
      <vt:lpstr>'Halogen Samples (2)'!Ba_ppm</vt:lpstr>
      <vt:lpstr>Scapolite!Ba_ppm</vt:lpstr>
      <vt:lpstr>'Supplementary Data 3'!Ba_ppm</vt:lpstr>
      <vt:lpstr>'Halogen Samples (2)'!Ba_ppmBF</vt:lpstr>
      <vt:lpstr>'Supplementary Data 3'!Ba_ppmBF</vt:lpstr>
      <vt:lpstr>'Halogen Samples (2)'!Ba_ppmBFerr</vt:lpstr>
      <vt:lpstr>'Supplementary Data 3'!Ba_ppmBFerr</vt:lpstr>
      <vt:lpstr>'Halogen Samples (2)'!Ba_ppmerr</vt:lpstr>
      <vt:lpstr>Scapolite!Ba_ppmerr</vt:lpstr>
      <vt:lpstr>'Supplementary Data 3'!Ba_ppmerr</vt:lpstr>
      <vt:lpstr>Ba130_Abun</vt:lpstr>
      <vt:lpstr>Ba130_Abunerr</vt:lpstr>
      <vt:lpstr>Shallowater!Ba130_ETh</vt:lpstr>
      <vt:lpstr>Shallowater!Ba130_ETherr</vt:lpstr>
      <vt:lpstr>Shallowater!Ba130_Th</vt:lpstr>
      <vt:lpstr>Shallowater!Ba130_Therr</vt:lpstr>
      <vt:lpstr>BB1_Br</vt:lpstr>
      <vt:lpstr>BB1_BrCl</vt:lpstr>
      <vt:lpstr>BB1_BrClerr</vt:lpstr>
      <vt:lpstr>BB1_Brerr</vt:lpstr>
      <vt:lpstr>BB1_Ca</vt:lpstr>
      <vt:lpstr>BB1_Caerr</vt:lpstr>
      <vt:lpstr>BB1_Cl</vt:lpstr>
      <vt:lpstr>BB1_Clerr</vt:lpstr>
      <vt:lpstr>BB1_I</vt:lpstr>
      <vt:lpstr>BB1_ICl</vt:lpstr>
      <vt:lpstr>BB1_IClerr</vt:lpstr>
      <vt:lpstr>BB1_Ierr</vt:lpstr>
      <vt:lpstr>BB1_K</vt:lpstr>
      <vt:lpstr>BB1_KCa</vt:lpstr>
      <vt:lpstr>BB1_KCaerr</vt:lpstr>
      <vt:lpstr>BB1_KCl</vt:lpstr>
      <vt:lpstr>BB1_KClerr</vt:lpstr>
      <vt:lpstr>BB1_Kerr</vt:lpstr>
      <vt:lpstr>BB2__SP_KCa</vt:lpstr>
      <vt:lpstr>BB2__SP_KCaerr</vt:lpstr>
      <vt:lpstr>BB2_SP_Br</vt:lpstr>
      <vt:lpstr>BB2_SP_BrCl</vt:lpstr>
      <vt:lpstr>BB2_SP_BrClerr</vt:lpstr>
      <vt:lpstr>BB2_SP_Brerr</vt:lpstr>
      <vt:lpstr>BB2_SP_Ca</vt:lpstr>
      <vt:lpstr>BB2_SP_Caerr</vt:lpstr>
      <vt:lpstr>BB2_SP_Cl</vt:lpstr>
      <vt:lpstr>BB2_SP_Clerr</vt:lpstr>
      <vt:lpstr>BB2_SP_I</vt:lpstr>
      <vt:lpstr>BB2_SP_ICl</vt:lpstr>
      <vt:lpstr>BB2_SP_IClerr</vt:lpstr>
      <vt:lpstr>BB2_SP_Ierr</vt:lpstr>
      <vt:lpstr>BB2_SP_K</vt:lpstr>
      <vt:lpstr>BB2_SP_KCl</vt:lpstr>
      <vt:lpstr>BB2_SP_KClerr</vt:lpstr>
      <vt:lpstr>BB2_SP_Kerr</vt:lpstr>
      <vt:lpstr>'Halogen Samples (2)'!Beta</vt:lpstr>
      <vt:lpstr>Hb3Gr!Beta</vt:lpstr>
      <vt:lpstr>Scapolite!Beta</vt:lpstr>
      <vt:lpstr>'Supplementary Data 3'!Beta</vt:lpstr>
      <vt:lpstr>Vertical_variation!Beta</vt:lpstr>
      <vt:lpstr>'Halogen Samples (2)'!Betaerr</vt:lpstr>
      <vt:lpstr>Hb3Gr!Betaerr</vt:lpstr>
      <vt:lpstr>Scapolite!Betaerr</vt:lpstr>
      <vt:lpstr>'Supplementary Data 3'!Betaerr</vt:lpstr>
      <vt:lpstr>Vertical_variation!Betaerr</vt:lpstr>
      <vt:lpstr>Br79_Abun</vt:lpstr>
      <vt:lpstr>Br79_Abunerr</vt:lpstr>
      <vt:lpstr>Scapolite!Br79_Cl_meas</vt:lpstr>
      <vt:lpstr>Scapolite!Br79_Cl_measerr</vt:lpstr>
      <vt:lpstr>Br79_Constant</vt:lpstr>
      <vt:lpstr>Br79_Constanterr</vt:lpstr>
      <vt:lpstr>Shallowater!Br79_ETh</vt:lpstr>
      <vt:lpstr>Shallowater!Br79_ETherr</vt:lpstr>
      <vt:lpstr>Scapolite!Br79_Factor</vt:lpstr>
      <vt:lpstr>Shallowater!Br79_Factor</vt:lpstr>
      <vt:lpstr>Scapolite!Br79_Factorerr</vt:lpstr>
      <vt:lpstr>Shallowater!Br79_Factorerr</vt:lpstr>
      <vt:lpstr>'Halogen Samples (2)'!Br79_FactorSW</vt:lpstr>
      <vt:lpstr>Scapolite!Br79_FactorSW</vt:lpstr>
      <vt:lpstr>'Supplementary Data 3'!Br79_FactorSW</vt:lpstr>
      <vt:lpstr>Scapolite!Br79_ppm</vt:lpstr>
      <vt:lpstr>Scapolite!Br79_ppmerr</vt:lpstr>
      <vt:lpstr>Scapolite!Br79_Prod</vt:lpstr>
      <vt:lpstr>Scapolite!Br79_Proderr</vt:lpstr>
      <vt:lpstr>Shallowater!Br79_Th</vt:lpstr>
      <vt:lpstr>Shallowater!Br79_Therr</vt:lpstr>
      <vt:lpstr>'Halogen Samples (2)'!Br79Factor_SWerr</vt:lpstr>
      <vt:lpstr>Scapolite!Br79Factor_SWerr</vt:lpstr>
      <vt:lpstr>'Supplementary Data 3'!Br79Factor_SWerr</vt:lpstr>
      <vt:lpstr>'Halogen Samples (2)'!Br79mole_SC</vt:lpstr>
      <vt:lpstr>'Supplementary Data 3'!Br79mole_SC</vt:lpstr>
      <vt:lpstr>'Halogen Samples (2)'!Br79mole_SCerr</vt:lpstr>
      <vt:lpstr>'Supplementary Data 3'!Br79mole_SCerr</vt:lpstr>
      <vt:lpstr>'Halogen Samples (2)'!Br79ppb_SC</vt:lpstr>
      <vt:lpstr>'Supplementary Data 3'!Br79ppb_SC</vt:lpstr>
      <vt:lpstr>'Halogen Samples (2)'!Br79ppb_SCerr</vt:lpstr>
      <vt:lpstr>'Supplementary Data 3'!Br79ppb_SCerr</vt:lpstr>
      <vt:lpstr>'Halogen Samples (2)'!Br79ppb_SW</vt:lpstr>
      <vt:lpstr>'Supplementary Data 3'!Br79ppb_SW</vt:lpstr>
      <vt:lpstr>'Halogen Samples (2)'!Br79ppb_SWerr</vt:lpstr>
      <vt:lpstr>'Supplementary Data 3'!Br79ppb_SWerr</vt:lpstr>
      <vt:lpstr>Br81_Abun</vt:lpstr>
      <vt:lpstr>Br81_Abunerr</vt:lpstr>
      <vt:lpstr>Scapolite!Br81_Cl_meas</vt:lpstr>
      <vt:lpstr>Scapolite!Br81_Cl_measerr</vt:lpstr>
      <vt:lpstr>Br81_Constant</vt:lpstr>
      <vt:lpstr>Br81_Constanterr</vt:lpstr>
      <vt:lpstr>Shallowater!Br81_ETh</vt:lpstr>
      <vt:lpstr>Shallowater!Br81_ETherr</vt:lpstr>
      <vt:lpstr>Scapolite!Br81_Factor</vt:lpstr>
      <vt:lpstr>Shallowater!Br81_Factor</vt:lpstr>
      <vt:lpstr>Scapolite!Br81_Factorerr</vt:lpstr>
      <vt:lpstr>Shallowater!Br81_Factorerr</vt:lpstr>
      <vt:lpstr>'Halogen Samples (2)'!Br81_FactorSW</vt:lpstr>
      <vt:lpstr>Scapolite!Br81_FactorSW</vt:lpstr>
      <vt:lpstr>'Supplementary Data 3'!Br81_FactorSW</vt:lpstr>
      <vt:lpstr>'Halogen Samples (2)'!Br81_FactorSWerr</vt:lpstr>
      <vt:lpstr>Scapolite!Br81_FactorSWerr</vt:lpstr>
      <vt:lpstr>'Supplementary Data 3'!Br81_FactorSWerr</vt:lpstr>
      <vt:lpstr>Scapolite!Br81_ppm</vt:lpstr>
      <vt:lpstr>Scapolite!Br81_ppmerr</vt:lpstr>
      <vt:lpstr>Scapolite!Br81_Prod</vt:lpstr>
      <vt:lpstr>Scapolite!Br81_Proderr</vt:lpstr>
      <vt:lpstr>Shallowater!Br81_Th</vt:lpstr>
      <vt:lpstr>Shallowater!Br81_Therr</vt:lpstr>
      <vt:lpstr>'Halogen Samples (2)'!Br81mole_SC</vt:lpstr>
      <vt:lpstr>'Supplementary Data 3'!Br81mole_SC</vt:lpstr>
      <vt:lpstr>'Halogen Samples (2)'!Br81mole_SCerr</vt:lpstr>
      <vt:lpstr>'Supplementary Data 3'!Br81mole_SCerr</vt:lpstr>
      <vt:lpstr>'Halogen Samples (2)'!Br81ppb_SC</vt:lpstr>
      <vt:lpstr>'Supplementary Data 3'!Br81ppb_SC</vt:lpstr>
      <vt:lpstr>'Halogen Samples (2)'!Br81ppb_SCerr</vt:lpstr>
      <vt:lpstr>'Supplementary Data 3'!Br81ppb_SCerr</vt:lpstr>
      <vt:lpstr>'Halogen Samples (2)'!Br81ppb_SW</vt:lpstr>
      <vt:lpstr>'Supplementary Data 3'!Br81ppb_SW</vt:lpstr>
      <vt:lpstr>'Halogen Samples (2)'!Br81ppb_SWerr</vt:lpstr>
      <vt:lpstr>'Supplementary Data 3'!Br81ppb_SWerr</vt:lpstr>
      <vt:lpstr>Ca_Constant</vt:lpstr>
      <vt:lpstr>Ca_Constanterr</vt:lpstr>
      <vt:lpstr>'Halogen Samples (2)'!Ca_mole</vt:lpstr>
      <vt:lpstr>Scapolite!Ca_mole</vt:lpstr>
      <vt:lpstr>'Supplementary Data 3'!Ca_mole</vt:lpstr>
      <vt:lpstr>'Halogen Samples (2)'!Ca_moleerr</vt:lpstr>
      <vt:lpstr>Scapolite!Ca_moleerr</vt:lpstr>
      <vt:lpstr>'Supplementary Data 3'!Ca_moleerr</vt:lpstr>
      <vt:lpstr>'Halogen Samples (2)'!Ca_ppm</vt:lpstr>
      <vt:lpstr>Scapolite!Ca_ppm</vt:lpstr>
      <vt:lpstr>'Supplementary Data 3'!Ca_ppm</vt:lpstr>
      <vt:lpstr>'Halogen Samples (2)'!Ca_ppmerr</vt:lpstr>
      <vt:lpstr>Scapolite!Ca_ppmerr</vt:lpstr>
      <vt:lpstr>'Supplementary Data 3'!Ca_ppmerr</vt:lpstr>
      <vt:lpstr>Hb3Gr!Ca37_Prod</vt:lpstr>
      <vt:lpstr>Scapolite!Ca37_Prod</vt:lpstr>
      <vt:lpstr>Hb3Gr!Ca37_Proderr</vt:lpstr>
      <vt:lpstr>Scapolite!Ca37_Proderr</vt:lpstr>
      <vt:lpstr>'Halogen Samples (2)'!Cl_79Br</vt:lpstr>
      <vt:lpstr>'Supplementary Data 3'!Cl_79Br</vt:lpstr>
      <vt:lpstr>'Halogen Samples (2)'!Cl_79Brerr</vt:lpstr>
      <vt:lpstr>'Supplementary Data 3'!Cl_79Brerr</vt:lpstr>
      <vt:lpstr>'Halogen Samples (2)'!Cl_81Br</vt:lpstr>
      <vt:lpstr>'Supplementary Data 3'!Cl_81Br</vt:lpstr>
      <vt:lpstr>'Halogen Samples (2)'!Cl_81Brerr</vt:lpstr>
      <vt:lpstr>'Supplementary Data 3'!Cl_81Brerr</vt:lpstr>
      <vt:lpstr>Cl_Constant</vt:lpstr>
      <vt:lpstr>Cl_Constanterr</vt:lpstr>
      <vt:lpstr>'Halogen Samples (2)'!Cl_I</vt:lpstr>
      <vt:lpstr>'Supplementary Data 3'!Cl_I</vt:lpstr>
      <vt:lpstr>'Halogen Samples (2)'!Cl_Ierr</vt:lpstr>
      <vt:lpstr>'Supplementary Data 3'!Cl_Ierr</vt:lpstr>
      <vt:lpstr>'Halogen Samples (2)'!Cl_mole</vt:lpstr>
      <vt:lpstr>Scapolite!Cl_mole</vt:lpstr>
      <vt:lpstr>'Supplementary Data 3'!Cl_mole</vt:lpstr>
      <vt:lpstr>'Halogen Samples (2)'!Cl_moleerr</vt:lpstr>
      <vt:lpstr>Scapolite!Cl_moleerr</vt:lpstr>
      <vt:lpstr>'Supplementary Data 3'!Cl_moleerr</vt:lpstr>
      <vt:lpstr>'Halogen Samples (2)'!Cl_ppm</vt:lpstr>
      <vt:lpstr>Scapolite!Cl_ppm</vt:lpstr>
      <vt:lpstr>'Supplementary Data 3'!Cl_ppm</vt:lpstr>
      <vt:lpstr>'Halogen Samples (2)'!Cl_ppmerr</vt:lpstr>
      <vt:lpstr>Scapolite!Cl_ppmerr</vt:lpstr>
      <vt:lpstr>'Supplementary Data 3'!Cl_ppmerr</vt:lpstr>
      <vt:lpstr>Cl3638_PR</vt:lpstr>
      <vt:lpstr>Cl37_Abun</vt:lpstr>
      <vt:lpstr>Cl37_Abunerr</vt:lpstr>
      <vt:lpstr>Hb3Gr!Cl38_Prod</vt:lpstr>
      <vt:lpstr>Scapolite!Cl38_Prod</vt:lpstr>
      <vt:lpstr>Hb3Gr!Cl38_Proderr</vt:lpstr>
      <vt:lpstr>Scapolite!Cl38_Proderr</vt:lpstr>
      <vt:lpstr>Epitherm_CS_127I</vt:lpstr>
      <vt:lpstr>Epitherm_CS_127Ierr</vt:lpstr>
      <vt:lpstr>Epitherm_CS_130Ba</vt:lpstr>
      <vt:lpstr>Epitherm_CS_130Baerr</vt:lpstr>
      <vt:lpstr>Epitherm_CS_37Cl</vt:lpstr>
      <vt:lpstr>Epitherm_CS_37Clerr</vt:lpstr>
      <vt:lpstr>Epitherm_CS_39K</vt:lpstr>
      <vt:lpstr>Epitherm_CS_39Kerr</vt:lpstr>
      <vt:lpstr>Epitherm_CS_79Br</vt:lpstr>
      <vt:lpstr>Epitherm_CS_79Brerr</vt:lpstr>
      <vt:lpstr>Epitherm_CS_81Br</vt:lpstr>
      <vt:lpstr>Epitherm_CS_81Brerr</vt:lpstr>
      <vt:lpstr>Shallowater!EpiTherm_Flux</vt:lpstr>
      <vt:lpstr>Shallowater!EpiTherm_Fluxerr</vt:lpstr>
      <vt:lpstr>Fast_CS_39K</vt:lpstr>
      <vt:lpstr>Fast_CS_39Kerr</vt:lpstr>
      <vt:lpstr>'Halogen Samples (2)'!Fast_Flux</vt:lpstr>
      <vt:lpstr>Hb3Gr!Fast_Flux</vt:lpstr>
      <vt:lpstr>Scapolite!Fast_Flux</vt:lpstr>
      <vt:lpstr>'Supplementary Data 3'!Fast_Flux</vt:lpstr>
      <vt:lpstr>Fast_Flux_Constant</vt:lpstr>
      <vt:lpstr>Fast_Flux_Constanterr</vt:lpstr>
      <vt:lpstr>'Halogen Samples (2)'!Fast_Fluxerr</vt:lpstr>
      <vt:lpstr>Hb3Gr!Fast_Fluxerr</vt:lpstr>
      <vt:lpstr>Scapolite!Fast_Fluxerr</vt:lpstr>
      <vt:lpstr>'Supplementary Data 3'!Fast_Fluxerr</vt:lpstr>
      <vt:lpstr>Hb3Gr_Age</vt:lpstr>
      <vt:lpstr>Hb3Gr_Ageerr</vt:lpstr>
      <vt:lpstr>Hb3Gr_Ca</vt:lpstr>
      <vt:lpstr>Hb3Gr_Caerr</vt:lpstr>
      <vt:lpstr>Hb3Gr_Cl</vt:lpstr>
      <vt:lpstr>Hb3Gr_Clerr</vt:lpstr>
      <vt:lpstr>Hb3Gr_K</vt:lpstr>
      <vt:lpstr>Hb3Gr_KCa</vt:lpstr>
      <vt:lpstr>Hb3Gr_KCaerr</vt:lpstr>
      <vt:lpstr>Hb3Gr_KCl</vt:lpstr>
      <vt:lpstr>Hb3Gr_KClerr</vt:lpstr>
      <vt:lpstr>Hb3Gr_Kerr</vt:lpstr>
      <vt:lpstr>Shallowater!Heating_Type</vt:lpstr>
      <vt:lpstr>Scapolite!I_Cl_meas</vt:lpstr>
      <vt:lpstr>Scapolite!I_Cl_measerr</vt:lpstr>
      <vt:lpstr>Scapolite!I_Factor</vt:lpstr>
      <vt:lpstr>Shallowater!I_Factor</vt:lpstr>
      <vt:lpstr>'Supplementary Data 3'!I_Factor</vt:lpstr>
      <vt:lpstr>Scapolite!I_Factorerr</vt:lpstr>
      <vt:lpstr>Shallowater!I_Factorerr</vt:lpstr>
      <vt:lpstr>'Halogen Samples (2)'!I_mole</vt:lpstr>
      <vt:lpstr>Scapolite!I_mole</vt:lpstr>
      <vt:lpstr>'Supplementary Data 3'!I_mole</vt:lpstr>
      <vt:lpstr>'Halogen Samples (2)'!I_moleerr</vt:lpstr>
      <vt:lpstr>Scapolite!I_moleerr</vt:lpstr>
      <vt:lpstr>'Supplementary Data 3'!I_moleerr</vt:lpstr>
      <vt:lpstr>'Halogen Samples (2)'!I_ppb</vt:lpstr>
      <vt:lpstr>Scapolite!I_ppb</vt:lpstr>
      <vt:lpstr>'Supplementary Data 3'!I_ppb</vt:lpstr>
      <vt:lpstr>'Halogen Samples (2)'!I_ppberr</vt:lpstr>
      <vt:lpstr>Scapolite!I_ppberr</vt:lpstr>
      <vt:lpstr>'Supplementary Data 3'!I_ppberr</vt:lpstr>
      <vt:lpstr>I127_Abun</vt:lpstr>
      <vt:lpstr>I127_Constant</vt:lpstr>
      <vt:lpstr>I127_Constanterr</vt:lpstr>
      <vt:lpstr>Scapolite!I127_Prod</vt:lpstr>
      <vt:lpstr>Shallowater!I127_Prod</vt:lpstr>
      <vt:lpstr>'Supplementary Data 3'!I127_Prod</vt:lpstr>
      <vt:lpstr>Scapolite!I127_Proderr</vt:lpstr>
      <vt:lpstr>Shallowater!I127_Proderr</vt:lpstr>
      <vt:lpstr>'Supplementary Data 3'!I127_Proderr</vt:lpstr>
      <vt:lpstr>Scapolite!I127_Th</vt:lpstr>
      <vt:lpstr>Shallowater!I127_Th</vt:lpstr>
      <vt:lpstr>'Supplementary Data 3'!I127_Th</vt:lpstr>
      <vt:lpstr>Scapolite!I127_Therr</vt:lpstr>
      <vt:lpstr>Shallowater!I127_Therr</vt:lpstr>
      <vt:lpstr>'Supplementary Data 3'!I127_Therr</vt:lpstr>
      <vt:lpstr>'Halogen Samples (2)'!IFactor_SW</vt:lpstr>
      <vt:lpstr>Scapolite!IFactor_SW</vt:lpstr>
      <vt:lpstr>'Supplementary Data 3'!IFactor_SW</vt:lpstr>
      <vt:lpstr>'Halogen Samples (2)'!IFactor_SWerr</vt:lpstr>
      <vt:lpstr>Scapolite!IFactor_SWerr</vt:lpstr>
      <vt:lpstr>'Supplementary Data 3'!IFactor_SWerr</vt:lpstr>
      <vt:lpstr>'Halogen Samples (2)'!Ippb_SC</vt:lpstr>
      <vt:lpstr>'Supplementary Data 3'!Ippb_SC</vt:lpstr>
      <vt:lpstr>'Halogen Samples (2)'!Ippb_SCerr</vt:lpstr>
      <vt:lpstr>'Supplementary Data 3'!Ippb_SCerr</vt:lpstr>
      <vt:lpstr>'Halogen Samples (2)'!Irradiation</vt:lpstr>
      <vt:lpstr>Hb3Gr!Irradiation</vt:lpstr>
      <vt:lpstr>Salts!Irradiation</vt:lpstr>
      <vt:lpstr>Scapolite!Irradiation</vt:lpstr>
      <vt:lpstr>Shallowater!Irradiation</vt:lpstr>
      <vt:lpstr>'Supplementary Data 3'!Irradiation</vt:lpstr>
      <vt:lpstr>Vertical_variation!Irradiation</vt:lpstr>
      <vt:lpstr>'Halogen Samples (2)'!J</vt:lpstr>
      <vt:lpstr>Hb3Gr!J</vt:lpstr>
      <vt:lpstr>Scapolite!J</vt:lpstr>
      <vt:lpstr>'Supplementary Data 3'!J</vt:lpstr>
      <vt:lpstr>Vertical_variation!J</vt:lpstr>
      <vt:lpstr>J1_Lagrange</vt:lpstr>
      <vt:lpstr>J2_Lagrange</vt:lpstr>
      <vt:lpstr>J3_Lagrange</vt:lpstr>
      <vt:lpstr>'Halogen Samples (2)'!Jerr</vt:lpstr>
      <vt:lpstr>Hb3Gr!Jerr</vt:lpstr>
      <vt:lpstr>Scapolite!Jerr</vt:lpstr>
      <vt:lpstr>'Supplementary Data 3'!Jerr</vt:lpstr>
      <vt:lpstr>K_constant</vt:lpstr>
      <vt:lpstr>K_Constanterr</vt:lpstr>
      <vt:lpstr>'Halogen Samples (2)'!K_mole</vt:lpstr>
      <vt:lpstr>Scapolite!K_mole</vt:lpstr>
      <vt:lpstr>'Supplementary Data 3'!K_mole</vt:lpstr>
      <vt:lpstr>'Halogen Samples (2)'!K_moleerr</vt:lpstr>
      <vt:lpstr>Scapolite!K_moleerr</vt:lpstr>
      <vt:lpstr>'Supplementary Data 3'!K_moleerr</vt:lpstr>
      <vt:lpstr>'Halogen Samples (2)'!K_ppm</vt:lpstr>
      <vt:lpstr>Scapolite!K_ppm</vt:lpstr>
      <vt:lpstr>'Supplementary Data 3'!K_ppm</vt:lpstr>
      <vt:lpstr>'Halogen Samples (2)'!K_ppmerr</vt:lpstr>
      <vt:lpstr>Scapolite!K_ppmerr</vt:lpstr>
      <vt:lpstr>'Supplementary Data 3'!K_ppmerr</vt:lpstr>
      <vt:lpstr>K39_Abun</vt:lpstr>
      <vt:lpstr>K39_Abunerr</vt:lpstr>
      <vt:lpstr>Hb3Gr!K39_Prod</vt:lpstr>
      <vt:lpstr>Scapolite!K39_Prod</vt:lpstr>
      <vt:lpstr>Hb3Gr!K39_Proderr</vt:lpstr>
      <vt:lpstr>Scapolite!K39_Proderr</vt:lpstr>
      <vt:lpstr>K40_Abun</vt:lpstr>
      <vt:lpstr>K40_Abunerr</vt:lpstr>
      <vt:lpstr>'Halogen Samples (2)'!KCa_mol</vt:lpstr>
      <vt:lpstr>Scapolite!KCa_mol</vt:lpstr>
      <vt:lpstr>'Supplementary Data 3'!KCa_mol</vt:lpstr>
      <vt:lpstr>'Halogen Samples (2)'!KCa_molerr</vt:lpstr>
      <vt:lpstr>Scapolite!KCa_molerr</vt:lpstr>
      <vt:lpstr>'Supplementary Data 3'!KCa_molerr</vt:lpstr>
      <vt:lpstr>'Halogen Samples (2)'!KCa_wt</vt:lpstr>
      <vt:lpstr>Scapolite!KCa_wt</vt:lpstr>
      <vt:lpstr>'Supplementary Data 3'!KCa_wt</vt:lpstr>
      <vt:lpstr>'Halogen Samples (2)'!KCa_wterr</vt:lpstr>
      <vt:lpstr>Scapolite!KCa_wterr</vt:lpstr>
      <vt:lpstr>'Supplementary Data 3'!KCa_wterr</vt:lpstr>
      <vt:lpstr>'Halogen Samples (2)'!KCl_mol</vt:lpstr>
      <vt:lpstr>Scapolite!KCl_mol</vt:lpstr>
      <vt:lpstr>'Supplementary Data 3'!KCl_mol</vt:lpstr>
      <vt:lpstr>'Halogen Samples (2)'!KCl_molerr</vt:lpstr>
      <vt:lpstr>Scapolite!KCl_molerr</vt:lpstr>
      <vt:lpstr>'Supplementary Data 3'!KCl_molerr</vt:lpstr>
      <vt:lpstr>'Halogen Samples (2)'!KCl_wt</vt:lpstr>
      <vt:lpstr>Scapolite!KCl_wt</vt:lpstr>
      <vt:lpstr>'Supplementary Data 3'!KCl_wt</vt:lpstr>
      <vt:lpstr>'Halogen Samples (2)'!KCl_wterr</vt:lpstr>
      <vt:lpstr>Scapolite!KCl_wterr</vt:lpstr>
      <vt:lpstr>'Supplementary Data 3'!KCl_wterr</vt:lpstr>
      <vt:lpstr>'Halogen Samples (2)'!Kr_sensitivity</vt:lpstr>
      <vt:lpstr>Scapolite!Kr_sensitivity</vt:lpstr>
      <vt:lpstr>'Supplementary Data 3'!Kr_sensitivity</vt:lpstr>
      <vt:lpstr>'Halogen Samples (2)'!Kr_sensitivityerr</vt:lpstr>
      <vt:lpstr>Scapolite!Kr_sensitivityerr</vt:lpstr>
      <vt:lpstr>'Supplementary Data 3'!Kr_sensitivityerr</vt:lpstr>
      <vt:lpstr>'Halogen Samples (2)'!Kr80_mole</vt:lpstr>
      <vt:lpstr>Scapolite!Kr80_mole</vt:lpstr>
      <vt:lpstr>'Supplementary Data 3'!Kr80_mole</vt:lpstr>
      <vt:lpstr>'Halogen Samples (2)'!Kr80_moleerr</vt:lpstr>
      <vt:lpstr>Scapolite!Kr80_moleerr</vt:lpstr>
      <vt:lpstr>'Supplementary Data 3'!Kr80_moleerr</vt:lpstr>
      <vt:lpstr>'Halogen Samples (2)'!Kr8082_mole</vt:lpstr>
      <vt:lpstr>Scapolite!Kr8082_mole</vt:lpstr>
      <vt:lpstr>'Supplementary Data 3'!Kr8082_mole</vt:lpstr>
      <vt:lpstr>'Halogen Samples (2)'!Kr8082_moleeerr</vt:lpstr>
      <vt:lpstr>Scapolite!Kr8082_moleeerr</vt:lpstr>
      <vt:lpstr>'Supplementary Data 3'!Kr8082_moleeerr</vt:lpstr>
      <vt:lpstr>Kr8084_Air</vt:lpstr>
      <vt:lpstr>Kr8084_Mix</vt:lpstr>
      <vt:lpstr>Kr8084_Mixerr</vt:lpstr>
      <vt:lpstr>Kr8084_Q</vt:lpstr>
      <vt:lpstr>Kr8084_Qerr</vt:lpstr>
      <vt:lpstr>Kr8084_SW</vt:lpstr>
      <vt:lpstr>Kr8084_SWerr</vt:lpstr>
      <vt:lpstr>'Halogen Samples (2)'!Kr80AC</vt:lpstr>
      <vt:lpstr>Scapolite!Kr80AC</vt:lpstr>
      <vt:lpstr>'Supplementary Data 3'!Kr80AC</vt:lpstr>
      <vt:lpstr>'Halogen Samples (2)'!Kr80ACerr</vt:lpstr>
      <vt:lpstr>Scapolite!Kr80ACerr</vt:lpstr>
      <vt:lpstr>'Supplementary Data 3'!Kr80ACerr</vt:lpstr>
      <vt:lpstr>'Halogen Samples (2)'!Kr80BC</vt:lpstr>
      <vt:lpstr>Scapolite!Kr80BC</vt:lpstr>
      <vt:lpstr>'Supplementary Data 3'!Kr80BC</vt:lpstr>
      <vt:lpstr>'Halogen Samples (2)'!Kr80BCerr</vt:lpstr>
      <vt:lpstr>Scapolite!Kr80BCerr</vt:lpstr>
      <vt:lpstr>'Supplementary Data 3'!Kr80BCerr</vt:lpstr>
      <vt:lpstr>'Halogen Samples (2)'!Kr80Blank</vt:lpstr>
      <vt:lpstr>Scapolite!Kr80Blank</vt:lpstr>
      <vt:lpstr>'Supplementary Data 3'!Kr80Blank</vt:lpstr>
      <vt:lpstr>'Halogen Samples (2)'!Kr80Blankerr</vt:lpstr>
      <vt:lpstr>Scapolite!Kr80Blankerr</vt:lpstr>
      <vt:lpstr>'Supplementary Data 3'!Kr80Blankerr</vt:lpstr>
      <vt:lpstr>'Halogen Samples (2)'!Kr80cc</vt:lpstr>
      <vt:lpstr>Scapolite!Kr80cc</vt:lpstr>
      <vt:lpstr>'Supplementary Data 3'!Kr80cc</vt:lpstr>
      <vt:lpstr>'Halogen Samples (2)'!Kr80ccerr</vt:lpstr>
      <vt:lpstr>Scapolite!Kr80ccerr</vt:lpstr>
      <vt:lpstr>'Supplementary Data 3'!Kr80ccerr</vt:lpstr>
      <vt:lpstr>'Halogen Samples (2)'!Kr80Raw</vt:lpstr>
      <vt:lpstr>Scapolite!Kr80Raw</vt:lpstr>
      <vt:lpstr>'Supplementary Data 3'!Kr80Raw</vt:lpstr>
      <vt:lpstr>'Halogen Samples (2)'!Kr80Rawerr</vt:lpstr>
      <vt:lpstr>Scapolite!Kr80Rawerr</vt:lpstr>
      <vt:lpstr>'Supplementary Data 3'!Kr80Rawerr</vt:lpstr>
      <vt:lpstr>'Halogen Samples (2)'!Kr82_mole</vt:lpstr>
      <vt:lpstr>Scapolite!Kr82_mole</vt:lpstr>
      <vt:lpstr>'Supplementary Data 3'!Kr82_mole</vt:lpstr>
      <vt:lpstr>'Halogen Samples (2)'!Kr82_moleerr</vt:lpstr>
      <vt:lpstr>Scapolite!Kr82_moleerr</vt:lpstr>
      <vt:lpstr>'Supplementary Data 3'!Kr82_moleerr</vt:lpstr>
      <vt:lpstr>Kr8284_Air</vt:lpstr>
      <vt:lpstr>Kr8284_Mix</vt:lpstr>
      <vt:lpstr>Kr8284_Mixerr</vt:lpstr>
      <vt:lpstr>Kr8284_Q</vt:lpstr>
      <vt:lpstr>Kr8284_Qerr</vt:lpstr>
      <vt:lpstr>Kr8284_SW</vt:lpstr>
      <vt:lpstr>Kr8284_SWerr</vt:lpstr>
      <vt:lpstr>'Halogen Samples (2)'!Kr82AC</vt:lpstr>
      <vt:lpstr>Scapolite!Kr82AC</vt:lpstr>
      <vt:lpstr>'Supplementary Data 3'!Kr82AC</vt:lpstr>
      <vt:lpstr>'Halogen Samples (2)'!Kr82ACerr</vt:lpstr>
      <vt:lpstr>Scapolite!Kr82ACerr</vt:lpstr>
      <vt:lpstr>'Supplementary Data 3'!Kr82ACerr</vt:lpstr>
      <vt:lpstr>'Halogen Samples (2)'!Kr82BC</vt:lpstr>
      <vt:lpstr>Scapolite!Kr82BC</vt:lpstr>
      <vt:lpstr>'Supplementary Data 3'!Kr82BC</vt:lpstr>
      <vt:lpstr>'Halogen Samples (2)'!Kr82BCerr</vt:lpstr>
      <vt:lpstr>Scapolite!Kr82BCerr</vt:lpstr>
      <vt:lpstr>'Supplementary Data 3'!Kr82BCerr</vt:lpstr>
      <vt:lpstr>'Halogen Samples (2)'!Kr82Blank</vt:lpstr>
      <vt:lpstr>Scapolite!Kr82Blank</vt:lpstr>
      <vt:lpstr>'Supplementary Data 3'!Kr82Blank</vt:lpstr>
      <vt:lpstr>'Halogen Samples (2)'!Kr82Blankerr</vt:lpstr>
      <vt:lpstr>Scapolite!Kr82Blankerr</vt:lpstr>
      <vt:lpstr>'Supplementary Data 3'!Kr82Blankerr</vt:lpstr>
      <vt:lpstr>'Halogen Samples (2)'!Kr82cc</vt:lpstr>
      <vt:lpstr>Scapolite!Kr82cc</vt:lpstr>
      <vt:lpstr>'Supplementary Data 3'!Kr82cc</vt:lpstr>
      <vt:lpstr>'Halogen Samples (2)'!Kr82ccerr</vt:lpstr>
      <vt:lpstr>Scapolite!Kr82ccerr</vt:lpstr>
      <vt:lpstr>'Supplementary Data 3'!Kr82ccerr</vt:lpstr>
      <vt:lpstr>'Halogen Samples (2)'!Kr82Raw</vt:lpstr>
      <vt:lpstr>Scapolite!Kr82Raw</vt:lpstr>
      <vt:lpstr>'Supplementary Data 3'!Kr82Raw</vt:lpstr>
      <vt:lpstr>'Halogen Samples (2)'!Kr82Rawerr</vt:lpstr>
      <vt:lpstr>Scapolite!Kr82Rawerr</vt:lpstr>
      <vt:lpstr>'Supplementary Data 3'!Kr82Rawerr</vt:lpstr>
      <vt:lpstr>'Halogen Samples (2)'!Kr84_mole</vt:lpstr>
      <vt:lpstr>Scapolite!Kr84_mole</vt:lpstr>
      <vt:lpstr>'Supplementary Data 3'!Kr84_mole</vt:lpstr>
      <vt:lpstr>'Halogen Samples (2)'!Kr84_moleerr</vt:lpstr>
      <vt:lpstr>Scapolite!Kr84_moleerr</vt:lpstr>
      <vt:lpstr>'Supplementary Data 3'!Kr84_moleerr</vt:lpstr>
      <vt:lpstr>'Halogen Samples (2)'!Kr84BC</vt:lpstr>
      <vt:lpstr>Scapolite!Kr84BC</vt:lpstr>
      <vt:lpstr>'Supplementary Data 3'!Kr84BC</vt:lpstr>
      <vt:lpstr>'Halogen Samples (2)'!Kr84BCerr</vt:lpstr>
      <vt:lpstr>Scapolite!Kr84BCerr</vt:lpstr>
      <vt:lpstr>'Supplementary Data 3'!Kr84BCerr</vt:lpstr>
      <vt:lpstr>'Halogen Samples (2)'!Kr84Blank</vt:lpstr>
      <vt:lpstr>Scapolite!Kr84Blank</vt:lpstr>
      <vt:lpstr>'Supplementary Data 3'!Kr84Blank</vt:lpstr>
      <vt:lpstr>'Halogen Samples (2)'!Kr84Blankerr</vt:lpstr>
      <vt:lpstr>Scapolite!Kr84Blankerr</vt:lpstr>
      <vt:lpstr>'Supplementary Data 3'!Kr84Blankerr</vt:lpstr>
      <vt:lpstr>'Halogen Samples (2)'!Kr84cc</vt:lpstr>
      <vt:lpstr>Scapolite!Kr84cc</vt:lpstr>
      <vt:lpstr>'Supplementary Data 3'!Kr84cc</vt:lpstr>
      <vt:lpstr>'Halogen Samples (2)'!Kr84ccerr</vt:lpstr>
      <vt:lpstr>Scapolite!Kr84ccerr</vt:lpstr>
      <vt:lpstr>'Supplementary Data 3'!Kr84ccerr</vt:lpstr>
      <vt:lpstr>'Halogen Samples (2)'!Kr84Raw</vt:lpstr>
      <vt:lpstr>Scapolite!Kr84Raw</vt:lpstr>
      <vt:lpstr>'Supplementary Data 3'!Kr84Raw</vt:lpstr>
      <vt:lpstr>'Halogen Samples (2)'!Kr84Rawerr</vt:lpstr>
      <vt:lpstr>Scapolite!Kr84Rawerr</vt:lpstr>
      <vt:lpstr>'Supplementary Data 3'!Kr84Rawerr</vt:lpstr>
      <vt:lpstr>'Halogen Samples (2)'!Kr84U</vt:lpstr>
      <vt:lpstr>Scapolite!Kr84U</vt:lpstr>
      <vt:lpstr>'Supplementary Data 3'!Kr84U</vt:lpstr>
      <vt:lpstr>'Halogen Samples (2)'!Kr84Uerr</vt:lpstr>
      <vt:lpstr>Scapolite!Kr84Uerr</vt:lpstr>
      <vt:lpstr>'Supplementary Data 3'!Kr84Uerr</vt:lpstr>
      <vt:lpstr>Kr8684_Air</vt:lpstr>
      <vt:lpstr>Kr8684_Mix</vt:lpstr>
      <vt:lpstr>Kr8684_Mixerr</vt:lpstr>
      <vt:lpstr>Kr8684_nf</vt:lpstr>
      <vt:lpstr>Kr8684_nferr</vt:lpstr>
      <vt:lpstr>Kr8684_Q</vt:lpstr>
      <vt:lpstr>Kr8684_Qerr</vt:lpstr>
      <vt:lpstr>Kr8684_SW</vt:lpstr>
      <vt:lpstr>Kr8684_SWerr</vt:lpstr>
      <vt:lpstr>'Halogen Samples (2)'!Kr86AC</vt:lpstr>
      <vt:lpstr>Scapolite!Kr86AC</vt:lpstr>
      <vt:lpstr>'Supplementary Data 3'!Kr86AC</vt:lpstr>
      <vt:lpstr>'Halogen Samples (2)'!Kr86ACerr</vt:lpstr>
      <vt:lpstr>Scapolite!Kr86ACerr</vt:lpstr>
      <vt:lpstr>'Supplementary Data 3'!Kr86ACerr</vt:lpstr>
      <vt:lpstr>'Halogen Samples (2)'!Kr86BC</vt:lpstr>
      <vt:lpstr>Scapolite!Kr86BC</vt:lpstr>
      <vt:lpstr>'Supplementary Data 3'!Kr86BC</vt:lpstr>
      <vt:lpstr>'Halogen Samples (2)'!Kr86BCerr</vt:lpstr>
      <vt:lpstr>Scapolite!Kr86BCerr</vt:lpstr>
      <vt:lpstr>'Supplementary Data 3'!Kr86BCerr</vt:lpstr>
      <vt:lpstr>'Halogen Samples (2)'!Kr86Blank</vt:lpstr>
      <vt:lpstr>Scapolite!Kr86Blank</vt:lpstr>
      <vt:lpstr>'Supplementary Data 3'!Kr86Blank</vt:lpstr>
      <vt:lpstr>'Halogen Samples (2)'!Kr86Blankerr</vt:lpstr>
      <vt:lpstr>Scapolite!Kr86Blankerr</vt:lpstr>
      <vt:lpstr>'Supplementary Data 3'!Kr86Blankerr</vt:lpstr>
      <vt:lpstr>'Halogen Samples (2)'!Kr86cc</vt:lpstr>
      <vt:lpstr>Scapolite!Kr86cc</vt:lpstr>
      <vt:lpstr>'Supplementary Data 3'!Kr86cc</vt:lpstr>
      <vt:lpstr>'Halogen Samples (2)'!Kr86ccerr</vt:lpstr>
      <vt:lpstr>Scapolite!Kr86ccerr</vt:lpstr>
      <vt:lpstr>'Supplementary Data 3'!Kr86ccerr</vt:lpstr>
      <vt:lpstr>'Halogen Samples (2)'!Kr86Raw</vt:lpstr>
      <vt:lpstr>Scapolite!Kr86Raw</vt:lpstr>
      <vt:lpstr>'Supplementary Data 3'!Kr86Raw</vt:lpstr>
      <vt:lpstr>'Halogen Samples (2)'!Kr86Rawerr</vt:lpstr>
      <vt:lpstr>Scapolite!Kr86Rawerr</vt:lpstr>
      <vt:lpstr>'Supplementary Data 3'!Kr86Rawerr</vt:lpstr>
      <vt:lpstr>lambda</vt:lpstr>
      <vt:lpstr>lambda_36Ar</vt:lpstr>
      <vt:lpstr>lambda_36Arerr</vt:lpstr>
      <vt:lpstr>lambda_37Ar</vt:lpstr>
      <vt:lpstr>lambda_37Arerr</vt:lpstr>
      <vt:lpstr>lambda_39Ar</vt:lpstr>
      <vt:lpstr>lambda_39Arerr</vt:lpstr>
      <vt:lpstr>lambda_Berr</vt:lpstr>
      <vt:lpstr>lambda_e</vt:lpstr>
      <vt:lpstr>lambda_eerr</vt:lpstr>
      <vt:lpstr>lambda_err</vt:lpstr>
      <vt:lpstr>MV</vt:lpstr>
      <vt:lpstr>MVerr</vt:lpstr>
      <vt:lpstr>MW_Ba</vt:lpstr>
      <vt:lpstr>MW_Baerr</vt:lpstr>
      <vt:lpstr>MW_Br</vt:lpstr>
      <vt:lpstr>MW_Brerr</vt:lpstr>
      <vt:lpstr>MW_Ca</vt:lpstr>
      <vt:lpstr>MW_Caerr</vt:lpstr>
      <vt:lpstr>MW_Cl</vt:lpstr>
      <vt:lpstr>MW_Clerr</vt:lpstr>
      <vt:lpstr>MW_F</vt:lpstr>
      <vt:lpstr>MW_Ferr</vt:lpstr>
      <vt:lpstr>MW_I</vt:lpstr>
      <vt:lpstr>MW_Ierr</vt:lpstr>
      <vt:lpstr>MW_K</vt:lpstr>
      <vt:lpstr>MW_Kerr</vt:lpstr>
      <vt:lpstr>MW_U</vt:lpstr>
      <vt:lpstr>'Halogen Samples (2)'!Name</vt:lpstr>
      <vt:lpstr>Hb3Gr!Name</vt:lpstr>
      <vt:lpstr>Salts!Name</vt:lpstr>
      <vt:lpstr>Shallowater!Name</vt:lpstr>
      <vt:lpstr>'Supplementary Data 3'!Name</vt:lpstr>
      <vt:lpstr>Vertical_variation!Name</vt:lpstr>
      <vt:lpstr>'Halogen Samples (2)'!Omega</vt:lpstr>
      <vt:lpstr>Scapolite!Omega</vt:lpstr>
      <vt:lpstr>'Supplementary Data 3'!Omega</vt:lpstr>
      <vt:lpstr>'Halogen Samples (2)'!Omegaerr</vt:lpstr>
      <vt:lpstr>Scapolite!Omegaerr</vt:lpstr>
      <vt:lpstr>'Supplementary Data 3'!Omegaerr</vt:lpstr>
      <vt:lpstr>'Halogen Samples (2)'!Pi</vt:lpstr>
      <vt:lpstr>Scapolite!Pi</vt:lpstr>
      <vt:lpstr>'Supplementary Data 3'!Pi</vt:lpstr>
      <vt:lpstr>'Halogen Samples (2)'!Pi_err</vt:lpstr>
      <vt:lpstr>Scapolite!Pi_err</vt:lpstr>
      <vt:lpstr>'Supplementary Data 3'!Pi_err</vt:lpstr>
      <vt:lpstr>'Halogen Samples (2)'!Pi_prime</vt:lpstr>
      <vt:lpstr>Scapolite!Pi_prime</vt:lpstr>
      <vt:lpstr>'Supplementary Data 3'!Pi_prime</vt:lpstr>
      <vt:lpstr>'Halogen Samples (2)'!Pi_primeerr</vt:lpstr>
      <vt:lpstr>Scapolite!Pi_primeerr</vt:lpstr>
      <vt:lpstr>'Supplementary Data 3'!Pi_primeerr</vt:lpstr>
      <vt:lpstr>'Halogen Samples (2)'!Rad_Date</vt:lpstr>
      <vt:lpstr>Hb3Gr!Rad_Date</vt:lpstr>
      <vt:lpstr>Salts!Rad_Date</vt:lpstr>
      <vt:lpstr>Scapolite!Rad_Date</vt:lpstr>
      <vt:lpstr>Shallowater!Rad_Date</vt:lpstr>
      <vt:lpstr>'Supplementary Data 3'!Rad_Date</vt:lpstr>
      <vt:lpstr>'Halogen Samples (2)'!Rad_Type</vt:lpstr>
      <vt:lpstr>Hb3Gr!Rad_Type</vt:lpstr>
      <vt:lpstr>Salts!Rad_Type</vt:lpstr>
      <vt:lpstr>Scapolite!Rad_Type</vt:lpstr>
      <vt:lpstr>Shallowater!Rad_Type</vt:lpstr>
      <vt:lpstr>'Supplementary Data 3'!Rad_Type</vt:lpstr>
      <vt:lpstr>'Halogen Samples (2)'!Run_Date</vt:lpstr>
      <vt:lpstr>Hb3Gr!Run_Date</vt:lpstr>
      <vt:lpstr>Salts!Run_Date</vt:lpstr>
      <vt:lpstr>Scapolite!Run_Date</vt:lpstr>
      <vt:lpstr>Shallowater!Run_Date</vt:lpstr>
      <vt:lpstr>'Supplementary Data 3'!Run_Date</vt:lpstr>
      <vt:lpstr>Salt_36Ar37Ar_Ca</vt:lpstr>
      <vt:lpstr>Salt_36Ar37Ar_Caerr</vt:lpstr>
      <vt:lpstr>Salt_38Ar39Ar_K</vt:lpstr>
      <vt:lpstr>Salt_38Ar39Ar_Kerr</vt:lpstr>
      <vt:lpstr>Salt_39Ar37Ar_Ca</vt:lpstr>
      <vt:lpstr>Salt_39Ar37Ar_Caerr</vt:lpstr>
      <vt:lpstr>Salt_40Ar39Ar_K</vt:lpstr>
      <vt:lpstr>Salt_40Ar39Ar_Kerr</vt:lpstr>
      <vt:lpstr>'Halogen Samples (2)'!Sample_Mass</vt:lpstr>
      <vt:lpstr>Hb3Gr!Sample_Mass</vt:lpstr>
      <vt:lpstr>Salts!Sample_Mass</vt:lpstr>
      <vt:lpstr>Scapolite!Sample_Mass</vt:lpstr>
      <vt:lpstr>Shallowater!Sample_Mass</vt:lpstr>
      <vt:lpstr>'Supplementary Data 3'!Sample_Mass</vt:lpstr>
      <vt:lpstr>'Halogen Samples (2)'!Sample_Masserr</vt:lpstr>
      <vt:lpstr>Hb3Gr!Sample_Masserr</vt:lpstr>
      <vt:lpstr>Salts!Sample_Masserr</vt:lpstr>
      <vt:lpstr>Scapolite!Sample_Masserr</vt:lpstr>
      <vt:lpstr>Shallowater!Sample_Masserr</vt:lpstr>
      <vt:lpstr>'Supplementary Data 3'!Sample_Masserr</vt:lpstr>
      <vt:lpstr>Scapolite!Scapolite</vt:lpstr>
      <vt:lpstr>Shallowater!Slope_SW</vt:lpstr>
      <vt:lpstr>Shallowater!Slope_SWerr</vt:lpstr>
      <vt:lpstr>SW_Initial</vt:lpstr>
      <vt:lpstr>SW_Initialerr</vt:lpstr>
      <vt:lpstr>Therm_CS_127I</vt:lpstr>
      <vt:lpstr>Therm_CS_127Ierr</vt:lpstr>
      <vt:lpstr>Therm_CS_130Ba</vt:lpstr>
      <vt:lpstr>Therm_CS_130Baerr</vt:lpstr>
      <vt:lpstr>Therm_CS_235U</vt:lpstr>
      <vt:lpstr>Therm_CS_235Uerr</vt:lpstr>
      <vt:lpstr>Therm_CS_37Cl</vt:lpstr>
      <vt:lpstr>Therm_CS_37Clerr</vt:lpstr>
      <vt:lpstr>Therm_CS_39K</vt:lpstr>
      <vt:lpstr>Therm_CS_39Kerr</vt:lpstr>
      <vt:lpstr>Therm_CS_79Br</vt:lpstr>
      <vt:lpstr>Therm_CS_79Brerr</vt:lpstr>
      <vt:lpstr>Therm_CS_81Br</vt:lpstr>
      <vt:lpstr>Therm_CS_81Brerr</vt:lpstr>
      <vt:lpstr>'Halogen Samples (2)'!Therm_Flux</vt:lpstr>
      <vt:lpstr>Hb3Gr!Therm_Flux</vt:lpstr>
      <vt:lpstr>Scapolite!Therm_Flux</vt:lpstr>
      <vt:lpstr>Shallowater!Therm_Flux</vt:lpstr>
      <vt:lpstr>'Supplementary Data 3'!Therm_Flux</vt:lpstr>
      <vt:lpstr>Vertical_variation!Therm_Flux</vt:lpstr>
      <vt:lpstr>'Halogen Samples (2)'!Therm_Fluxerr</vt:lpstr>
      <vt:lpstr>Hb3Gr!Therm_Fluxerr</vt:lpstr>
      <vt:lpstr>Scapolite!Therm_Fluxerr</vt:lpstr>
      <vt:lpstr>Shallowater!Therm_Fluxerr</vt:lpstr>
      <vt:lpstr>'Supplementary Data 3'!Therm_Fluxerr</vt:lpstr>
      <vt:lpstr>Vertical_variation!Therm_Fluxerr</vt:lpstr>
      <vt:lpstr>Thermal_Flux_Constant</vt:lpstr>
      <vt:lpstr>Thermal_Flux_Constanterr</vt:lpstr>
      <vt:lpstr>Hb3Gr!Tube</vt:lpstr>
      <vt:lpstr>Salts!Tube</vt:lpstr>
      <vt:lpstr>Scapolite!Tube</vt:lpstr>
      <vt:lpstr>Shallowater!Tube</vt:lpstr>
      <vt:lpstr>Vertical_variation!Tube</vt:lpstr>
      <vt:lpstr>'Halogen Samples (2)'!U_mole</vt:lpstr>
      <vt:lpstr>Scapolite!U_mole</vt:lpstr>
      <vt:lpstr>'Supplementary Data 3'!U_mole</vt:lpstr>
      <vt:lpstr>'Halogen Samples (2)'!U_moleerr</vt:lpstr>
      <vt:lpstr>Scapolite!U_moleerr</vt:lpstr>
      <vt:lpstr>'Supplementary Data 3'!U_moleerr</vt:lpstr>
      <vt:lpstr>'Halogen Samples (2)'!U_ppb</vt:lpstr>
      <vt:lpstr>Scapolite!U_ppb</vt:lpstr>
      <vt:lpstr>'Supplementary Data 3'!U_ppb</vt:lpstr>
      <vt:lpstr>'Halogen Samples (2)'!U_ppberr</vt:lpstr>
      <vt:lpstr>Scapolite!U_ppberr</vt:lpstr>
      <vt:lpstr>'Supplementary Data 3'!U_ppberr</vt:lpstr>
      <vt:lpstr>U235_Abun</vt:lpstr>
      <vt:lpstr>x</vt:lpstr>
      <vt:lpstr>x_1</vt:lpstr>
      <vt:lpstr>x_2</vt:lpstr>
      <vt:lpstr>x_3</vt:lpstr>
      <vt:lpstr>x_4</vt:lpstr>
      <vt:lpstr>x_5</vt:lpstr>
      <vt:lpstr>'Halogen Samples (2)'!Xe_Sensitivity</vt:lpstr>
      <vt:lpstr>Scapolite!Xe_Sensitivity</vt:lpstr>
      <vt:lpstr>'Supplementary Data 3'!Xe_Sensitivity</vt:lpstr>
      <vt:lpstr>'Halogen Samples (2)'!Xe_Sensitivityerr</vt:lpstr>
      <vt:lpstr>Scapolite!Xe_Sensitivityerr</vt:lpstr>
      <vt:lpstr>'Supplementary Data 3'!Xe_Sensitivityerr</vt:lpstr>
      <vt:lpstr>Xe128130_Air</vt:lpstr>
      <vt:lpstr>Xe128130_Mix</vt:lpstr>
      <vt:lpstr>Xe128130_Mixerr</vt:lpstr>
      <vt:lpstr>Xe128130_Q</vt:lpstr>
      <vt:lpstr>Xe128130_Qerr</vt:lpstr>
      <vt:lpstr>Xe128130_SW</vt:lpstr>
      <vt:lpstr>Xe128130_SWerr</vt:lpstr>
      <vt:lpstr>'Halogen Samples (2)'!Xe128AC</vt:lpstr>
      <vt:lpstr>Scapolite!Xe128AC</vt:lpstr>
      <vt:lpstr>Shallowater!Xe128AC</vt:lpstr>
      <vt:lpstr>'Supplementary Data 3'!Xe128AC</vt:lpstr>
      <vt:lpstr>'Halogen Samples (2)'!Xe128ACerr</vt:lpstr>
      <vt:lpstr>Scapolite!Xe128ACerr</vt:lpstr>
      <vt:lpstr>Shallowater!Xe128ACerr</vt:lpstr>
      <vt:lpstr>'Supplementary Data 3'!Xe128ACerr</vt:lpstr>
      <vt:lpstr>'Halogen Samples (2)'!Xe128BC</vt:lpstr>
      <vt:lpstr>Scapolite!Xe128BC</vt:lpstr>
      <vt:lpstr>Shallowater!Xe128BC</vt:lpstr>
      <vt:lpstr>'Supplementary Data 3'!Xe128BC</vt:lpstr>
      <vt:lpstr>'Halogen Samples (2)'!Xe128BCerr</vt:lpstr>
      <vt:lpstr>Scapolite!Xe128BCerr</vt:lpstr>
      <vt:lpstr>Shallowater!Xe128BCerr</vt:lpstr>
      <vt:lpstr>'Supplementary Data 3'!Xe128BCerr</vt:lpstr>
      <vt:lpstr>'Halogen Samples (2)'!Xe128Blank</vt:lpstr>
      <vt:lpstr>Scapolite!Xe128Blank</vt:lpstr>
      <vt:lpstr>Shallowater!Xe128Blank</vt:lpstr>
      <vt:lpstr>'Supplementary Data 3'!Xe128Blank</vt:lpstr>
      <vt:lpstr>'Halogen Samples (2)'!Xe128Blankerr</vt:lpstr>
      <vt:lpstr>Scapolite!Xe128Blankerr</vt:lpstr>
      <vt:lpstr>Shallowater!Xe128Blankerr</vt:lpstr>
      <vt:lpstr>'Supplementary Data 3'!Xe128Blankerr</vt:lpstr>
      <vt:lpstr>'Halogen Samples (2)'!Xe128CC</vt:lpstr>
      <vt:lpstr>Scapolite!Xe128CC</vt:lpstr>
      <vt:lpstr>'Supplementary Data 3'!Xe128CC</vt:lpstr>
      <vt:lpstr>'Halogen Samples (2)'!Xe128CCerr</vt:lpstr>
      <vt:lpstr>Scapolite!Xe128CCerr</vt:lpstr>
      <vt:lpstr>'Supplementary Data 3'!Xe128CCerr</vt:lpstr>
      <vt:lpstr>'Halogen Samples (2)'!Xe128mole</vt:lpstr>
      <vt:lpstr>Scapolite!Xe128mole</vt:lpstr>
      <vt:lpstr>'Supplementary Data 3'!Xe128mole</vt:lpstr>
      <vt:lpstr>'Halogen Samples (2)'!Xe128moleerr</vt:lpstr>
      <vt:lpstr>Scapolite!Xe128moleerr</vt:lpstr>
      <vt:lpstr>'Supplementary Data 3'!Xe128moleerr</vt:lpstr>
      <vt:lpstr>'Halogen Samples (2)'!Xe128Raw</vt:lpstr>
      <vt:lpstr>Scapolite!Xe128Raw</vt:lpstr>
      <vt:lpstr>Shallowater!Xe128Raw</vt:lpstr>
      <vt:lpstr>'Supplementary Data 3'!Xe128Raw</vt:lpstr>
      <vt:lpstr>'Halogen Samples (2)'!Xe128Rawerr</vt:lpstr>
      <vt:lpstr>Scapolite!Xe128Rawerr</vt:lpstr>
      <vt:lpstr>Shallowater!Xe128Rawerr</vt:lpstr>
      <vt:lpstr>'Supplementary Data 3'!Xe128Rawerr</vt:lpstr>
      <vt:lpstr>Shallowater!Xe128Xe129</vt:lpstr>
      <vt:lpstr>Shallowater!Xe128Xe129err</vt:lpstr>
      <vt:lpstr>Xe129130_Air</vt:lpstr>
      <vt:lpstr>Xe129130_Mix</vt:lpstr>
      <vt:lpstr>Xe129130_Mixerr</vt:lpstr>
      <vt:lpstr>Xe129130_Q</vt:lpstr>
      <vt:lpstr>Xe129130_Qerr</vt:lpstr>
      <vt:lpstr>Xe129130_SW</vt:lpstr>
      <vt:lpstr>Xe129130_SWerr</vt:lpstr>
      <vt:lpstr>'Halogen Samples (2)'!Xe129AC</vt:lpstr>
      <vt:lpstr>Scapolite!Xe129AC</vt:lpstr>
      <vt:lpstr>Shallowater!Xe129AC</vt:lpstr>
      <vt:lpstr>'Supplementary Data 3'!Xe129AC</vt:lpstr>
      <vt:lpstr>'Halogen Samples (2)'!Xe129ACerr</vt:lpstr>
      <vt:lpstr>Scapolite!Xe129ACerr</vt:lpstr>
      <vt:lpstr>Shallowater!Xe129ACerr</vt:lpstr>
      <vt:lpstr>'Supplementary Data 3'!Xe129ACerr</vt:lpstr>
      <vt:lpstr>'Halogen Samples (2)'!Xe129BC</vt:lpstr>
      <vt:lpstr>Scapolite!Xe129BC</vt:lpstr>
      <vt:lpstr>Shallowater!Xe129BC</vt:lpstr>
      <vt:lpstr>'Supplementary Data 3'!Xe129BC</vt:lpstr>
      <vt:lpstr>'Halogen Samples (2)'!Xe129BCerr</vt:lpstr>
      <vt:lpstr>Scapolite!Xe129BCerr</vt:lpstr>
      <vt:lpstr>Shallowater!Xe129BCerr</vt:lpstr>
      <vt:lpstr>'Supplementary Data 3'!Xe129BCerr</vt:lpstr>
      <vt:lpstr>'Halogen Samples (2)'!Xe129Blank</vt:lpstr>
      <vt:lpstr>Scapolite!Xe129Blank</vt:lpstr>
      <vt:lpstr>Shallowater!Xe129Blank</vt:lpstr>
      <vt:lpstr>'Supplementary Data 3'!Xe129Blank</vt:lpstr>
      <vt:lpstr>'Halogen Samples (2)'!Xe129Blankerr</vt:lpstr>
      <vt:lpstr>Scapolite!Xe129Blankerr</vt:lpstr>
      <vt:lpstr>Shallowater!Xe129Blankerr</vt:lpstr>
      <vt:lpstr>'Supplementary Data 3'!Xe129Blankerr</vt:lpstr>
      <vt:lpstr>'Halogen Samples (2)'!Xe129Raw</vt:lpstr>
      <vt:lpstr>Scapolite!Xe129Raw</vt:lpstr>
      <vt:lpstr>Shallowater!Xe129Raw</vt:lpstr>
      <vt:lpstr>'Supplementary Data 3'!Xe129Raw</vt:lpstr>
      <vt:lpstr>'Halogen Samples (2)'!Xe129Rawerr</vt:lpstr>
      <vt:lpstr>Scapolite!Xe129Rawerr</vt:lpstr>
      <vt:lpstr>Shallowater!Xe129Rawerr</vt:lpstr>
      <vt:lpstr>'Supplementary Data 3'!Xe129Rawerr</vt:lpstr>
      <vt:lpstr>'Halogen Samples (2)'!Xe130BC</vt:lpstr>
      <vt:lpstr>Scapolite!Xe130BC</vt:lpstr>
      <vt:lpstr>Shallowater!Xe130BC</vt:lpstr>
      <vt:lpstr>'Supplementary Data 3'!Xe130BC</vt:lpstr>
      <vt:lpstr>'Halogen Samples (2)'!Xe130BCerr</vt:lpstr>
      <vt:lpstr>Scapolite!Xe130BCerr</vt:lpstr>
      <vt:lpstr>Shallowater!Xe130BCerr</vt:lpstr>
      <vt:lpstr>'Supplementary Data 3'!Xe130BCerr</vt:lpstr>
      <vt:lpstr>'Halogen Samples (2)'!Xe130Blank</vt:lpstr>
      <vt:lpstr>Scapolite!Xe130Blank</vt:lpstr>
      <vt:lpstr>Shallowater!Xe130Blank</vt:lpstr>
      <vt:lpstr>'Supplementary Data 3'!Xe130Blank</vt:lpstr>
      <vt:lpstr>'Halogen Samples (2)'!Xe130Blankerr</vt:lpstr>
      <vt:lpstr>Scapolite!Xe130Blankerr</vt:lpstr>
      <vt:lpstr>Shallowater!Xe130Blankerr</vt:lpstr>
      <vt:lpstr>'Supplementary Data 3'!Xe130Blankerr</vt:lpstr>
      <vt:lpstr>'Halogen Samples (2)'!Xe130Raw</vt:lpstr>
      <vt:lpstr>Scapolite!Xe130Raw</vt:lpstr>
      <vt:lpstr>Shallowater!Xe130Raw</vt:lpstr>
      <vt:lpstr>'Supplementary Data 3'!Xe130Raw</vt:lpstr>
      <vt:lpstr>'Halogen Samples (2)'!Xe130Rawerr</vt:lpstr>
      <vt:lpstr>Scapolite!Xe130Rawerr</vt:lpstr>
      <vt:lpstr>Shallowater!Xe130Rawerr</vt:lpstr>
      <vt:lpstr>'Supplementary Data 3'!Xe130Rawerr</vt:lpstr>
      <vt:lpstr>Xe131130_Air</vt:lpstr>
      <vt:lpstr>Xe131130_Mix</vt:lpstr>
      <vt:lpstr>Xe131130_Mixerr</vt:lpstr>
      <vt:lpstr>Xe131130_Q</vt:lpstr>
      <vt:lpstr>Xe131130_Qerr</vt:lpstr>
      <vt:lpstr>Xe131130_SW</vt:lpstr>
      <vt:lpstr>Xe131130_SWerr</vt:lpstr>
      <vt:lpstr>Xe131136_nf</vt:lpstr>
      <vt:lpstr>Xe131136_nferr</vt:lpstr>
      <vt:lpstr>'Halogen Samples (2)'!Xe131AC</vt:lpstr>
      <vt:lpstr>Scapolite!Xe131AC</vt:lpstr>
      <vt:lpstr>Shallowater!Xe131AC</vt:lpstr>
      <vt:lpstr>'Supplementary Data 3'!Xe131AC</vt:lpstr>
      <vt:lpstr>'Halogen Samples (2)'!Xe131ACerr</vt:lpstr>
      <vt:lpstr>Scapolite!Xe131ACerr</vt:lpstr>
      <vt:lpstr>Shallowater!Xe131ACerr</vt:lpstr>
      <vt:lpstr>'Supplementary Data 3'!Xe131ACerr</vt:lpstr>
      <vt:lpstr>'Halogen Samples (2)'!Xe131Ba</vt:lpstr>
      <vt:lpstr>Scapolite!Xe131Ba</vt:lpstr>
      <vt:lpstr>'Supplementary Data 3'!Xe131Ba</vt:lpstr>
      <vt:lpstr>'Halogen Samples (2)'!Xe131Bacc</vt:lpstr>
      <vt:lpstr>Scapolite!Xe131Bacc</vt:lpstr>
      <vt:lpstr>'Supplementary Data 3'!Xe131Bacc</vt:lpstr>
      <vt:lpstr>'Halogen Samples (2)'!Xe131BaCCerr</vt:lpstr>
      <vt:lpstr>Scapolite!Xe131BaCCerr</vt:lpstr>
      <vt:lpstr>'Supplementary Data 3'!Xe131BaCCerr</vt:lpstr>
      <vt:lpstr>'Halogen Samples (2)'!Xe131Baerr</vt:lpstr>
      <vt:lpstr>Scapolite!Xe131Baerr</vt:lpstr>
      <vt:lpstr>'Supplementary Data 3'!Xe131Baerr</vt:lpstr>
      <vt:lpstr>'Halogen Samples (2)'!Xe131BC</vt:lpstr>
      <vt:lpstr>Scapolite!Xe131BC</vt:lpstr>
      <vt:lpstr>Shallowater!Xe131BC</vt:lpstr>
      <vt:lpstr>'Supplementary Data 3'!Xe131BC</vt:lpstr>
      <vt:lpstr>'Halogen Samples (2)'!Xe131BCerr</vt:lpstr>
      <vt:lpstr>Scapolite!Xe131BCerr</vt:lpstr>
      <vt:lpstr>Shallowater!Xe131BCerr</vt:lpstr>
      <vt:lpstr>'Supplementary Data 3'!Xe131BCerr</vt:lpstr>
      <vt:lpstr>'Halogen Samples (2)'!Xe131Blank</vt:lpstr>
      <vt:lpstr>Scapolite!Xe131Blank</vt:lpstr>
      <vt:lpstr>Shallowater!Xe131Blank</vt:lpstr>
      <vt:lpstr>'Supplementary Data 3'!Xe131Blank</vt:lpstr>
      <vt:lpstr>'Halogen Samples (2)'!Xe131Blankerr</vt:lpstr>
      <vt:lpstr>Scapolite!Xe131Blankerr</vt:lpstr>
      <vt:lpstr>Shallowater!Xe131Blankerr</vt:lpstr>
      <vt:lpstr>'Supplementary Data 3'!Xe131Blankerr</vt:lpstr>
      <vt:lpstr>'Halogen Samples (2)'!Xe131CC</vt:lpstr>
      <vt:lpstr>Scapolite!Xe131CC</vt:lpstr>
      <vt:lpstr>'Supplementary Data 3'!Xe131CC</vt:lpstr>
      <vt:lpstr>'Halogen Samples (2)'!Xe131CCerr</vt:lpstr>
      <vt:lpstr>Scapolite!Xe131CCerr</vt:lpstr>
      <vt:lpstr>'Supplementary Data 3'!Xe131CCerr</vt:lpstr>
      <vt:lpstr>'Halogen Samples (2)'!Xe131mole</vt:lpstr>
      <vt:lpstr>Scapolite!Xe131mole</vt:lpstr>
      <vt:lpstr>'Supplementary Data 3'!Xe131mole</vt:lpstr>
      <vt:lpstr>'Halogen Samples (2)'!Xe131moleerr</vt:lpstr>
      <vt:lpstr>Scapolite!Xe131moleerr</vt:lpstr>
      <vt:lpstr>'Supplementary Data 3'!Xe131moleerr</vt:lpstr>
      <vt:lpstr>'Halogen Samples (2)'!Xe131Raw</vt:lpstr>
      <vt:lpstr>Scapolite!Xe131Raw</vt:lpstr>
      <vt:lpstr>Shallowater!Xe131Raw</vt:lpstr>
      <vt:lpstr>'Supplementary Data 3'!Xe131Raw</vt:lpstr>
      <vt:lpstr>'Halogen Samples (2)'!Xe131Rawerr</vt:lpstr>
      <vt:lpstr>Scapolite!Xe131Rawerr</vt:lpstr>
      <vt:lpstr>Shallowater!Xe131Rawerr</vt:lpstr>
      <vt:lpstr>'Supplementary Data 3'!Xe131Rawerr</vt:lpstr>
      <vt:lpstr>Xe132130_Air</vt:lpstr>
      <vt:lpstr>Xe132130_Mix</vt:lpstr>
      <vt:lpstr>Xe132130_Mixerr</vt:lpstr>
      <vt:lpstr>Xe132130_Q</vt:lpstr>
      <vt:lpstr>Xe132130_Qerr</vt:lpstr>
      <vt:lpstr>Xe132130_SW</vt:lpstr>
      <vt:lpstr>Xe132130_SWerr</vt:lpstr>
      <vt:lpstr>Xe132136_Qerr</vt:lpstr>
      <vt:lpstr>'Halogen Samples (2)'!Xe132AC</vt:lpstr>
      <vt:lpstr>Scapolite!Xe132AC</vt:lpstr>
      <vt:lpstr>Shallowater!Xe132AC</vt:lpstr>
      <vt:lpstr>'Supplementary Data 3'!Xe132AC</vt:lpstr>
      <vt:lpstr>'Halogen Samples (2)'!Xe132ACerr</vt:lpstr>
      <vt:lpstr>Scapolite!Xe132ACerr</vt:lpstr>
      <vt:lpstr>Shallowater!Xe132ACerr</vt:lpstr>
      <vt:lpstr>'Supplementary Data 3'!Xe132ACerr</vt:lpstr>
      <vt:lpstr>'Halogen Samples (2)'!Xe132BC</vt:lpstr>
      <vt:lpstr>Scapolite!Xe132BC</vt:lpstr>
      <vt:lpstr>Shallowater!Xe132BC</vt:lpstr>
      <vt:lpstr>'Supplementary Data 3'!Xe132BC</vt:lpstr>
      <vt:lpstr>'Halogen Samples (2)'!Xe132BCerr</vt:lpstr>
      <vt:lpstr>Scapolite!Xe132BCerr</vt:lpstr>
      <vt:lpstr>Shallowater!Xe132BCerr</vt:lpstr>
      <vt:lpstr>'Supplementary Data 3'!Xe132BCerr</vt:lpstr>
      <vt:lpstr>'Halogen Samples (2)'!Xe132Blank</vt:lpstr>
      <vt:lpstr>Scapolite!Xe132Blank</vt:lpstr>
      <vt:lpstr>Shallowater!Xe132Blank</vt:lpstr>
      <vt:lpstr>'Supplementary Data 3'!Xe132Blank</vt:lpstr>
      <vt:lpstr>'Halogen Samples (2)'!Xe132Blankerr</vt:lpstr>
      <vt:lpstr>Scapolite!Xe132Blankerr</vt:lpstr>
      <vt:lpstr>Shallowater!Xe132Blankerr</vt:lpstr>
      <vt:lpstr>'Supplementary Data 3'!Xe132Blankerr</vt:lpstr>
      <vt:lpstr>'Halogen Samples (2)'!Xe132Raw</vt:lpstr>
      <vt:lpstr>Scapolite!Xe132Raw</vt:lpstr>
      <vt:lpstr>Shallowater!Xe132Raw</vt:lpstr>
      <vt:lpstr>'Supplementary Data 3'!Xe132Raw</vt:lpstr>
      <vt:lpstr>'Halogen Samples (2)'!Xe132Rawerr</vt:lpstr>
      <vt:lpstr>Scapolite!Xe132Rawerr</vt:lpstr>
      <vt:lpstr>Shallowater!Xe132Rawerr</vt:lpstr>
      <vt:lpstr>'Supplementary Data 3'!Xe132Rawerr</vt:lpstr>
      <vt:lpstr>'Halogen Samples (2)'!Xe134_mole</vt:lpstr>
      <vt:lpstr>'Supplementary Data 3'!Xe134_mole</vt:lpstr>
      <vt:lpstr>'Halogen Samples (2)'!Xe134_moleerr</vt:lpstr>
      <vt:lpstr>'Supplementary Data 3'!Xe134_moleerr</vt:lpstr>
      <vt:lpstr>Xe134130_Air</vt:lpstr>
      <vt:lpstr>Xe134130_Mix</vt:lpstr>
      <vt:lpstr>Xe134130_Mixerr</vt:lpstr>
      <vt:lpstr>Xe134130_Q</vt:lpstr>
      <vt:lpstr>Xe134130_Qerr</vt:lpstr>
      <vt:lpstr>Xe134130_SW</vt:lpstr>
      <vt:lpstr>Xe134130_SWerr</vt:lpstr>
      <vt:lpstr>Xe134136_nf</vt:lpstr>
      <vt:lpstr>Xe134136_nferr</vt:lpstr>
      <vt:lpstr>'Halogen Samples (2)'!Xe134AC</vt:lpstr>
      <vt:lpstr>Scapolite!Xe134AC</vt:lpstr>
      <vt:lpstr>Shallowater!Xe134AC</vt:lpstr>
      <vt:lpstr>'Supplementary Data 3'!Xe134AC</vt:lpstr>
      <vt:lpstr>'Halogen Samples (2)'!Xe134ACerr</vt:lpstr>
      <vt:lpstr>Scapolite!Xe134ACerr</vt:lpstr>
      <vt:lpstr>Shallowater!Xe134ACerr</vt:lpstr>
      <vt:lpstr>'Supplementary Data 3'!Xe134ACerr</vt:lpstr>
      <vt:lpstr>'Halogen Samples (2)'!Xe134BC</vt:lpstr>
      <vt:lpstr>Scapolite!Xe134BC</vt:lpstr>
      <vt:lpstr>Shallowater!Xe134BC</vt:lpstr>
      <vt:lpstr>'Supplementary Data 3'!Xe134BC</vt:lpstr>
      <vt:lpstr>'Halogen Samples (2)'!Xe134BCerr</vt:lpstr>
      <vt:lpstr>Scapolite!Xe134BCerr</vt:lpstr>
      <vt:lpstr>Shallowater!Xe134BCerr</vt:lpstr>
      <vt:lpstr>'Supplementary Data 3'!Xe134BCerr</vt:lpstr>
      <vt:lpstr>'Halogen Samples (2)'!Xe134Blank</vt:lpstr>
      <vt:lpstr>Scapolite!Xe134Blank</vt:lpstr>
      <vt:lpstr>Shallowater!Xe134Blank</vt:lpstr>
      <vt:lpstr>'Supplementary Data 3'!Xe134Blank</vt:lpstr>
      <vt:lpstr>'Halogen Samples (2)'!Xe134Blankerr</vt:lpstr>
      <vt:lpstr>Scapolite!Xe134Blankerr</vt:lpstr>
      <vt:lpstr>Shallowater!Xe134Blankerr</vt:lpstr>
      <vt:lpstr>'Supplementary Data 3'!Xe134Blankerr</vt:lpstr>
      <vt:lpstr>'Halogen Samples (2)'!Xe134CC</vt:lpstr>
      <vt:lpstr>Scapolite!Xe134CC</vt:lpstr>
      <vt:lpstr>'Supplementary Data 3'!Xe134CC</vt:lpstr>
      <vt:lpstr>'Halogen Samples (2)'!Xe134CCerr</vt:lpstr>
      <vt:lpstr>Scapolite!Xe134CCerr</vt:lpstr>
      <vt:lpstr>'Supplementary Data 3'!Xe134CCerr</vt:lpstr>
      <vt:lpstr>'Halogen Samples (2)'!Xe134mole</vt:lpstr>
      <vt:lpstr>Scapolite!Xe134mole</vt:lpstr>
      <vt:lpstr>'Supplementary Data 3'!Xe134mole</vt:lpstr>
      <vt:lpstr>'Halogen Samples (2)'!Xe134moleerr</vt:lpstr>
      <vt:lpstr>Scapolite!Xe134moleerr</vt:lpstr>
      <vt:lpstr>'Supplementary Data 3'!Xe134moleerr</vt:lpstr>
      <vt:lpstr>'Halogen Samples (2)'!Xe134Raw</vt:lpstr>
      <vt:lpstr>Scapolite!Xe134Raw</vt:lpstr>
      <vt:lpstr>Shallowater!Xe134Raw</vt:lpstr>
      <vt:lpstr>'Supplementary Data 3'!Xe134Raw</vt:lpstr>
      <vt:lpstr>'Halogen Samples (2)'!Xe134Rawerr</vt:lpstr>
      <vt:lpstr>Scapolite!Xe134Rawerr</vt:lpstr>
      <vt:lpstr>Shallowater!Xe134Rawerr</vt:lpstr>
      <vt:lpstr>'Supplementary Data 3'!Xe134Rawerr</vt:lpstr>
      <vt:lpstr>Xe136130_Air</vt:lpstr>
      <vt:lpstr>Xe136130_Mix</vt:lpstr>
      <vt:lpstr>Xe136130_Mixerr</vt:lpstr>
      <vt:lpstr>Xe136130_Q</vt:lpstr>
      <vt:lpstr>Xe136130_SW</vt:lpstr>
      <vt:lpstr>Xe136130_SWerr</vt:lpstr>
      <vt:lpstr>'Halogen Samples (2)'!Xe136AC</vt:lpstr>
      <vt:lpstr>Scapolite!Xe136AC</vt:lpstr>
      <vt:lpstr>Shallowater!Xe136AC</vt:lpstr>
      <vt:lpstr>'Supplementary Data 3'!Xe136AC</vt:lpstr>
      <vt:lpstr>'Halogen Samples (2)'!Xe136ACerr</vt:lpstr>
      <vt:lpstr>Scapolite!Xe136ACerr</vt:lpstr>
      <vt:lpstr>Shallowater!Xe136ACerr</vt:lpstr>
      <vt:lpstr>'Supplementary Data 3'!Xe136ACerr</vt:lpstr>
      <vt:lpstr>'Halogen Samples (2)'!Xe136BC</vt:lpstr>
      <vt:lpstr>Scapolite!Xe136BC</vt:lpstr>
      <vt:lpstr>Shallowater!Xe136BC</vt:lpstr>
      <vt:lpstr>'Supplementary Data 3'!Xe136BC</vt:lpstr>
      <vt:lpstr>'Halogen Samples (2)'!Xe136BCerr</vt:lpstr>
      <vt:lpstr>Scapolite!Xe136BCerr</vt:lpstr>
      <vt:lpstr>Shallowater!Xe136BCerr</vt:lpstr>
      <vt:lpstr>'Supplementary Data 3'!Xe136BCerr</vt:lpstr>
      <vt:lpstr>'Halogen Samples (2)'!Xe136Blank</vt:lpstr>
      <vt:lpstr>Scapolite!Xe136Blank</vt:lpstr>
      <vt:lpstr>Shallowater!Xe136Blank</vt:lpstr>
      <vt:lpstr>'Supplementary Data 3'!Xe136Blank</vt:lpstr>
      <vt:lpstr>'Halogen Samples (2)'!Xe136Blankerr</vt:lpstr>
      <vt:lpstr>Scapolite!Xe136Blankerr</vt:lpstr>
      <vt:lpstr>Shallowater!Xe136Blankerr</vt:lpstr>
      <vt:lpstr>'Supplementary Data 3'!Xe136Blankerr</vt:lpstr>
      <vt:lpstr>'Halogen Samples (2)'!Xe136Raw</vt:lpstr>
      <vt:lpstr>Scapolite!Xe136Raw</vt:lpstr>
      <vt:lpstr>Shallowater!Xe136Raw</vt:lpstr>
      <vt:lpstr>'Supplementary Data 3'!Xe136Raw</vt:lpstr>
      <vt:lpstr>'Halogen Samples (2)'!Xe136Rawerr</vt:lpstr>
      <vt:lpstr>Scapolite!Xe136Rawerr</vt:lpstr>
      <vt:lpstr>Shallowater!Xe136Rawerr</vt:lpstr>
      <vt:lpstr>'Supplementary Data 3'!Xe136Rawerr</vt:lpstr>
      <vt:lpstr>y_1</vt:lpstr>
      <vt:lpstr>Y_127I</vt:lpstr>
      <vt:lpstr>Y_130Ba</vt:lpstr>
      <vt:lpstr>y_2</vt:lpstr>
      <vt:lpstr>Y_235U</vt:lpstr>
      <vt:lpstr>y_3</vt:lpstr>
      <vt:lpstr>Y_37Cl</vt:lpstr>
      <vt:lpstr>Y_39K</vt:lpstr>
      <vt:lpstr>y_4</vt:lpstr>
      <vt:lpstr>y_5</vt:lpstr>
      <vt:lpstr>Y_79Br</vt:lpstr>
      <vt:lpstr>Y_81Br</vt:lpstr>
      <vt:lpstr>Y134Xe</vt:lpstr>
      <vt:lpstr>Y134Xeerr</vt:lpstr>
      <vt:lpstr>Y86Kr</vt:lpstr>
      <vt:lpstr>Y86Kr_err</vt:lpstr>
      <vt:lpstr>'Halogen Samples (2)'!YKr</vt:lpstr>
      <vt:lpstr>Scapolite!YKr</vt:lpstr>
      <vt:lpstr>'Supplementary Data 3'!YKr</vt:lpstr>
      <vt:lpstr>'Halogen Samples (2)'!YKrerr</vt:lpstr>
      <vt:lpstr>Scapolite!YKrerr</vt:lpstr>
      <vt:lpstr>'Supplementary Data 3'!YKrerr</vt:lpstr>
      <vt:lpstr>'Halogen Samples (2)'!YXe</vt:lpstr>
      <vt:lpstr>Scapolite!YXe</vt:lpstr>
      <vt:lpstr>'Supplementary Data 3'!YXe</vt:lpstr>
      <vt:lpstr>'Halogen Samples (2)'!YXeerr</vt:lpstr>
      <vt:lpstr>Scapolite!YXeerr</vt:lpstr>
      <vt:lpstr>'Supplementary Data 3'!YXeerr</vt:lpstr>
    </vt:vector>
  </TitlesOfParts>
  <Manager>Ruzie-Clay</Manager>
  <Company>UOM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Halogen Data Reduction Spreadsheet</dc:title>
  <dc:creator>Patricia L Clay;Lorraine Ruzie</dc:creator>
  <cp:keywords>Version 2.0 October 2017</cp:keywords>
  <cp:lastModifiedBy>Elliot Carter</cp:lastModifiedBy>
  <cp:revision>1</cp:revision>
  <dcterms:created xsi:type="dcterms:W3CDTF">2014-10-24T12:31:30Z</dcterms:created>
  <dcterms:modified xsi:type="dcterms:W3CDTF">2026-01-07T14:27:09Z</dcterms:modified>
  <cp:contentStatus>validated</cp:contentStatus>
  <cp:version>V1</cp:version>
</cp:coreProperties>
</file>