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geracuk-my.sharepoint.com/personal/aa33_sanger_ac_uk/Documents/001-Projects/03-PDZ_Homologs/05-revisions/01-supplementary_Data/"/>
    </mc:Choice>
  </mc:AlternateContent>
  <xr:revisionPtr revIDLastSave="501" documentId="8_{021C028D-D20D-EC47-9B29-CDBAB0773FEE}" xr6:coauthVersionLast="47" xr6:coauthVersionMax="47" xr10:uidLastSave="{B257FCBD-D577-B449-A1CE-5A5220C197F2}"/>
  <bookViews>
    <workbookView xWindow="420" yWindow="-23500" windowWidth="33720" windowHeight="16680" xr2:uid="{4574D497-2643-224C-8DD7-F523BB24C55A}"/>
  </bookViews>
  <sheets>
    <sheet name="README" sheetId="2" r:id="rId1"/>
    <sheet name="tableS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1" l="1"/>
  <c r="K54" i="1"/>
  <c r="K53" i="1"/>
  <c r="K43" i="1"/>
  <c r="K42" i="1"/>
  <c r="K41" i="1"/>
  <c r="K52" i="1"/>
  <c r="K51" i="1"/>
  <c r="K50" i="1"/>
  <c r="K49" i="1"/>
  <c r="K48" i="1"/>
  <c r="K47" i="1"/>
  <c r="K46" i="1"/>
  <c r="K45" i="1"/>
  <c r="K44" i="1"/>
  <c r="K40" i="1"/>
  <c r="K39" i="1"/>
  <c r="K38" i="1"/>
  <c r="K61" i="1"/>
  <c r="K60" i="1"/>
  <c r="K59" i="1"/>
  <c r="K58" i="1"/>
  <c r="K57" i="1"/>
  <c r="K56" i="1"/>
  <c r="K34" i="1"/>
  <c r="K33" i="1"/>
  <c r="K32" i="1"/>
  <c r="K37" i="1"/>
  <c r="K36" i="1"/>
  <c r="K35" i="1"/>
  <c r="K31" i="1"/>
  <c r="H59" i="1"/>
  <c r="H53" i="1"/>
  <c r="H50" i="1"/>
  <c r="H44" i="1"/>
  <c r="H38" i="1"/>
  <c r="H35" i="1"/>
  <c r="H32" i="1"/>
  <c r="H47" i="1"/>
  <c r="H56" i="1"/>
  <c r="H41" i="1"/>
  <c r="G56" i="1"/>
  <c r="G47" i="1"/>
  <c r="G41" i="1"/>
  <c r="G32" i="1"/>
  <c r="K25" i="1" l="1"/>
  <c r="K24" i="1"/>
  <c r="K23" i="1"/>
  <c r="K13" i="1"/>
  <c r="K12" i="1"/>
  <c r="K11" i="1"/>
  <c r="K30" i="1"/>
  <c r="K29" i="1"/>
  <c r="K7" i="1"/>
  <c r="K6" i="1"/>
  <c r="K5" i="1"/>
  <c r="K19" i="1"/>
  <c r="K18" i="1"/>
  <c r="K17" i="1"/>
  <c r="K16" i="1"/>
  <c r="K15" i="1"/>
  <c r="K14" i="1"/>
  <c r="K10" i="1"/>
  <c r="K9" i="1"/>
  <c r="K8" i="1"/>
  <c r="H29" i="1"/>
  <c r="H26" i="1"/>
  <c r="H23" i="1"/>
  <c r="H20" i="1"/>
  <c r="H17" i="1"/>
  <c r="H14" i="1"/>
  <c r="H11" i="1"/>
  <c r="H8" i="1"/>
  <c r="H5" i="1"/>
  <c r="H2" i="1"/>
  <c r="G26" i="1"/>
  <c r="G17" i="1"/>
  <c r="G11" i="1"/>
  <c r="G2" i="1"/>
</calcChain>
</file>

<file path=xl/sharedStrings.xml><?xml version="1.0" encoding="utf-8"?>
<sst xmlns="http://schemas.openxmlformats.org/spreadsheetml/2006/main" count="217" uniqueCount="51">
  <si>
    <t>block</t>
  </si>
  <si>
    <t>assay</t>
  </si>
  <si>
    <t>replica</t>
  </si>
  <si>
    <t>transformants coverage in yeast transformation (X)</t>
  </si>
  <si>
    <t>Selection pool</t>
  </si>
  <si>
    <t>harvest OD600</t>
  </si>
  <si>
    <t>PSD95-PDZ2</t>
  </si>
  <si>
    <t>PDZ domain</t>
  </si>
  <si>
    <t>binding partner</t>
  </si>
  <si>
    <t>AbundancePCA</t>
  </si>
  <si>
    <t>CRIPT</t>
  </si>
  <si>
    <t>NMDAR2A</t>
  </si>
  <si>
    <t>BindingPCA</t>
  </si>
  <si>
    <t>NHERF3-PDZ2</t>
  </si>
  <si>
    <t>CEP164</t>
  </si>
  <si>
    <t>NHERF3-PDZ1</t>
  </si>
  <si>
    <t>DAP-1</t>
  </si>
  <si>
    <t>UHMK1</t>
  </si>
  <si>
    <t>ERBIN-PDZ1</t>
  </si>
  <si>
    <t>b1_group1</t>
  </si>
  <si>
    <t>selection time (h)</t>
  </si>
  <si>
    <t>b1_group4</t>
  </si>
  <si>
    <t>b1_group5</t>
  </si>
  <si>
    <t>b1_group2</t>
  </si>
  <si>
    <t>b1_group3</t>
  </si>
  <si>
    <t>Selection volume (L)</t>
  </si>
  <si>
    <t>b2_group1</t>
  </si>
  <si>
    <t>b2_group2</t>
  </si>
  <si>
    <t>b2_group3</t>
  </si>
  <si>
    <t>b2_group4</t>
  </si>
  <si>
    <t>b2_group5</t>
  </si>
  <si>
    <t>Column name</t>
  </si>
  <si>
    <t>Description</t>
  </si>
  <si>
    <t>PDZ domain tested in the assay, identified by protein name and domain (e.g., PSD95–PDZ2).</t>
  </si>
  <si>
    <t>Biological replicate number of the experiment.</t>
  </si>
  <si>
    <t>Duration of the selection step (in hours) before harvesting.</t>
  </si>
  <si>
    <t>complexity</t>
  </si>
  <si>
    <t>Fold coverage of the library by bacterial transformants after transformation into assay plasmids (pGJJ045 for abundancePCA and pGJJ001 for bindingPCA), calculated as the ratio of transformants to library complexity.</t>
  </si>
  <si>
    <t>transformants coverage into assay plasmid</t>
  </si>
  <si>
    <t>transformants coverage pGJJ191</t>
  </si>
  <si>
    <t xml:space="preserve"> transformants coverage into assay plasmid</t>
  </si>
  <si>
    <t>Identifier of the pool in which the corresponding library was included during the selection experiment.</t>
  </si>
  <si>
    <t>transformants coverage in yeast transformation</t>
  </si>
  <si>
    <t>Fold coverage of the library by yeast transformants, calculated as the ratio of transformants to library complexity.</t>
  </si>
  <si>
    <t>Optical density OD600 at which cells were harvested after selection. (starting OD600 was always 0.05)</t>
  </si>
  <si>
    <t>Ligand protein name (the last 9 C-terminal residues were included in the construct).</t>
  </si>
  <si>
    <t>Type of assay the row measurement corresponds to (AbundancePCA or BindingPCA)</t>
  </si>
  <si>
    <t>Nucleotide-level library complexity for the corresponding block (i.e., total number of unique variants in that library).</t>
  </si>
  <si>
    <t>Number of the mutational library block (1 or 2); each library was divided into two independently mutated and assayed blocks.</t>
  </si>
  <si>
    <t>Fold coverage of the library by bacterial transformants after transformation into plasmid pGJJ191, calculated as the ratio of transformants to library complexity.</t>
  </si>
  <si>
    <t xml:space="preserve">Number of culture liters used for the corresponding selection pool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</si>
</sst>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0" xfId="0" applyNumberFormat="1" applyFill="1"/>
    <xf numFmtId="0" fontId="0" fillId="3" borderId="0" xfId="0" applyFill="1" applyAlignment="1">
      <alignment horizontal="center"/>
    </xf>
    <xf numFmtId="0" fontId="0" fillId="3" borderId="0" xfId="0" applyFill="1"/>
    <xf numFmtId="2" fontId="0" fillId="3" borderId="0" xfId="0" applyNumberFormat="1" applyFill="1" applyAlignment="1">
      <alignment horizontal="center"/>
    </xf>
    <xf numFmtId="2" fontId="0" fillId="3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/>
    <xf numFmtId="2" fontId="0" fillId="4" borderId="0" xfId="0" applyNumberFormat="1" applyFill="1" applyAlignment="1">
      <alignment horizontal="center"/>
    </xf>
    <xf numFmtId="2" fontId="0" fillId="4" borderId="0" xfId="0" applyNumberForma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CD79-C723-634E-830E-DD7AD2A3A11D}">
  <dimension ref="A1:M14"/>
  <sheetViews>
    <sheetView tabSelected="1" zoomScale="208" workbookViewId="0">
      <selection activeCell="B10" sqref="B10"/>
    </sheetView>
  </sheetViews>
  <sheetFormatPr baseColWidth="10" defaultRowHeight="16" x14ac:dyDescent="0.2"/>
  <cols>
    <col min="1" max="1" width="35" customWidth="1"/>
  </cols>
  <sheetData>
    <row r="1" spans="1:13" x14ac:dyDescent="0.2">
      <c r="A1" s="18" t="s">
        <v>31</v>
      </c>
      <c r="B1" s="18" t="s">
        <v>32</v>
      </c>
    </row>
    <row r="2" spans="1:13" ht="19" x14ac:dyDescent="0.25">
      <c r="A2" t="s">
        <v>0</v>
      </c>
      <c r="B2" t="s">
        <v>48</v>
      </c>
      <c r="C2" s="3"/>
      <c r="D2" s="3"/>
      <c r="E2" s="4"/>
      <c r="F2" s="4"/>
      <c r="G2" s="4"/>
      <c r="H2" s="4"/>
      <c r="I2" s="4"/>
      <c r="J2" s="3"/>
      <c r="K2" s="3"/>
      <c r="L2" s="3"/>
      <c r="M2" s="3"/>
    </row>
    <row r="3" spans="1:13" x14ac:dyDescent="0.2">
      <c r="A3" t="s">
        <v>7</v>
      </c>
      <c r="B3" t="s">
        <v>33</v>
      </c>
    </row>
    <row r="4" spans="1:13" x14ac:dyDescent="0.2">
      <c r="A4" t="s">
        <v>8</v>
      </c>
      <c r="B4" t="s">
        <v>45</v>
      </c>
    </row>
    <row r="5" spans="1:13" x14ac:dyDescent="0.2">
      <c r="A5" t="s">
        <v>1</v>
      </c>
      <c r="B5" t="s">
        <v>46</v>
      </c>
    </row>
    <row r="6" spans="1:13" x14ac:dyDescent="0.2">
      <c r="A6" t="s">
        <v>36</v>
      </c>
      <c r="B6" t="s">
        <v>47</v>
      </c>
    </row>
    <row r="7" spans="1:13" x14ac:dyDescent="0.2">
      <c r="A7" t="s">
        <v>2</v>
      </c>
      <c r="B7" t="s">
        <v>34</v>
      </c>
    </row>
    <row r="8" spans="1:13" x14ac:dyDescent="0.2">
      <c r="A8" t="s">
        <v>39</v>
      </c>
      <c r="B8" s="19" t="s">
        <v>49</v>
      </c>
    </row>
    <row r="9" spans="1:13" x14ac:dyDescent="0.2">
      <c r="A9" t="s">
        <v>38</v>
      </c>
      <c r="B9" t="s">
        <v>37</v>
      </c>
    </row>
    <row r="10" spans="1:13" x14ac:dyDescent="0.2">
      <c r="A10" t="s">
        <v>4</v>
      </c>
      <c r="B10" t="s">
        <v>41</v>
      </c>
    </row>
    <row r="11" spans="1:13" x14ac:dyDescent="0.2">
      <c r="A11" t="s">
        <v>25</v>
      </c>
      <c r="B11" t="s">
        <v>50</v>
      </c>
    </row>
    <row r="12" spans="1:13" x14ac:dyDescent="0.2">
      <c r="A12" t="s">
        <v>42</v>
      </c>
      <c r="B12" t="s">
        <v>43</v>
      </c>
    </row>
    <row r="13" spans="1:13" x14ac:dyDescent="0.2">
      <c r="A13" t="s">
        <v>5</v>
      </c>
      <c r="B13" t="s">
        <v>44</v>
      </c>
    </row>
    <row r="14" spans="1:13" x14ac:dyDescent="0.2">
      <c r="A14" t="s">
        <v>20</v>
      </c>
      <c r="B1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6887-77CA-6C42-A03F-0AD88CCC484E}">
  <dimension ref="A1:M61"/>
  <sheetViews>
    <sheetView workbookViewId="0">
      <selection activeCell="L1" sqref="L1"/>
    </sheetView>
  </sheetViews>
  <sheetFormatPr baseColWidth="10" defaultRowHeight="16" x14ac:dyDescent="0.2"/>
  <cols>
    <col min="1" max="1" width="10.83203125" style="1"/>
    <col min="2" max="2" width="14.83203125" customWidth="1"/>
    <col min="3" max="3" width="17" customWidth="1"/>
    <col min="4" max="4" width="14.33203125" customWidth="1"/>
    <col min="5" max="5" width="24.6640625" style="1" customWidth="1"/>
    <col min="6" max="6" width="10" style="1" customWidth="1"/>
    <col min="7" max="7" width="16.83203125" style="1" customWidth="1"/>
    <col min="8" max="8" width="20" style="2" customWidth="1"/>
    <col min="9" max="9" width="16" style="1" customWidth="1"/>
    <col min="10" max="10" width="26.5" customWidth="1"/>
    <col min="11" max="11" width="32.1640625" customWidth="1"/>
    <col min="12" max="12" width="16.83203125" customWidth="1"/>
  </cols>
  <sheetData>
    <row r="1" spans="1:13" s="3" customFormat="1" ht="20" customHeight="1" x14ac:dyDescent="0.25">
      <c r="A1" s="4" t="s">
        <v>0</v>
      </c>
      <c r="B1" s="3" t="s">
        <v>7</v>
      </c>
      <c r="C1" s="3" t="s">
        <v>8</v>
      </c>
      <c r="D1" s="3" t="s">
        <v>1</v>
      </c>
      <c r="E1" s="4" t="s">
        <v>36</v>
      </c>
      <c r="F1" s="4" t="s">
        <v>2</v>
      </c>
      <c r="G1" s="4" t="s">
        <v>39</v>
      </c>
      <c r="H1" s="4" t="s">
        <v>40</v>
      </c>
      <c r="I1" s="4" t="s">
        <v>4</v>
      </c>
      <c r="J1" s="3" t="s">
        <v>25</v>
      </c>
      <c r="K1" s="3" t="s">
        <v>3</v>
      </c>
      <c r="L1" s="3" t="s">
        <v>5</v>
      </c>
      <c r="M1" s="3" t="s">
        <v>20</v>
      </c>
    </row>
    <row r="2" spans="1:13" s="6" customFormat="1" x14ac:dyDescent="0.2">
      <c r="A2" s="7">
        <v>1</v>
      </c>
      <c r="B2" s="6" t="s">
        <v>6</v>
      </c>
      <c r="C2" s="5"/>
      <c r="D2" s="6" t="s">
        <v>9</v>
      </c>
      <c r="E2" s="7">
        <v>51200</v>
      </c>
      <c r="F2" s="7">
        <v>1</v>
      </c>
      <c r="G2" s="7">
        <f>131.99*(E2*1.5)/E2</f>
        <v>197.98500000000001</v>
      </c>
      <c r="H2" s="8">
        <f>38.02*(E2*1.5)/E2</f>
        <v>57.030000000000008</v>
      </c>
      <c r="I2" s="7" t="s">
        <v>19</v>
      </c>
      <c r="J2" s="6">
        <v>1</v>
      </c>
      <c r="K2" s="9">
        <v>88.6</v>
      </c>
      <c r="L2" s="9">
        <v>1.27</v>
      </c>
      <c r="M2" s="9">
        <v>34.5</v>
      </c>
    </row>
    <row r="3" spans="1:13" s="6" customFormat="1" x14ac:dyDescent="0.2">
      <c r="A3" s="7">
        <v>1</v>
      </c>
      <c r="B3" s="6" t="s">
        <v>6</v>
      </c>
      <c r="C3" s="5"/>
      <c r="D3" s="6" t="s">
        <v>9</v>
      </c>
      <c r="E3" s="7">
        <v>51200</v>
      </c>
      <c r="F3" s="7">
        <v>2</v>
      </c>
      <c r="G3" s="7"/>
      <c r="H3" s="8"/>
      <c r="I3" s="7"/>
      <c r="K3" s="9">
        <v>52.8</v>
      </c>
      <c r="L3" s="9">
        <v>1.27</v>
      </c>
      <c r="M3" s="9">
        <v>34.5</v>
      </c>
    </row>
    <row r="4" spans="1:13" s="6" customFormat="1" x14ac:dyDescent="0.2">
      <c r="A4" s="7">
        <v>1</v>
      </c>
      <c r="B4" s="6" t="s">
        <v>6</v>
      </c>
      <c r="D4" s="6" t="s">
        <v>9</v>
      </c>
      <c r="E4" s="7">
        <v>51200</v>
      </c>
      <c r="F4" s="7">
        <v>3</v>
      </c>
      <c r="G4" s="7"/>
      <c r="H4" s="8"/>
      <c r="I4" s="7"/>
      <c r="K4" s="9">
        <v>47.6</v>
      </c>
      <c r="L4" s="9">
        <v>1.1599999999999999</v>
      </c>
      <c r="M4" s="9">
        <v>34.5</v>
      </c>
    </row>
    <row r="5" spans="1:13" s="11" customFormat="1" x14ac:dyDescent="0.2">
      <c r="A5" s="10">
        <v>1</v>
      </c>
      <c r="B5" s="11" t="s">
        <v>6</v>
      </c>
      <c r="C5" s="11" t="s">
        <v>10</v>
      </c>
      <c r="D5" s="11" t="s">
        <v>12</v>
      </c>
      <c r="E5" s="10">
        <v>51200</v>
      </c>
      <c r="F5" s="10">
        <v>1</v>
      </c>
      <c r="G5" s="10"/>
      <c r="H5" s="12">
        <f>76.07*(E5*1.5)/E5</f>
        <v>114.10499999999998</v>
      </c>
      <c r="I5" s="10" t="s">
        <v>23</v>
      </c>
      <c r="J5" s="11">
        <v>1</v>
      </c>
      <c r="K5" s="13">
        <f>7.8/0.150528</f>
        <v>51.817602040816325</v>
      </c>
      <c r="L5" s="13">
        <v>1.3519999999999999</v>
      </c>
      <c r="M5" s="13">
        <v>36</v>
      </c>
    </row>
    <row r="6" spans="1:13" s="11" customFormat="1" x14ac:dyDescent="0.2">
      <c r="A6" s="10">
        <v>1</v>
      </c>
      <c r="B6" s="11" t="s">
        <v>6</v>
      </c>
      <c r="C6" s="11" t="s">
        <v>10</v>
      </c>
      <c r="D6" s="11" t="s">
        <v>12</v>
      </c>
      <c r="E6" s="10">
        <v>51200</v>
      </c>
      <c r="F6" s="10">
        <v>2</v>
      </c>
      <c r="G6" s="10"/>
      <c r="H6" s="12"/>
      <c r="I6" s="10"/>
      <c r="K6" s="13">
        <f>5.7/0.150528</f>
        <v>37.866709183673471</v>
      </c>
      <c r="L6" s="13">
        <v>1.31</v>
      </c>
      <c r="M6" s="13">
        <v>36</v>
      </c>
    </row>
    <row r="7" spans="1:13" s="11" customFormat="1" x14ac:dyDescent="0.2">
      <c r="A7" s="10">
        <v>1</v>
      </c>
      <c r="B7" s="11" t="s">
        <v>6</v>
      </c>
      <c r="C7" s="11" t="s">
        <v>10</v>
      </c>
      <c r="D7" s="11" t="s">
        <v>12</v>
      </c>
      <c r="E7" s="10">
        <v>51200</v>
      </c>
      <c r="F7" s="10">
        <v>3</v>
      </c>
      <c r="G7" s="10"/>
      <c r="H7" s="12"/>
      <c r="I7" s="10"/>
      <c r="K7" s="13">
        <f>4.1/0.150528</f>
        <v>27.237457482993197</v>
      </c>
      <c r="L7" s="13">
        <v>1.1589999999999998</v>
      </c>
      <c r="M7" s="13">
        <v>36</v>
      </c>
    </row>
    <row r="8" spans="1:13" s="15" customFormat="1" x14ac:dyDescent="0.2">
      <c r="A8" s="14">
        <v>1</v>
      </c>
      <c r="B8" s="15" t="s">
        <v>6</v>
      </c>
      <c r="C8" s="15" t="s">
        <v>11</v>
      </c>
      <c r="D8" s="15" t="s">
        <v>12</v>
      </c>
      <c r="E8" s="14">
        <v>51200</v>
      </c>
      <c r="F8" s="14">
        <v>1</v>
      </c>
      <c r="G8" s="14"/>
      <c r="H8" s="16">
        <f>103.15*(E8*1.5)/E8</f>
        <v>154.72499999999999</v>
      </c>
      <c r="I8" s="14" t="s">
        <v>24</v>
      </c>
      <c r="J8" s="15">
        <v>1</v>
      </c>
      <c r="K8" s="17">
        <f>6.2/0.172032</f>
        <v>36.039806547619051</v>
      </c>
      <c r="L8" s="17">
        <v>1.51</v>
      </c>
      <c r="M8" s="17">
        <v>31.333333333313931</v>
      </c>
    </row>
    <row r="9" spans="1:13" s="15" customFormat="1" x14ac:dyDescent="0.2">
      <c r="A9" s="14">
        <v>1</v>
      </c>
      <c r="B9" s="15" t="s">
        <v>6</v>
      </c>
      <c r="C9" s="15" t="s">
        <v>11</v>
      </c>
      <c r="D9" s="15" t="s">
        <v>12</v>
      </c>
      <c r="E9" s="14">
        <v>51200</v>
      </c>
      <c r="F9" s="14">
        <v>2</v>
      </c>
      <c r="G9" s="14"/>
      <c r="H9" s="16"/>
      <c r="I9" s="14"/>
      <c r="K9" s="17">
        <f>5.5/0.172032</f>
        <v>31.970796130952383</v>
      </c>
      <c r="L9" s="17">
        <v>1.56</v>
      </c>
      <c r="M9" s="17">
        <v>31.333333333313931</v>
      </c>
    </row>
    <row r="10" spans="1:13" s="15" customFormat="1" x14ac:dyDescent="0.2">
      <c r="A10" s="14">
        <v>1</v>
      </c>
      <c r="B10" s="15" t="s">
        <v>6</v>
      </c>
      <c r="C10" s="15" t="s">
        <v>11</v>
      </c>
      <c r="D10" s="15" t="s">
        <v>12</v>
      </c>
      <c r="E10" s="14">
        <v>51200</v>
      </c>
      <c r="F10" s="14">
        <v>3</v>
      </c>
      <c r="G10" s="14"/>
      <c r="H10" s="16"/>
      <c r="I10" s="14"/>
      <c r="K10" s="17">
        <f>5.2/0.172032</f>
        <v>30.226934523809526</v>
      </c>
      <c r="L10" s="17">
        <v>1.55</v>
      </c>
      <c r="M10" s="17">
        <v>26.583333333372138</v>
      </c>
    </row>
    <row r="11" spans="1:13" s="6" customFormat="1" x14ac:dyDescent="0.2">
      <c r="A11" s="7">
        <v>1</v>
      </c>
      <c r="B11" s="6" t="s">
        <v>13</v>
      </c>
      <c r="D11" s="6" t="s">
        <v>9</v>
      </c>
      <c r="E11" s="7">
        <v>61440</v>
      </c>
      <c r="F11" s="7">
        <v>1</v>
      </c>
      <c r="G11" s="7">
        <f>53*(E11*1.5)/E11</f>
        <v>79.5</v>
      </c>
      <c r="H11" s="8">
        <f>69.06*(E11*1.5)/E11</f>
        <v>103.59</v>
      </c>
      <c r="I11" s="7" t="s">
        <v>21</v>
      </c>
      <c r="J11" s="6">
        <v>0.5</v>
      </c>
      <c r="K11" s="9">
        <f>5.3/0.120792</f>
        <v>43.877077952182262</v>
      </c>
      <c r="L11" s="9">
        <v>1.6</v>
      </c>
      <c r="M11" s="9">
        <v>23.499999999941792</v>
      </c>
    </row>
    <row r="12" spans="1:13" s="6" customFormat="1" x14ac:dyDescent="0.2">
      <c r="A12" s="7">
        <v>1</v>
      </c>
      <c r="B12" s="6" t="s">
        <v>13</v>
      </c>
      <c r="D12" s="6" t="s">
        <v>9</v>
      </c>
      <c r="E12" s="7">
        <v>61440</v>
      </c>
      <c r="F12" s="7">
        <v>2</v>
      </c>
      <c r="G12" s="7"/>
      <c r="H12" s="8"/>
      <c r="I12" s="7"/>
      <c r="K12" s="9">
        <f>5.75/0.120792</f>
        <v>47.60249023114114</v>
      </c>
      <c r="L12" s="9">
        <v>1.59</v>
      </c>
      <c r="M12" s="9">
        <v>27.999999999941792</v>
      </c>
    </row>
    <row r="13" spans="1:13" s="6" customFormat="1" x14ac:dyDescent="0.2">
      <c r="A13" s="7">
        <v>1</v>
      </c>
      <c r="B13" s="6" t="s">
        <v>13</v>
      </c>
      <c r="D13" s="6" t="s">
        <v>9</v>
      </c>
      <c r="E13" s="7">
        <v>61440</v>
      </c>
      <c r="F13" s="7">
        <v>3</v>
      </c>
      <c r="G13" s="7"/>
      <c r="H13" s="8"/>
      <c r="I13" s="7"/>
      <c r="K13" s="9">
        <f>4.8/0.120792</f>
        <v>39.737730975561298</v>
      </c>
      <c r="L13" s="9">
        <v>1.59</v>
      </c>
      <c r="M13" s="9">
        <v>25.083333333372138</v>
      </c>
    </row>
    <row r="14" spans="1:13" s="11" customFormat="1" x14ac:dyDescent="0.2">
      <c r="A14" s="10">
        <v>1</v>
      </c>
      <c r="B14" s="11" t="s">
        <v>13</v>
      </c>
      <c r="C14" s="11" t="s">
        <v>14</v>
      </c>
      <c r="D14" s="11" t="s">
        <v>12</v>
      </c>
      <c r="E14" s="10">
        <v>61440</v>
      </c>
      <c r="F14" s="10">
        <v>1</v>
      </c>
      <c r="G14" s="10"/>
      <c r="H14" s="12">
        <f>34.8*(E14*1.5)/E14</f>
        <v>52.199999999999996</v>
      </c>
      <c r="I14" s="10" t="s">
        <v>24</v>
      </c>
      <c r="J14" s="11">
        <v>1</v>
      </c>
      <c r="K14" s="13">
        <f>6.2/0.172032</f>
        <v>36.039806547619051</v>
      </c>
      <c r="L14" s="13">
        <v>1.51</v>
      </c>
      <c r="M14" s="13">
        <v>31.333333333313931</v>
      </c>
    </row>
    <row r="15" spans="1:13" s="11" customFormat="1" x14ac:dyDescent="0.2">
      <c r="A15" s="10">
        <v>1</v>
      </c>
      <c r="B15" s="11" t="s">
        <v>13</v>
      </c>
      <c r="C15" s="11" t="s">
        <v>14</v>
      </c>
      <c r="D15" s="11" t="s">
        <v>12</v>
      </c>
      <c r="E15" s="10">
        <v>61440</v>
      </c>
      <c r="F15" s="10">
        <v>2</v>
      </c>
      <c r="G15" s="10"/>
      <c r="H15" s="12"/>
      <c r="I15" s="10"/>
      <c r="K15" s="13">
        <f>5.5/0.172032</f>
        <v>31.970796130952383</v>
      </c>
      <c r="L15" s="13">
        <v>1.56</v>
      </c>
      <c r="M15" s="13">
        <v>31.333333333313931</v>
      </c>
    </row>
    <row r="16" spans="1:13" s="11" customFormat="1" x14ac:dyDescent="0.2">
      <c r="A16" s="10">
        <v>1</v>
      </c>
      <c r="B16" s="11" t="s">
        <v>13</v>
      </c>
      <c r="C16" s="11" t="s">
        <v>14</v>
      </c>
      <c r="D16" s="11" t="s">
        <v>12</v>
      </c>
      <c r="E16" s="10">
        <v>61440</v>
      </c>
      <c r="F16" s="10">
        <v>3</v>
      </c>
      <c r="G16" s="10"/>
      <c r="H16" s="12"/>
      <c r="I16" s="10"/>
      <c r="K16" s="13">
        <f>5.2/0.172032</f>
        <v>30.226934523809526</v>
      </c>
      <c r="L16" s="13">
        <v>1.55</v>
      </c>
      <c r="M16" s="13">
        <v>26.583333333372138</v>
      </c>
    </row>
    <row r="17" spans="1:13" s="6" customFormat="1" x14ac:dyDescent="0.2">
      <c r="A17" s="7">
        <v>1</v>
      </c>
      <c r="B17" s="6" t="s">
        <v>15</v>
      </c>
      <c r="D17" s="6" t="s">
        <v>9</v>
      </c>
      <c r="E17" s="7">
        <v>59392</v>
      </c>
      <c r="F17" s="7">
        <v>1</v>
      </c>
      <c r="G17" s="7">
        <f>49.6*(E17*1.5)/E17</f>
        <v>74.399999999999991</v>
      </c>
      <c r="H17" s="8">
        <f>13.08*(E17*1.5)/E17</f>
        <v>19.62</v>
      </c>
      <c r="I17" s="7" t="s">
        <v>24</v>
      </c>
      <c r="J17" s="6">
        <v>1</v>
      </c>
      <c r="K17" s="9">
        <f>6.2/0.172032</f>
        <v>36.039806547619051</v>
      </c>
      <c r="L17" s="9">
        <v>1.51</v>
      </c>
      <c r="M17" s="9">
        <v>31.333333333313931</v>
      </c>
    </row>
    <row r="18" spans="1:13" s="6" customFormat="1" x14ac:dyDescent="0.2">
      <c r="A18" s="7">
        <v>1</v>
      </c>
      <c r="B18" s="6" t="s">
        <v>15</v>
      </c>
      <c r="D18" s="6" t="s">
        <v>9</v>
      </c>
      <c r="E18" s="7">
        <v>59392</v>
      </c>
      <c r="F18" s="7">
        <v>2</v>
      </c>
      <c r="G18" s="7"/>
      <c r="H18" s="8"/>
      <c r="I18" s="7"/>
      <c r="K18" s="9">
        <f>5.5/0.172032</f>
        <v>31.970796130952383</v>
      </c>
      <c r="L18" s="9">
        <v>1.56</v>
      </c>
      <c r="M18" s="9">
        <v>31.333333333313931</v>
      </c>
    </row>
    <row r="19" spans="1:13" s="6" customFormat="1" x14ac:dyDescent="0.2">
      <c r="A19" s="7">
        <v>1</v>
      </c>
      <c r="B19" s="6" t="s">
        <v>15</v>
      </c>
      <c r="D19" s="6" t="s">
        <v>9</v>
      </c>
      <c r="E19" s="7">
        <v>59392</v>
      </c>
      <c r="F19" s="7">
        <v>3</v>
      </c>
      <c r="G19" s="7"/>
      <c r="H19" s="8"/>
      <c r="I19" s="7"/>
      <c r="K19" s="9">
        <f>5.2/0.172032</f>
        <v>30.226934523809526</v>
      </c>
      <c r="L19" s="9">
        <v>1.55</v>
      </c>
      <c r="M19" s="9">
        <v>26.583333333372138</v>
      </c>
    </row>
    <row r="20" spans="1:13" s="11" customFormat="1" x14ac:dyDescent="0.2">
      <c r="A20" s="10">
        <v>1</v>
      </c>
      <c r="B20" s="11" t="s">
        <v>15</v>
      </c>
      <c r="C20" s="11" t="s">
        <v>16</v>
      </c>
      <c r="D20" s="11" t="s">
        <v>12</v>
      </c>
      <c r="E20" s="10">
        <v>59392</v>
      </c>
      <c r="F20" s="10">
        <v>1</v>
      </c>
      <c r="G20" s="10"/>
      <c r="H20" s="12">
        <f>90.16*(E20*1.5)/E20</f>
        <v>135.24</v>
      </c>
      <c r="I20" s="10" t="s">
        <v>21</v>
      </c>
      <c r="J20" s="11">
        <v>0.5</v>
      </c>
      <c r="K20" s="13">
        <v>43.877077952182262</v>
      </c>
      <c r="L20" s="13">
        <v>1.6</v>
      </c>
      <c r="M20" s="13">
        <v>23.499999999941792</v>
      </c>
    </row>
    <row r="21" spans="1:13" s="11" customFormat="1" x14ac:dyDescent="0.2">
      <c r="A21" s="10">
        <v>1</v>
      </c>
      <c r="B21" s="11" t="s">
        <v>15</v>
      </c>
      <c r="C21" s="11" t="s">
        <v>16</v>
      </c>
      <c r="D21" s="11" t="s">
        <v>12</v>
      </c>
      <c r="E21" s="10">
        <v>59392</v>
      </c>
      <c r="F21" s="10">
        <v>2</v>
      </c>
      <c r="G21" s="10"/>
      <c r="H21" s="12"/>
      <c r="I21" s="10"/>
      <c r="K21" s="13">
        <v>47.60249023114114</v>
      </c>
      <c r="L21" s="13">
        <v>1.59</v>
      </c>
      <c r="M21" s="13">
        <v>27.999999999941792</v>
      </c>
    </row>
    <row r="22" spans="1:13" s="11" customFormat="1" x14ac:dyDescent="0.2">
      <c r="A22" s="10">
        <v>1</v>
      </c>
      <c r="B22" s="11" t="s">
        <v>15</v>
      </c>
      <c r="C22" s="11" t="s">
        <v>16</v>
      </c>
      <c r="D22" s="11" t="s">
        <v>12</v>
      </c>
      <c r="E22" s="10">
        <v>59392</v>
      </c>
      <c r="F22" s="10">
        <v>3</v>
      </c>
      <c r="G22" s="10"/>
      <c r="H22" s="12"/>
      <c r="I22" s="10"/>
      <c r="K22" s="13">
        <v>39.737730975561298</v>
      </c>
      <c r="L22" s="13">
        <v>1.59</v>
      </c>
      <c r="M22" s="13">
        <v>25.083333333372138</v>
      </c>
    </row>
    <row r="23" spans="1:13" s="15" customFormat="1" x14ac:dyDescent="0.2">
      <c r="A23" s="14">
        <v>1</v>
      </c>
      <c r="B23" s="15" t="s">
        <v>15</v>
      </c>
      <c r="C23" s="15" t="s">
        <v>17</v>
      </c>
      <c r="D23" s="15" t="s">
        <v>12</v>
      </c>
      <c r="E23" s="14">
        <v>59392</v>
      </c>
      <c r="F23" s="14">
        <v>1</v>
      </c>
      <c r="G23" s="14"/>
      <c r="H23" s="16">
        <f>92.73*(E23*1.5)/E23</f>
        <v>139.095</v>
      </c>
      <c r="I23" s="14" t="s">
        <v>22</v>
      </c>
      <c r="J23" s="15">
        <v>0.5</v>
      </c>
      <c r="K23" s="17">
        <f>2.1/0.059392</f>
        <v>35.358297413793103</v>
      </c>
      <c r="L23" s="17">
        <v>1.45</v>
      </c>
      <c r="M23" s="17">
        <v>24.249999999941792</v>
      </c>
    </row>
    <row r="24" spans="1:13" s="15" customFormat="1" x14ac:dyDescent="0.2">
      <c r="A24" s="14">
        <v>1</v>
      </c>
      <c r="B24" s="15" t="s">
        <v>15</v>
      </c>
      <c r="C24" s="15" t="s">
        <v>17</v>
      </c>
      <c r="D24" s="15" t="s">
        <v>12</v>
      </c>
      <c r="E24" s="14">
        <v>59392</v>
      </c>
      <c r="F24" s="14">
        <v>2</v>
      </c>
      <c r="G24" s="14"/>
      <c r="H24" s="16"/>
      <c r="I24" s="14"/>
      <c r="K24" s="17">
        <f>4.45/0.059392</f>
        <v>74.925915948275858</v>
      </c>
      <c r="L24" s="17">
        <v>1.46</v>
      </c>
      <c r="M24" s="17">
        <v>24.249999999941792</v>
      </c>
    </row>
    <row r="25" spans="1:13" s="15" customFormat="1" x14ac:dyDescent="0.2">
      <c r="A25" s="14">
        <v>1</v>
      </c>
      <c r="B25" s="15" t="s">
        <v>15</v>
      </c>
      <c r="C25" s="15" t="s">
        <v>17</v>
      </c>
      <c r="D25" s="15" t="s">
        <v>12</v>
      </c>
      <c r="E25" s="14">
        <v>59392</v>
      </c>
      <c r="F25" s="14">
        <v>3</v>
      </c>
      <c r="G25" s="14"/>
      <c r="H25" s="16"/>
      <c r="I25" s="14"/>
      <c r="K25" s="17">
        <f>4.45/0.059392</f>
        <v>74.925915948275858</v>
      </c>
      <c r="L25" s="17">
        <v>1.2</v>
      </c>
      <c r="M25" s="17">
        <v>24.249999999941792</v>
      </c>
    </row>
    <row r="26" spans="1:13" s="6" customFormat="1" x14ac:dyDescent="0.2">
      <c r="A26" s="7">
        <v>1</v>
      </c>
      <c r="B26" s="6" t="s">
        <v>18</v>
      </c>
      <c r="D26" s="6" t="s">
        <v>9</v>
      </c>
      <c r="E26" s="7">
        <v>51200</v>
      </c>
      <c r="F26" s="7">
        <v>1</v>
      </c>
      <c r="G26" s="7">
        <f>108.61*(E26*1.5)/E26</f>
        <v>162.91499999999999</v>
      </c>
      <c r="H26" s="8">
        <f>35.86*(E26*1.5)/E26</f>
        <v>53.79</v>
      </c>
      <c r="I26" s="7" t="s">
        <v>19</v>
      </c>
      <c r="J26" s="6">
        <v>1</v>
      </c>
      <c r="K26" s="9">
        <v>88.6</v>
      </c>
      <c r="L26" s="9">
        <v>1.27</v>
      </c>
      <c r="M26" s="9">
        <v>34.5</v>
      </c>
    </row>
    <row r="27" spans="1:13" s="6" customFormat="1" x14ac:dyDescent="0.2">
      <c r="A27" s="7">
        <v>1</v>
      </c>
      <c r="B27" s="6" t="s">
        <v>18</v>
      </c>
      <c r="D27" s="6" t="s">
        <v>9</v>
      </c>
      <c r="E27" s="7">
        <v>51200</v>
      </c>
      <c r="F27" s="7">
        <v>2</v>
      </c>
      <c r="G27" s="7"/>
      <c r="H27" s="8"/>
      <c r="I27" s="7"/>
      <c r="K27" s="9">
        <v>52.8</v>
      </c>
      <c r="L27" s="9">
        <v>1.27</v>
      </c>
      <c r="M27" s="9">
        <v>34.5</v>
      </c>
    </row>
    <row r="28" spans="1:13" s="6" customFormat="1" x14ac:dyDescent="0.2">
      <c r="A28" s="7">
        <v>1</v>
      </c>
      <c r="B28" s="6" t="s">
        <v>18</v>
      </c>
      <c r="D28" s="6" t="s">
        <v>9</v>
      </c>
      <c r="E28" s="7">
        <v>51200</v>
      </c>
      <c r="F28" s="7">
        <v>3</v>
      </c>
      <c r="G28" s="7"/>
      <c r="H28" s="8"/>
      <c r="I28" s="7"/>
      <c r="K28" s="9">
        <v>47.6</v>
      </c>
      <c r="L28" s="9">
        <v>1.1599999999999999</v>
      </c>
      <c r="M28" s="9">
        <v>34.5</v>
      </c>
    </row>
    <row r="29" spans="1:13" s="11" customFormat="1" x14ac:dyDescent="0.2">
      <c r="A29" s="10">
        <v>1</v>
      </c>
      <c r="B29" s="11" t="s">
        <v>18</v>
      </c>
      <c r="C29" s="11" t="s">
        <v>10</v>
      </c>
      <c r="D29" s="11" t="s">
        <v>12</v>
      </c>
      <c r="E29" s="10">
        <v>51200</v>
      </c>
      <c r="F29" s="10">
        <v>1</v>
      </c>
      <c r="G29" s="10"/>
      <c r="H29" s="12">
        <f>45.24*(E29*1.5)/E29</f>
        <v>67.86</v>
      </c>
      <c r="I29" s="10" t="s">
        <v>23</v>
      </c>
      <c r="J29" s="11">
        <v>1</v>
      </c>
      <c r="K29" s="13">
        <f>7.8/0.150528</f>
        <v>51.817602040816325</v>
      </c>
      <c r="L29" s="13">
        <v>1.3519999999999999</v>
      </c>
      <c r="M29" s="13">
        <v>36</v>
      </c>
    </row>
    <row r="30" spans="1:13" s="11" customFormat="1" x14ac:dyDescent="0.2">
      <c r="A30" s="10">
        <v>1</v>
      </c>
      <c r="B30" s="11" t="s">
        <v>18</v>
      </c>
      <c r="C30" s="11" t="s">
        <v>10</v>
      </c>
      <c r="D30" s="11" t="s">
        <v>12</v>
      </c>
      <c r="E30" s="10">
        <v>51200</v>
      </c>
      <c r="F30" s="10">
        <v>2</v>
      </c>
      <c r="G30" s="10"/>
      <c r="H30" s="12"/>
      <c r="I30" s="10"/>
      <c r="K30" s="13">
        <f>5.7/0.150528</f>
        <v>37.866709183673471</v>
      </c>
      <c r="L30" s="13">
        <v>1.31</v>
      </c>
      <c r="M30" s="13">
        <v>36</v>
      </c>
    </row>
    <row r="31" spans="1:13" s="11" customFormat="1" x14ac:dyDescent="0.2">
      <c r="A31" s="10">
        <v>1</v>
      </c>
      <c r="B31" s="11" t="s">
        <v>18</v>
      </c>
      <c r="C31" s="11" t="s">
        <v>10</v>
      </c>
      <c r="D31" s="11" t="s">
        <v>12</v>
      </c>
      <c r="E31" s="10">
        <v>51200</v>
      </c>
      <c r="F31" s="10">
        <v>3</v>
      </c>
      <c r="G31" s="10"/>
      <c r="H31" s="12"/>
      <c r="I31" s="10"/>
      <c r="K31" s="13">
        <f>4.1/0.150528</f>
        <v>27.237457482993197</v>
      </c>
      <c r="L31" s="13">
        <v>1.1589999999999998</v>
      </c>
      <c r="M31" s="13">
        <v>36</v>
      </c>
    </row>
    <row r="32" spans="1:13" s="6" customFormat="1" x14ac:dyDescent="0.2">
      <c r="A32" s="7">
        <v>2</v>
      </c>
      <c r="B32" s="6" t="s">
        <v>6</v>
      </c>
      <c r="D32" s="6" t="s">
        <v>9</v>
      </c>
      <c r="E32" s="7">
        <v>45056</v>
      </c>
      <c r="F32" s="7">
        <v>1</v>
      </c>
      <c r="G32" s="7">
        <f>4154666.66666667/E32</f>
        <v>92.211174242424306</v>
      </c>
      <c r="H32" s="8">
        <f>2222000/E32</f>
        <v>49.31640625</v>
      </c>
      <c r="I32" s="7" t="s">
        <v>26</v>
      </c>
      <c r="J32" s="6">
        <v>1</v>
      </c>
      <c r="K32" s="9">
        <f>30.1/0.186368</f>
        <v>161.50841346153845</v>
      </c>
      <c r="L32" s="9">
        <v>2.35</v>
      </c>
      <c r="M32" s="9">
        <v>32</v>
      </c>
    </row>
    <row r="33" spans="1:13" s="6" customFormat="1" x14ac:dyDescent="0.2">
      <c r="A33" s="7">
        <v>2</v>
      </c>
      <c r="B33" s="6" t="s">
        <v>6</v>
      </c>
      <c r="D33" s="6" t="s">
        <v>9</v>
      </c>
      <c r="E33" s="7">
        <v>45056</v>
      </c>
      <c r="F33" s="7">
        <v>2</v>
      </c>
      <c r="G33" s="7"/>
      <c r="H33" s="8"/>
      <c r="I33" s="7"/>
      <c r="K33" s="9">
        <f>43.2/0.186368</f>
        <v>231.79945054945057</v>
      </c>
      <c r="L33" s="9">
        <v>1.58</v>
      </c>
      <c r="M33" s="9">
        <v>32</v>
      </c>
    </row>
    <row r="34" spans="1:13" s="6" customFormat="1" x14ac:dyDescent="0.2">
      <c r="A34" s="7">
        <v>2</v>
      </c>
      <c r="B34" s="6" t="s">
        <v>6</v>
      </c>
      <c r="D34" s="6" t="s">
        <v>9</v>
      </c>
      <c r="E34" s="7">
        <v>45056</v>
      </c>
      <c r="F34" s="7">
        <v>3</v>
      </c>
      <c r="G34" s="7"/>
      <c r="H34" s="8"/>
      <c r="I34" s="7"/>
      <c r="K34" s="9">
        <f>17.7/0.186368</f>
        <v>94.973385989010978</v>
      </c>
      <c r="L34" s="9">
        <v>2.16</v>
      </c>
      <c r="M34" s="9">
        <v>32</v>
      </c>
    </row>
    <row r="35" spans="1:13" s="11" customFormat="1" x14ac:dyDescent="0.2">
      <c r="A35" s="10">
        <v>2</v>
      </c>
      <c r="B35" s="11" t="s">
        <v>6</v>
      </c>
      <c r="C35" s="11" t="s">
        <v>10</v>
      </c>
      <c r="D35" s="11" t="s">
        <v>12</v>
      </c>
      <c r="E35" s="10">
        <v>45056</v>
      </c>
      <c r="F35" s="10">
        <v>1</v>
      </c>
      <c r="G35" s="10"/>
      <c r="H35" s="12">
        <f>3488000/E35</f>
        <v>77.414772727272734</v>
      </c>
      <c r="I35" s="10" t="s">
        <v>27</v>
      </c>
      <c r="J35" s="11">
        <v>1</v>
      </c>
      <c r="K35" s="13">
        <f>25.7/0.13312</f>
        <v>193.05889423076925</v>
      </c>
      <c r="L35" s="13">
        <v>2.12</v>
      </c>
      <c r="M35" s="13">
        <v>32</v>
      </c>
    </row>
    <row r="36" spans="1:13" s="11" customFormat="1" x14ac:dyDescent="0.2">
      <c r="A36" s="10">
        <v>2</v>
      </c>
      <c r="B36" s="11" t="s">
        <v>6</v>
      </c>
      <c r="C36" s="11" t="s">
        <v>10</v>
      </c>
      <c r="D36" s="11" t="s">
        <v>12</v>
      </c>
      <c r="E36" s="10">
        <v>45056</v>
      </c>
      <c r="F36" s="10">
        <v>2</v>
      </c>
      <c r="G36" s="10"/>
      <c r="H36" s="12"/>
      <c r="I36" s="10"/>
      <c r="K36" s="13">
        <f>18.5/0.13312</f>
        <v>138.97235576923077</v>
      </c>
      <c r="L36" s="13">
        <v>1.98</v>
      </c>
      <c r="M36" s="13">
        <v>32</v>
      </c>
    </row>
    <row r="37" spans="1:13" s="11" customFormat="1" x14ac:dyDescent="0.2">
      <c r="A37" s="10">
        <v>2</v>
      </c>
      <c r="B37" s="11" t="s">
        <v>6</v>
      </c>
      <c r="C37" s="11" t="s">
        <v>10</v>
      </c>
      <c r="D37" s="11" t="s">
        <v>12</v>
      </c>
      <c r="E37" s="10">
        <v>45056</v>
      </c>
      <c r="F37" s="10">
        <v>3</v>
      </c>
      <c r="G37" s="10"/>
      <c r="H37" s="12"/>
      <c r="I37" s="10"/>
      <c r="K37" s="13">
        <f>21.5/0.13312</f>
        <v>161.50841346153848</v>
      </c>
      <c r="L37" s="13">
        <v>2.25</v>
      </c>
      <c r="M37" s="13">
        <v>32</v>
      </c>
    </row>
    <row r="38" spans="1:13" s="15" customFormat="1" x14ac:dyDescent="0.2">
      <c r="A38" s="14">
        <v>2</v>
      </c>
      <c r="B38" s="15" t="s">
        <v>6</v>
      </c>
      <c r="C38" s="15" t="s">
        <v>11</v>
      </c>
      <c r="D38" s="15" t="s">
        <v>12</v>
      </c>
      <c r="E38" s="14">
        <v>45056</v>
      </c>
      <c r="F38" s="14">
        <v>1</v>
      </c>
      <c r="G38" s="14"/>
      <c r="H38" s="16">
        <f>1408000/E38</f>
        <v>31.25</v>
      </c>
      <c r="I38" s="14" t="s">
        <v>28</v>
      </c>
      <c r="J38" s="15">
        <v>1</v>
      </c>
      <c r="K38" s="17">
        <f>8.8/0.154624</f>
        <v>56.912251655629142</v>
      </c>
      <c r="L38" s="17">
        <v>1.7</v>
      </c>
      <c r="M38" s="17">
        <v>32.75</v>
      </c>
    </row>
    <row r="39" spans="1:13" s="15" customFormat="1" x14ac:dyDescent="0.2">
      <c r="A39" s="14">
        <v>2</v>
      </c>
      <c r="B39" s="15" t="s">
        <v>6</v>
      </c>
      <c r="C39" s="15" t="s">
        <v>11</v>
      </c>
      <c r="D39" s="15" t="s">
        <v>12</v>
      </c>
      <c r="E39" s="14">
        <v>45056</v>
      </c>
      <c r="F39" s="14">
        <v>2</v>
      </c>
      <c r="G39" s="14"/>
      <c r="H39" s="16"/>
      <c r="I39" s="14"/>
      <c r="K39" s="17">
        <f>10.9/0.154624</f>
        <v>70.493584437086085</v>
      </c>
      <c r="L39" s="17">
        <v>1.78</v>
      </c>
      <c r="M39" s="17">
        <v>32.75</v>
      </c>
    </row>
    <row r="40" spans="1:13" s="15" customFormat="1" x14ac:dyDescent="0.2">
      <c r="A40" s="14">
        <v>2</v>
      </c>
      <c r="B40" s="15" t="s">
        <v>6</v>
      </c>
      <c r="C40" s="15" t="s">
        <v>11</v>
      </c>
      <c r="D40" s="15" t="s">
        <v>12</v>
      </c>
      <c r="E40" s="14">
        <v>45056</v>
      </c>
      <c r="F40" s="14">
        <v>3</v>
      </c>
      <c r="G40" s="14"/>
      <c r="H40" s="16"/>
      <c r="I40" s="14"/>
      <c r="K40" s="17">
        <f>9.6/0.154624</f>
        <v>62.086092715231779</v>
      </c>
      <c r="L40" s="17">
        <v>1.52</v>
      </c>
      <c r="M40" s="17">
        <v>32.75</v>
      </c>
    </row>
    <row r="41" spans="1:13" s="6" customFormat="1" x14ac:dyDescent="0.2">
      <c r="A41" s="7">
        <v>2</v>
      </c>
      <c r="B41" s="6" t="s">
        <v>13</v>
      </c>
      <c r="D41" s="6" t="s">
        <v>9</v>
      </c>
      <c r="E41" s="7">
        <v>56320</v>
      </c>
      <c r="F41" s="7">
        <v>1</v>
      </c>
      <c r="G41" s="7">
        <f>2509333.33333333/E41</f>
        <v>44.554924242424185</v>
      </c>
      <c r="H41" s="8">
        <f>5608000/E41</f>
        <v>99.57386363636364</v>
      </c>
      <c r="I41" s="7" t="s">
        <v>29</v>
      </c>
      <c r="J41" s="6">
        <v>1</v>
      </c>
      <c r="K41" s="9">
        <f>11.7/0.109568</f>
        <v>106.78300233644859</v>
      </c>
      <c r="L41" s="9">
        <v>1.84</v>
      </c>
      <c r="M41" s="9">
        <v>26.25</v>
      </c>
    </row>
    <row r="42" spans="1:13" s="6" customFormat="1" x14ac:dyDescent="0.2">
      <c r="A42" s="7">
        <v>2</v>
      </c>
      <c r="B42" s="6" t="s">
        <v>13</v>
      </c>
      <c r="D42" s="6" t="s">
        <v>9</v>
      </c>
      <c r="E42" s="7">
        <v>56320</v>
      </c>
      <c r="F42" s="7">
        <v>2</v>
      </c>
      <c r="G42" s="7"/>
      <c r="H42" s="8"/>
      <c r="I42" s="7"/>
      <c r="K42" s="9">
        <f>5.6/0.109568</f>
        <v>51.109813084112147</v>
      </c>
      <c r="L42" s="9">
        <v>1.7</v>
      </c>
      <c r="M42" s="9">
        <v>24.5</v>
      </c>
    </row>
    <row r="43" spans="1:13" s="6" customFormat="1" x14ac:dyDescent="0.2">
      <c r="A43" s="7">
        <v>2</v>
      </c>
      <c r="B43" s="6" t="s">
        <v>13</v>
      </c>
      <c r="D43" s="6" t="s">
        <v>9</v>
      </c>
      <c r="E43" s="7">
        <v>56320</v>
      </c>
      <c r="F43" s="7">
        <v>3</v>
      </c>
      <c r="G43" s="7"/>
      <c r="H43" s="8"/>
      <c r="I43" s="7"/>
      <c r="K43" s="9">
        <f>10.1/0.109568</f>
        <v>92.180198598130843</v>
      </c>
      <c r="L43" s="9">
        <v>1.55</v>
      </c>
      <c r="M43" s="9">
        <v>28.5</v>
      </c>
    </row>
    <row r="44" spans="1:13" s="11" customFormat="1" x14ac:dyDescent="0.2">
      <c r="A44" s="10">
        <v>2</v>
      </c>
      <c r="B44" s="11" t="s">
        <v>13</v>
      </c>
      <c r="C44" s="11" t="s">
        <v>14</v>
      </c>
      <c r="D44" s="11" t="s">
        <v>12</v>
      </c>
      <c r="E44" s="10">
        <v>56320</v>
      </c>
      <c r="F44" s="10">
        <v>1</v>
      </c>
      <c r="G44" s="10"/>
      <c r="H44" s="12">
        <f>3564000/E44</f>
        <v>63.28125</v>
      </c>
      <c r="I44" s="10" t="s">
        <v>28</v>
      </c>
      <c r="J44" s="11">
        <v>1</v>
      </c>
      <c r="K44" s="13">
        <f>8.8/0.154624</f>
        <v>56.912251655629142</v>
      </c>
      <c r="L44" s="13">
        <v>1.7</v>
      </c>
      <c r="M44" s="13">
        <v>32.75</v>
      </c>
    </row>
    <row r="45" spans="1:13" s="11" customFormat="1" x14ac:dyDescent="0.2">
      <c r="A45" s="10">
        <v>2</v>
      </c>
      <c r="B45" s="11" t="s">
        <v>13</v>
      </c>
      <c r="C45" s="11" t="s">
        <v>14</v>
      </c>
      <c r="D45" s="11" t="s">
        <v>12</v>
      </c>
      <c r="E45" s="10">
        <v>56320</v>
      </c>
      <c r="F45" s="10">
        <v>2</v>
      </c>
      <c r="G45" s="10"/>
      <c r="H45" s="12"/>
      <c r="I45" s="10"/>
      <c r="K45" s="13">
        <f>10.9/0.154624</f>
        <v>70.493584437086085</v>
      </c>
      <c r="L45" s="13">
        <v>1.78</v>
      </c>
      <c r="M45" s="13">
        <v>32.75</v>
      </c>
    </row>
    <row r="46" spans="1:13" s="11" customFormat="1" x14ac:dyDescent="0.2">
      <c r="A46" s="10">
        <v>2</v>
      </c>
      <c r="B46" s="11" t="s">
        <v>13</v>
      </c>
      <c r="C46" s="11" t="s">
        <v>14</v>
      </c>
      <c r="D46" s="11" t="s">
        <v>12</v>
      </c>
      <c r="E46" s="10">
        <v>56320</v>
      </c>
      <c r="F46" s="10">
        <v>3</v>
      </c>
      <c r="G46" s="10"/>
      <c r="H46" s="12"/>
      <c r="I46" s="10"/>
      <c r="K46" s="13">
        <f>9.6/0.154624</f>
        <v>62.086092715231779</v>
      </c>
      <c r="L46" s="13">
        <v>1.52</v>
      </c>
      <c r="M46" s="13">
        <v>32.75</v>
      </c>
    </row>
    <row r="47" spans="1:13" s="6" customFormat="1" x14ac:dyDescent="0.2">
      <c r="A47" s="7">
        <v>2</v>
      </c>
      <c r="B47" s="6" t="s">
        <v>15</v>
      </c>
      <c r="D47" s="6" t="s">
        <v>9</v>
      </c>
      <c r="E47" s="7">
        <v>53248</v>
      </c>
      <c r="F47" s="7">
        <v>1</v>
      </c>
      <c r="G47" s="7">
        <f>1485333.33333333/E47</f>
        <v>27.894631410256348</v>
      </c>
      <c r="H47" s="8">
        <f>5608000/E47</f>
        <v>105.31850961538461</v>
      </c>
      <c r="I47" s="7" t="s">
        <v>28</v>
      </c>
      <c r="J47" s="6">
        <v>1</v>
      </c>
      <c r="K47" s="9">
        <f>8.8/0.154624</f>
        <v>56.912251655629142</v>
      </c>
      <c r="L47" s="9">
        <v>1.7</v>
      </c>
      <c r="M47" s="9">
        <v>32.75</v>
      </c>
    </row>
    <row r="48" spans="1:13" s="6" customFormat="1" x14ac:dyDescent="0.2">
      <c r="A48" s="7">
        <v>2</v>
      </c>
      <c r="B48" s="6" t="s">
        <v>15</v>
      </c>
      <c r="D48" s="6" t="s">
        <v>9</v>
      </c>
      <c r="E48" s="7">
        <v>53248</v>
      </c>
      <c r="F48" s="7">
        <v>2</v>
      </c>
      <c r="G48" s="7"/>
      <c r="H48" s="8"/>
      <c r="I48" s="7"/>
      <c r="K48" s="9">
        <f>10.9/0.154624</f>
        <v>70.493584437086085</v>
      </c>
      <c r="L48" s="9">
        <v>1.78</v>
      </c>
      <c r="M48" s="9">
        <v>32.75</v>
      </c>
    </row>
    <row r="49" spans="1:13" s="6" customFormat="1" x14ac:dyDescent="0.2">
      <c r="A49" s="7">
        <v>2</v>
      </c>
      <c r="B49" s="6" t="s">
        <v>15</v>
      </c>
      <c r="D49" s="6" t="s">
        <v>9</v>
      </c>
      <c r="E49" s="7">
        <v>53248</v>
      </c>
      <c r="F49" s="7">
        <v>3</v>
      </c>
      <c r="G49" s="7"/>
      <c r="H49" s="8"/>
      <c r="I49" s="7"/>
      <c r="K49" s="9">
        <f>9.6/0.154624</f>
        <v>62.086092715231779</v>
      </c>
      <c r="L49" s="9">
        <v>1.52</v>
      </c>
      <c r="M49" s="9">
        <v>32.75</v>
      </c>
    </row>
    <row r="50" spans="1:13" s="11" customFormat="1" x14ac:dyDescent="0.2">
      <c r="A50" s="10">
        <v>2</v>
      </c>
      <c r="B50" s="11" t="s">
        <v>15</v>
      </c>
      <c r="C50" s="11" t="s">
        <v>16</v>
      </c>
      <c r="D50" s="11" t="s">
        <v>12</v>
      </c>
      <c r="E50" s="10">
        <v>53248</v>
      </c>
      <c r="F50" s="10">
        <v>1</v>
      </c>
      <c r="G50" s="10"/>
      <c r="H50" s="12">
        <f>5060000/E50</f>
        <v>95.027043269230774</v>
      </c>
      <c r="I50" s="10" t="s">
        <v>29</v>
      </c>
      <c r="J50" s="11">
        <v>1</v>
      </c>
      <c r="K50" s="13">
        <f>11.7/0.109568</f>
        <v>106.78300233644859</v>
      </c>
      <c r="L50" s="13">
        <v>1.84</v>
      </c>
      <c r="M50" s="13">
        <v>26.25</v>
      </c>
    </row>
    <row r="51" spans="1:13" s="11" customFormat="1" x14ac:dyDescent="0.2">
      <c r="A51" s="10">
        <v>2</v>
      </c>
      <c r="B51" s="11" t="s">
        <v>15</v>
      </c>
      <c r="C51" s="11" t="s">
        <v>16</v>
      </c>
      <c r="D51" s="11" t="s">
        <v>12</v>
      </c>
      <c r="E51" s="10">
        <v>53248</v>
      </c>
      <c r="F51" s="10">
        <v>2</v>
      </c>
      <c r="G51" s="10"/>
      <c r="H51" s="12"/>
      <c r="I51" s="10"/>
      <c r="K51" s="13">
        <f>5.6/0.109568</f>
        <v>51.109813084112147</v>
      </c>
      <c r="L51" s="13">
        <v>1.7</v>
      </c>
      <c r="M51" s="13">
        <v>24.5</v>
      </c>
    </row>
    <row r="52" spans="1:13" s="11" customFormat="1" x14ac:dyDescent="0.2">
      <c r="A52" s="10">
        <v>2</v>
      </c>
      <c r="B52" s="11" t="s">
        <v>15</v>
      </c>
      <c r="C52" s="11" t="s">
        <v>16</v>
      </c>
      <c r="D52" s="11" t="s">
        <v>12</v>
      </c>
      <c r="E52" s="10">
        <v>53248</v>
      </c>
      <c r="F52" s="10">
        <v>3</v>
      </c>
      <c r="G52" s="10"/>
      <c r="H52" s="12"/>
      <c r="I52" s="10"/>
      <c r="K52" s="13">
        <f>10.1/0.109568</f>
        <v>92.180198598130843</v>
      </c>
      <c r="L52" s="13">
        <v>1.55</v>
      </c>
      <c r="M52" s="13">
        <v>28.5</v>
      </c>
    </row>
    <row r="53" spans="1:13" s="15" customFormat="1" x14ac:dyDescent="0.2">
      <c r="A53" s="14">
        <v>2</v>
      </c>
      <c r="B53" s="15" t="s">
        <v>15</v>
      </c>
      <c r="C53" s="15" t="s">
        <v>17</v>
      </c>
      <c r="D53" s="15" t="s">
        <v>12</v>
      </c>
      <c r="E53" s="14">
        <v>53248</v>
      </c>
      <c r="F53" s="14">
        <v>1</v>
      </c>
      <c r="G53" s="14"/>
      <c r="H53" s="16">
        <f>4256000/E53</f>
        <v>79.927884615384613</v>
      </c>
      <c r="I53" s="14" t="s">
        <v>30</v>
      </c>
      <c r="J53" s="15">
        <v>0.4</v>
      </c>
      <c r="K53" s="17">
        <f>2.24/0.053248</f>
        <v>42.067307692307701</v>
      </c>
      <c r="L53" s="17">
        <v>1.6</v>
      </c>
      <c r="M53" s="17">
        <v>20</v>
      </c>
    </row>
    <row r="54" spans="1:13" s="15" customFormat="1" x14ac:dyDescent="0.2">
      <c r="A54" s="14">
        <v>2</v>
      </c>
      <c r="B54" s="15" t="s">
        <v>15</v>
      </c>
      <c r="C54" s="15" t="s">
        <v>17</v>
      </c>
      <c r="D54" s="15" t="s">
        <v>12</v>
      </c>
      <c r="E54" s="14">
        <v>53248</v>
      </c>
      <c r="F54" s="14">
        <v>2</v>
      </c>
      <c r="G54" s="14"/>
      <c r="H54" s="16"/>
      <c r="I54" s="14"/>
      <c r="K54" s="17">
        <f>3.24/0.053248</f>
        <v>60.847355769230774</v>
      </c>
      <c r="L54" s="17">
        <v>1.38</v>
      </c>
      <c r="M54" s="17">
        <v>20</v>
      </c>
    </row>
    <row r="55" spans="1:13" s="15" customFormat="1" x14ac:dyDescent="0.2">
      <c r="A55" s="14">
        <v>2</v>
      </c>
      <c r="B55" s="15" t="s">
        <v>15</v>
      </c>
      <c r="C55" s="15" t="s">
        <v>17</v>
      </c>
      <c r="D55" s="15" t="s">
        <v>12</v>
      </c>
      <c r="E55" s="14">
        <v>53248</v>
      </c>
      <c r="F55" s="14">
        <v>3</v>
      </c>
      <c r="G55" s="14"/>
      <c r="H55" s="16"/>
      <c r="I55" s="14"/>
      <c r="K55" s="17">
        <f>2.12/0.053248</f>
        <v>39.813701923076927</v>
      </c>
      <c r="L55" s="17">
        <v>2.82</v>
      </c>
      <c r="M55" s="17">
        <v>20.5</v>
      </c>
    </row>
    <row r="56" spans="1:13" s="6" customFormat="1" x14ac:dyDescent="0.2">
      <c r="A56" s="7">
        <v>2</v>
      </c>
      <c r="B56" s="6" t="s">
        <v>18</v>
      </c>
      <c r="D56" s="6" t="s">
        <v>9</v>
      </c>
      <c r="E56" s="7">
        <v>45056</v>
      </c>
      <c r="F56" s="7">
        <v>1</v>
      </c>
      <c r="G56" s="7">
        <f>17760000/E56</f>
        <v>394.17613636363637</v>
      </c>
      <c r="H56" s="8">
        <f>2046000/E56</f>
        <v>45.41015625</v>
      </c>
      <c r="I56" s="7" t="s">
        <v>26</v>
      </c>
      <c r="J56" s="6">
        <v>1</v>
      </c>
      <c r="K56" s="9">
        <f>30.1/0.186368</f>
        <v>161.50841346153845</v>
      </c>
      <c r="L56" s="9">
        <v>2.35</v>
      </c>
      <c r="M56" s="9">
        <v>32</v>
      </c>
    </row>
    <row r="57" spans="1:13" s="6" customFormat="1" x14ac:dyDescent="0.2">
      <c r="A57" s="7">
        <v>2</v>
      </c>
      <c r="B57" s="6" t="s">
        <v>18</v>
      </c>
      <c r="D57" s="6" t="s">
        <v>9</v>
      </c>
      <c r="E57" s="7">
        <v>45056</v>
      </c>
      <c r="F57" s="7">
        <v>2</v>
      </c>
      <c r="G57" s="7"/>
      <c r="H57" s="8"/>
      <c r="I57" s="7"/>
      <c r="K57" s="9">
        <f>43.2/0.186368</f>
        <v>231.79945054945057</v>
      </c>
      <c r="L57" s="9">
        <v>1.58</v>
      </c>
      <c r="M57" s="9">
        <v>32</v>
      </c>
    </row>
    <row r="58" spans="1:13" s="6" customFormat="1" x14ac:dyDescent="0.2">
      <c r="A58" s="7">
        <v>2</v>
      </c>
      <c r="B58" s="6" t="s">
        <v>18</v>
      </c>
      <c r="D58" s="6" t="s">
        <v>9</v>
      </c>
      <c r="E58" s="7">
        <v>45056</v>
      </c>
      <c r="F58" s="7">
        <v>3</v>
      </c>
      <c r="G58" s="7"/>
      <c r="H58" s="8"/>
      <c r="I58" s="7"/>
      <c r="K58" s="9">
        <f>17.7/0.186368</f>
        <v>94.973385989010978</v>
      </c>
      <c r="L58" s="9">
        <v>2.16</v>
      </c>
      <c r="M58" s="9">
        <v>32</v>
      </c>
    </row>
    <row r="59" spans="1:13" s="11" customFormat="1" x14ac:dyDescent="0.2">
      <c r="A59" s="10">
        <v>2</v>
      </c>
      <c r="B59" s="11" t="s">
        <v>18</v>
      </c>
      <c r="C59" s="11" t="s">
        <v>10</v>
      </c>
      <c r="D59" s="11" t="s">
        <v>12</v>
      </c>
      <c r="E59" s="10">
        <v>45056</v>
      </c>
      <c r="F59" s="10">
        <v>1</v>
      </c>
      <c r="G59" s="10"/>
      <c r="H59" s="12">
        <f>6144000/E59</f>
        <v>136.36363636363637</v>
      </c>
      <c r="I59" s="10" t="s">
        <v>27</v>
      </c>
      <c r="J59" s="11">
        <v>1</v>
      </c>
      <c r="K59" s="13">
        <f>25.7/0.13312</f>
        <v>193.05889423076925</v>
      </c>
      <c r="L59" s="13">
        <v>2.12</v>
      </c>
      <c r="M59" s="13">
        <v>32</v>
      </c>
    </row>
    <row r="60" spans="1:13" s="11" customFormat="1" x14ac:dyDescent="0.2">
      <c r="A60" s="10">
        <v>2</v>
      </c>
      <c r="B60" s="11" t="s">
        <v>18</v>
      </c>
      <c r="C60" s="11" t="s">
        <v>10</v>
      </c>
      <c r="D60" s="11" t="s">
        <v>12</v>
      </c>
      <c r="E60" s="10">
        <v>45056</v>
      </c>
      <c r="F60" s="10">
        <v>2</v>
      </c>
      <c r="G60" s="10"/>
      <c r="H60" s="12"/>
      <c r="I60" s="10"/>
      <c r="K60" s="13">
        <f>18.5/0.13312</f>
        <v>138.97235576923077</v>
      </c>
      <c r="L60" s="13">
        <v>1.98</v>
      </c>
      <c r="M60" s="13">
        <v>32</v>
      </c>
    </row>
    <row r="61" spans="1:13" s="11" customFormat="1" x14ac:dyDescent="0.2">
      <c r="A61" s="10">
        <v>2</v>
      </c>
      <c r="B61" s="11" t="s">
        <v>18</v>
      </c>
      <c r="C61" s="11" t="s">
        <v>10</v>
      </c>
      <c r="D61" s="11" t="s">
        <v>12</v>
      </c>
      <c r="E61" s="10">
        <v>45056</v>
      </c>
      <c r="F61" s="10">
        <v>3</v>
      </c>
      <c r="G61" s="10"/>
      <c r="H61" s="12"/>
      <c r="I61" s="10"/>
      <c r="K61" s="13">
        <f>21.5/0.13312</f>
        <v>161.50841346153848</v>
      </c>
      <c r="L61" s="13">
        <v>2.25</v>
      </c>
      <c r="M61" s="13">
        <v>32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FT7ZSSYKJ64H-414968548-76810</_dlc_DocId>
    <_dlc_DocIdUrl xmlns="bd2a10cf-e067-4f9c-87ec-f8ebada5459f">
      <Url>https://springernature.sharepoint.com/sites/NatureJournalsProduction/_layouts/15/DocIdRedir.aspx?ID=FT7ZSSYKJ64H-414968548-76810</Url>
      <Description>FT7ZSSYKJ64H-414968548-76810</Description>
    </_dlc_DocIdUrl>
  </documentManagement>
</p:properties>
</file>

<file path=customXml/itemProps1.xml><?xml version="1.0" encoding="utf-8"?>
<ds:datastoreItem xmlns:ds="http://schemas.openxmlformats.org/officeDocument/2006/customXml" ds:itemID="{E2B56B09-1156-446A-84E9-ECE036C469CD}"/>
</file>

<file path=customXml/itemProps2.xml><?xml version="1.0" encoding="utf-8"?>
<ds:datastoreItem xmlns:ds="http://schemas.openxmlformats.org/officeDocument/2006/customXml" ds:itemID="{FFB10E3C-BB9A-4AAC-B974-E74C5AC6E6D6}"/>
</file>

<file path=customXml/itemProps3.xml><?xml version="1.0" encoding="utf-8"?>
<ds:datastoreItem xmlns:ds="http://schemas.openxmlformats.org/officeDocument/2006/customXml" ds:itemID="{D874AD54-D7E9-4034-A010-BC6F560CCB23}"/>
</file>

<file path=customXml/itemProps4.xml><?xml version="1.0" encoding="utf-8"?>
<ds:datastoreItem xmlns:ds="http://schemas.openxmlformats.org/officeDocument/2006/customXml" ds:itemID="{68D79E87-4B41-4F52-93BA-F3D0B9F43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A.O. Marti-Aranda</dc:creator>
  <cp:lastModifiedBy>Aina Marti Aranda</cp:lastModifiedBy>
  <dcterms:created xsi:type="dcterms:W3CDTF">2025-05-30T15:21:42Z</dcterms:created>
  <dcterms:modified xsi:type="dcterms:W3CDTF">2025-10-27T13:12:57Z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d2b3cd87-534e-404a-bb9f-2964c09973e7</vt:lpwstr>
  </property>
</Properties>
</file>